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2017 tablet timeline" sheetId="1" r:id="rId4"/>
    <sheet name="2017 Lindor timeline" sheetId="2" r:id="rId5"/>
    <sheet name="Sales Forecast" sheetId="3" r:id="rId6"/>
    <sheet name="Sales Actual" sheetId="4" r:id="rId7"/>
    <sheet name="Actual Stock" sheetId="5" r:id="rId8"/>
    <sheet name="Issued by date" sheetId="6" r:id="rId9"/>
    <sheet name="Stock Data" sheetId="7" r:id="rId10"/>
    <sheet name="sales Apr 19" sheetId="8" r:id="rId11"/>
    <sheet name="GTS-2017" sheetId="9" r:id="rId12"/>
    <sheet name="Stock 0401" sheetId="10" r:id="rId13"/>
    <sheet name="Stock 0419" sheetId="11" r:id="rId14"/>
  </sheets>
</workbook>
</file>

<file path=xl/sharedStrings.xml><?xml version="1.0" encoding="utf-8"?>
<sst xmlns="http://schemas.openxmlformats.org/spreadsheetml/2006/main" uniqueCount="759">
  <si>
    <t>Current Month</t>
  </si>
  <si>
    <t>May</t>
  </si>
  <si>
    <t>'17</t>
  </si>
  <si>
    <t>'18</t>
  </si>
  <si>
    <t>Sinodis</t>
  </si>
  <si>
    <t>Supplier</t>
  </si>
  <si>
    <t>Description</t>
  </si>
  <si>
    <t>Unit: EA</t>
  </si>
  <si>
    <t>Jan</t>
  </si>
  <si>
    <t>Feb</t>
  </si>
  <si>
    <t>Mar</t>
  </si>
  <si>
    <t>Apr</t>
  </si>
  <si>
    <t>Jun</t>
  </si>
  <si>
    <t>Jul</t>
  </si>
  <si>
    <t>Aug</t>
  </si>
  <si>
    <t>Sep</t>
  </si>
  <si>
    <t>Oct</t>
  </si>
  <si>
    <t>Nov</t>
  </si>
  <si>
    <t>Dec</t>
  </si>
  <si>
    <t>LDT0001</t>
  </si>
  <si>
    <t>SWISS CLASSIC BARS MILK</t>
  </si>
  <si>
    <t>Sales Forecast</t>
  </si>
  <si>
    <r>
      <rPr>
        <b val="1"/>
        <sz val="9"/>
        <color indexed="18"/>
        <rFont val="Arial"/>
      </rPr>
      <t>LDT0001Sales Forecast</t>
    </r>
  </si>
  <si>
    <t>Sales Actual</t>
  </si>
  <si>
    <r>
      <rPr>
        <b val="1"/>
        <sz val="9"/>
        <color indexed="18"/>
        <rFont val="Arial"/>
      </rPr>
      <t>LDT0001Sales Actual</t>
    </r>
  </si>
  <si>
    <t>Order to Lindt</t>
  </si>
  <si>
    <r>
      <rPr>
        <b val="1"/>
        <sz val="9"/>
        <color indexed="18"/>
        <rFont val="Arial"/>
      </rPr>
      <t>LDT0001Order to Lindt</t>
    </r>
  </si>
  <si>
    <t>Lindt actual incoming</t>
  </si>
  <si>
    <r>
      <rPr>
        <b val="1"/>
        <sz val="9"/>
        <color indexed="18"/>
        <rFont val="Arial"/>
      </rPr>
      <t>LDT0001Lindt actual incoming</t>
    </r>
  </si>
  <si>
    <t>Stcok w/ incoming</t>
  </si>
  <si>
    <r>
      <rPr>
        <b val="1"/>
        <sz val="9"/>
        <color indexed="18"/>
        <rFont val="Arial"/>
      </rPr>
      <t>LDT0001Stcok w/ incoming</t>
    </r>
  </si>
  <si>
    <t>Actual stock</t>
  </si>
  <si>
    <r>
      <rPr>
        <b val="1"/>
        <sz val="9"/>
        <color indexed="18"/>
        <rFont val="Arial"/>
      </rPr>
      <t>LDT0001Actual stock</t>
    </r>
  </si>
  <si>
    <t>Shortage Estimation</t>
  </si>
  <si>
    <r>
      <rPr>
        <b val="1"/>
        <sz val="9"/>
        <color indexed="18"/>
        <rFont val="Arial"/>
      </rPr>
      <t>LDT0001Shortage Estimation</t>
    </r>
  </si>
  <si>
    <t>Stock used by date</t>
  </si>
  <si>
    <r>
      <rPr>
        <b val="1"/>
        <sz val="9"/>
        <color indexed="18"/>
        <rFont val="Arial"/>
      </rPr>
      <t>LDT0001Stock used by date</t>
    </r>
  </si>
  <si>
    <t>SL &lt;50% by the end</t>
  </si>
  <si>
    <r>
      <rPr>
        <b val="1"/>
        <sz val="9"/>
        <color indexed="18"/>
        <rFont val="Arial"/>
      </rPr>
      <t>LDT0001SL &lt;50% by the end</t>
    </r>
  </si>
  <si>
    <t>DSI by the end of month</t>
  </si>
  <si>
    <r>
      <rPr>
        <b val="1"/>
        <sz val="9"/>
        <color indexed="18"/>
        <rFont val="Arial"/>
      </rPr>
      <t>LDT0001DSI by the end of month</t>
    </r>
  </si>
  <si>
    <t>SinodisUnit: EA</t>
  </si>
  <si>
    <t>LDT0002</t>
  </si>
  <si>
    <t>SWISS CLASSIC MILK ALMOND</t>
  </si>
  <si>
    <r>
      <rPr>
        <b val="1"/>
        <sz val="9"/>
        <color indexed="18"/>
        <rFont val="Arial"/>
      </rPr>
      <t>LDT0002Sales Forecast</t>
    </r>
  </si>
  <si>
    <r>
      <rPr>
        <b val="1"/>
        <sz val="9"/>
        <color indexed="18"/>
        <rFont val="Arial"/>
      </rPr>
      <t>LDT0002Sales Actual</t>
    </r>
  </si>
  <si>
    <r>
      <rPr>
        <b val="1"/>
        <sz val="9"/>
        <color indexed="18"/>
        <rFont val="Arial"/>
      </rPr>
      <t>LDT0002Order to Lindt</t>
    </r>
  </si>
  <si>
    <r>
      <rPr>
        <b val="1"/>
        <sz val="9"/>
        <color indexed="18"/>
        <rFont val="Arial"/>
      </rPr>
      <t>LDT0002Lindt actual incoming</t>
    </r>
  </si>
  <si>
    <r>
      <rPr>
        <b val="1"/>
        <sz val="9"/>
        <color indexed="18"/>
        <rFont val="Arial"/>
      </rPr>
      <t>LDT0002Stcok w/ incoming</t>
    </r>
  </si>
  <si>
    <r>
      <rPr>
        <b val="1"/>
        <sz val="9"/>
        <color indexed="18"/>
        <rFont val="Arial"/>
      </rPr>
      <t>LDT0002Actual stock</t>
    </r>
  </si>
  <si>
    <r>
      <rPr>
        <b val="1"/>
        <sz val="9"/>
        <color indexed="18"/>
        <rFont val="Arial"/>
      </rPr>
      <t>LDT0002Shortage Estimation</t>
    </r>
  </si>
  <si>
    <r>
      <rPr>
        <b val="1"/>
        <sz val="9"/>
        <color indexed="18"/>
        <rFont val="Arial"/>
      </rPr>
      <t>LDT0002Stock used by date</t>
    </r>
  </si>
  <si>
    <r>
      <rPr>
        <b val="1"/>
        <sz val="9"/>
        <color indexed="18"/>
        <rFont val="Arial"/>
      </rPr>
      <t>LDT0002SL &lt;50% by the end</t>
    </r>
  </si>
  <si>
    <r>
      <rPr>
        <b val="1"/>
        <sz val="9"/>
        <color indexed="18"/>
        <rFont val="Arial"/>
      </rPr>
      <t>LDT0002DSI by the end of month</t>
    </r>
  </si>
  <si>
    <t>LDT0003</t>
  </si>
  <si>
    <t>SWISS CLASSIC MILK RAISIN NUT</t>
  </si>
  <si>
    <r>
      <rPr>
        <b val="1"/>
        <sz val="9"/>
        <color indexed="18"/>
        <rFont val="Arial"/>
      </rPr>
      <t>LDT0003Sales Forecast</t>
    </r>
  </si>
  <si>
    <r>
      <rPr>
        <b val="1"/>
        <sz val="9"/>
        <color indexed="18"/>
        <rFont val="Arial"/>
      </rPr>
      <t>LDT0003Sales Actual</t>
    </r>
  </si>
  <si>
    <r>
      <rPr>
        <b val="1"/>
        <sz val="9"/>
        <color indexed="18"/>
        <rFont val="Arial"/>
      </rPr>
      <t>LDT0003Order to Lindt</t>
    </r>
  </si>
  <si>
    <r>
      <rPr>
        <b val="1"/>
        <sz val="9"/>
        <color indexed="18"/>
        <rFont val="Arial"/>
      </rPr>
      <t>LDT0003Lindt actual incoming</t>
    </r>
  </si>
  <si>
    <r>
      <rPr>
        <b val="1"/>
        <sz val="9"/>
        <color indexed="18"/>
        <rFont val="Arial"/>
      </rPr>
      <t>LDT0003Stcok w/ incoming</t>
    </r>
  </si>
  <si>
    <r>
      <rPr>
        <b val="1"/>
        <sz val="9"/>
        <color indexed="18"/>
        <rFont val="Arial"/>
      </rPr>
      <t>LDT0003Actual stock</t>
    </r>
  </si>
  <si>
    <r>
      <rPr>
        <b val="1"/>
        <sz val="9"/>
        <color indexed="18"/>
        <rFont val="Arial"/>
      </rPr>
      <t>LDT0003Shortage Estimation</t>
    </r>
  </si>
  <si>
    <r>
      <rPr>
        <b val="1"/>
        <sz val="9"/>
        <color indexed="18"/>
        <rFont val="Arial"/>
      </rPr>
      <t>LDT0003Stock used by date</t>
    </r>
  </si>
  <si>
    <r>
      <rPr>
        <b val="1"/>
        <sz val="9"/>
        <color indexed="18"/>
        <rFont val="Arial"/>
      </rPr>
      <t>LDT0003SL &lt;50% by the end</t>
    </r>
  </si>
  <si>
    <r>
      <rPr>
        <b val="1"/>
        <sz val="9"/>
        <color indexed="18"/>
        <rFont val="Arial"/>
      </rPr>
      <t>LDT0003DSI by the end of month</t>
    </r>
  </si>
  <si>
    <t>LDT0004</t>
  </si>
  <si>
    <t>SWISS CLASSIC MILK HAZELNUT</t>
  </si>
  <si>
    <r>
      <rPr>
        <b val="1"/>
        <sz val="9"/>
        <color indexed="18"/>
        <rFont val="Arial"/>
      </rPr>
      <t>LDT0004Sales Forecast</t>
    </r>
  </si>
  <si>
    <r>
      <rPr>
        <b val="1"/>
        <sz val="9"/>
        <color indexed="18"/>
        <rFont val="Arial"/>
      </rPr>
      <t>LDT0004Sales Actual</t>
    </r>
  </si>
  <si>
    <r>
      <rPr>
        <b val="1"/>
        <sz val="9"/>
        <color indexed="18"/>
        <rFont val="Arial"/>
      </rPr>
      <t>LDT0004Order to Lindt</t>
    </r>
  </si>
  <si>
    <r>
      <rPr>
        <b val="1"/>
        <sz val="9"/>
        <color indexed="18"/>
        <rFont val="Arial"/>
      </rPr>
      <t>LDT0004Lindt actual incoming</t>
    </r>
  </si>
  <si>
    <r>
      <rPr>
        <b val="1"/>
        <sz val="9"/>
        <color indexed="18"/>
        <rFont val="Arial"/>
      </rPr>
      <t>LDT0004Stcok w/ incoming</t>
    </r>
  </si>
  <si>
    <r>
      <rPr>
        <b val="1"/>
        <sz val="9"/>
        <color indexed="18"/>
        <rFont val="Arial"/>
      </rPr>
      <t>LDT0004Actual stock</t>
    </r>
  </si>
  <si>
    <r>
      <rPr>
        <b val="1"/>
        <sz val="9"/>
        <color indexed="18"/>
        <rFont val="Arial"/>
      </rPr>
      <t>LDT0004Shortage Estimation</t>
    </r>
  </si>
  <si>
    <r>
      <rPr>
        <b val="1"/>
        <sz val="9"/>
        <color indexed="18"/>
        <rFont val="Arial"/>
      </rPr>
      <t>LDT0004Stock used by date</t>
    </r>
  </si>
  <si>
    <r>
      <rPr>
        <b val="1"/>
        <sz val="9"/>
        <color indexed="18"/>
        <rFont val="Arial"/>
      </rPr>
      <t>LDT0004SL &lt;50% by the end</t>
    </r>
  </si>
  <si>
    <r>
      <rPr>
        <b val="1"/>
        <sz val="9"/>
        <color indexed="18"/>
        <rFont val="Arial"/>
      </rPr>
      <t>LDT0004DSI by the end of month</t>
    </r>
  </si>
  <si>
    <t>LDT0005</t>
  </si>
  <si>
    <t>SWISS CLASSIC DARK</t>
  </si>
  <si>
    <r>
      <rPr>
        <b val="1"/>
        <sz val="9"/>
        <color indexed="18"/>
        <rFont val="Arial"/>
      </rPr>
      <t>LDT0005Sales Forecast</t>
    </r>
  </si>
  <si>
    <r>
      <rPr>
        <b val="1"/>
        <sz val="9"/>
        <color indexed="18"/>
        <rFont val="Arial"/>
      </rPr>
      <t>LDT0005Sales Actual</t>
    </r>
  </si>
  <si>
    <r>
      <rPr>
        <b val="1"/>
        <sz val="9"/>
        <color indexed="18"/>
        <rFont val="Arial"/>
      </rPr>
      <t>LDT0005Order to Lindt</t>
    </r>
  </si>
  <si>
    <r>
      <rPr>
        <b val="1"/>
        <sz val="9"/>
        <color indexed="18"/>
        <rFont val="Arial"/>
      </rPr>
      <t>LDT0005Lindt actual incoming</t>
    </r>
  </si>
  <si>
    <r>
      <rPr>
        <b val="1"/>
        <sz val="9"/>
        <color indexed="18"/>
        <rFont val="Arial"/>
      </rPr>
      <t>LDT0005Stcok w/ incoming</t>
    </r>
  </si>
  <si>
    <r>
      <rPr>
        <b val="1"/>
        <sz val="9"/>
        <color indexed="18"/>
        <rFont val="Arial"/>
      </rPr>
      <t>LDT0005Actual stock</t>
    </r>
  </si>
  <si>
    <r>
      <rPr>
        <b val="1"/>
        <sz val="9"/>
        <color indexed="18"/>
        <rFont val="Arial"/>
      </rPr>
      <t>LDT0005Shortage Estimation</t>
    </r>
  </si>
  <si>
    <r>
      <rPr>
        <b val="1"/>
        <sz val="9"/>
        <color indexed="18"/>
        <rFont val="Arial"/>
      </rPr>
      <t>LDT0005Stock used by date</t>
    </r>
  </si>
  <si>
    <r>
      <rPr>
        <b val="1"/>
        <sz val="9"/>
        <color indexed="18"/>
        <rFont val="Arial"/>
      </rPr>
      <t>LDT0005SL &lt;50% by the end</t>
    </r>
  </si>
  <si>
    <r>
      <rPr>
        <b val="1"/>
        <sz val="9"/>
        <color indexed="18"/>
        <rFont val="Arial"/>
      </rPr>
      <t>LDT0005DSI by the end of month</t>
    </r>
  </si>
  <si>
    <t>LDT0006</t>
  </si>
  <si>
    <t>THINS MILK</t>
  </si>
  <si>
    <r>
      <rPr>
        <b val="1"/>
        <sz val="9"/>
        <color indexed="18"/>
        <rFont val="Arial"/>
      </rPr>
      <t>LDT0006Sales Forecast</t>
    </r>
  </si>
  <si>
    <r>
      <rPr>
        <b val="1"/>
        <sz val="9"/>
        <color indexed="18"/>
        <rFont val="Arial"/>
      </rPr>
      <t>LDT0006Sales Actual</t>
    </r>
  </si>
  <si>
    <r>
      <rPr>
        <b val="1"/>
        <sz val="9"/>
        <color indexed="18"/>
        <rFont val="Arial"/>
      </rPr>
      <t>LDT0006Order to Lindt</t>
    </r>
  </si>
  <si>
    <r>
      <rPr>
        <b val="1"/>
        <sz val="9"/>
        <color indexed="18"/>
        <rFont val="Arial"/>
      </rPr>
      <t>LDT0006Lindt actual incoming</t>
    </r>
  </si>
  <si>
    <r>
      <rPr>
        <b val="1"/>
        <sz val="9"/>
        <color indexed="18"/>
        <rFont val="Arial"/>
      </rPr>
      <t>LDT0006Stcok w/ incoming</t>
    </r>
  </si>
  <si>
    <r>
      <rPr>
        <b val="1"/>
        <sz val="9"/>
        <color indexed="18"/>
        <rFont val="Arial"/>
      </rPr>
      <t>LDT0006Actual stock</t>
    </r>
  </si>
  <si>
    <r>
      <rPr>
        <b val="1"/>
        <sz val="9"/>
        <color indexed="18"/>
        <rFont val="Arial"/>
      </rPr>
      <t>LDT0006Shortage Estimation</t>
    </r>
  </si>
  <si>
    <r>
      <rPr>
        <b val="1"/>
        <sz val="9"/>
        <color indexed="18"/>
        <rFont val="Arial"/>
      </rPr>
      <t>LDT0006Stock used by date</t>
    </r>
  </si>
  <si>
    <r>
      <rPr>
        <b val="1"/>
        <sz val="9"/>
        <color indexed="18"/>
        <rFont val="Arial"/>
      </rPr>
      <t>LDT0006SL &lt;50% by the end</t>
    </r>
  </si>
  <si>
    <r>
      <rPr>
        <b val="1"/>
        <sz val="9"/>
        <color indexed="18"/>
        <rFont val="Arial"/>
      </rPr>
      <t>LDT0006DSI by the end of month</t>
    </r>
  </si>
  <si>
    <t>LDT0007</t>
  </si>
  <si>
    <t>THINS DARK</t>
  </si>
  <si>
    <r>
      <rPr>
        <b val="1"/>
        <sz val="9"/>
        <color indexed="18"/>
        <rFont val="Arial"/>
      </rPr>
      <t>LDT0007Sales Forecast</t>
    </r>
  </si>
  <si>
    <r>
      <rPr>
        <b val="1"/>
        <sz val="9"/>
        <color indexed="18"/>
        <rFont val="Arial"/>
      </rPr>
      <t>LDT0007Sales Actual</t>
    </r>
  </si>
  <si>
    <r>
      <rPr>
        <b val="1"/>
        <sz val="9"/>
        <color indexed="18"/>
        <rFont val="Arial"/>
      </rPr>
      <t>LDT0007Order to Lindt</t>
    </r>
  </si>
  <si>
    <r>
      <rPr>
        <b val="1"/>
        <sz val="9"/>
        <color indexed="18"/>
        <rFont val="Arial"/>
      </rPr>
      <t>LDT0007Lindt actual incoming</t>
    </r>
  </si>
  <si>
    <r>
      <rPr>
        <b val="1"/>
        <sz val="9"/>
        <color indexed="18"/>
        <rFont val="Arial"/>
      </rPr>
      <t>LDT0007Stcok w/ incoming</t>
    </r>
  </si>
  <si>
    <r>
      <rPr>
        <b val="1"/>
        <sz val="9"/>
        <color indexed="18"/>
        <rFont val="Arial"/>
      </rPr>
      <t>LDT0007Actual stock</t>
    </r>
  </si>
  <si>
    <r>
      <rPr>
        <b val="1"/>
        <sz val="9"/>
        <color indexed="18"/>
        <rFont val="Arial"/>
      </rPr>
      <t>LDT0007Shortage Estimation</t>
    </r>
  </si>
  <si>
    <r>
      <rPr>
        <b val="1"/>
        <sz val="9"/>
        <color indexed="18"/>
        <rFont val="Arial"/>
      </rPr>
      <t>LDT0007Stock used by date</t>
    </r>
  </si>
  <si>
    <r>
      <rPr>
        <b val="1"/>
        <sz val="9"/>
        <color indexed="18"/>
        <rFont val="Arial"/>
      </rPr>
      <t>LDT0007SL &lt;50% by the end</t>
    </r>
  </si>
  <si>
    <r>
      <rPr>
        <b val="1"/>
        <sz val="9"/>
        <color indexed="18"/>
        <rFont val="Arial"/>
      </rPr>
      <t>LDT0007DSI by the end of month</t>
    </r>
  </si>
  <si>
    <t>LDT0008</t>
  </si>
  <si>
    <t>EXCELLENCE 50% DARK</t>
  </si>
  <si>
    <r>
      <rPr>
        <b val="1"/>
        <sz val="9"/>
        <color indexed="18"/>
        <rFont val="Arial"/>
      </rPr>
      <t>LDT0008Sales Forecast</t>
    </r>
  </si>
  <si>
    <r>
      <rPr>
        <b val="1"/>
        <sz val="9"/>
        <color indexed="18"/>
        <rFont val="Arial"/>
      </rPr>
      <t>LDT0008Sales Actual</t>
    </r>
  </si>
  <si>
    <r>
      <rPr>
        <b val="1"/>
        <sz val="9"/>
        <color indexed="18"/>
        <rFont val="Arial"/>
      </rPr>
      <t>LDT0008Order to Lindt</t>
    </r>
  </si>
  <si>
    <r>
      <rPr>
        <b val="1"/>
        <sz val="9"/>
        <color indexed="18"/>
        <rFont val="Arial"/>
      </rPr>
      <t>LDT0008Lindt actual incoming</t>
    </r>
  </si>
  <si>
    <r>
      <rPr>
        <b val="1"/>
        <sz val="9"/>
        <color indexed="18"/>
        <rFont val="Arial"/>
      </rPr>
      <t>LDT0008Stcok w/ incoming</t>
    </r>
  </si>
  <si>
    <r>
      <rPr>
        <b val="1"/>
        <sz val="9"/>
        <color indexed="18"/>
        <rFont val="Arial"/>
      </rPr>
      <t>LDT0008Actual stock</t>
    </r>
  </si>
  <si>
    <r>
      <rPr>
        <b val="1"/>
        <sz val="9"/>
        <color indexed="18"/>
        <rFont val="Arial"/>
      </rPr>
      <t>LDT0008Shortage Estimation</t>
    </r>
  </si>
  <si>
    <r>
      <rPr>
        <b val="1"/>
        <sz val="9"/>
        <color indexed="18"/>
        <rFont val="Arial"/>
      </rPr>
      <t>LDT0008Stock used by date</t>
    </r>
  </si>
  <si>
    <r>
      <rPr>
        <b val="1"/>
        <sz val="9"/>
        <color indexed="18"/>
        <rFont val="Arial"/>
      </rPr>
      <t>LDT0008SL &lt;50% by the end</t>
    </r>
  </si>
  <si>
    <r>
      <rPr>
        <b val="1"/>
        <sz val="9"/>
        <color indexed="18"/>
        <rFont val="Arial"/>
      </rPr>
      <t>LDT0008DSI by the end of month</t>
    </r>
  </si>
  <si>
    <t>LDT0009</t>
  </si>
  <si>
    <t>EXCELLENCE INTENSE ORANGE</t>
  </si>
  <si>
    <r>
      <rPr>
        <b val="1"/>
        <sz val="9"/>
        <color indexed="18"/>
        <rFont val="Arial"/>
      </rPr>
      <t>LDT0009Sales Forecast</t>
    </r>
  </si>
  <si>
    <r>
      <rPr>
        <b val="1"/>
        <sz val="9"/>
        <color indexed="18"/>
        <rFont val="Arial"/>
      </rPr>
      <t>LDT0009Sales Actual</t>
    </r>
  </si>
  <si>
    <r>
      <rPr>
        <b val="1"/>
        <sz val="9"/>
        <color indexed="18"/>
        <rFont val="Arial"/>
      </rPr>
      <t>LDT0009Order to Lindt</t>
    </r>
  </si>
  <si>
    <r>
      <rPr>
        <b val="1"/>
        <sz val="9"/>
        <color indexed="18"/>
        <rFont val="Arial"/>
      </rPr>
      <t>LDT0009Lindt actual incoming</t>
    </r>
  </si>
  <si>
    <r>
      <rPr>
        <b val="1"/>
        <sz val="9"/>
        <color indexed="18"/>
        <rFont val="Arial"/>
      </rPr>
      <t>LDT0009Stcok w/ incoming</t>
    </r>
  </si>
  <si>
    <r>
      <rPr>
        <b val="1"/>
        <sz val="9"/>
        <color indexed="18"/>
        <rFont val="Arial"/>
      </rPr>
      <t>LDT0009Actual stock</t>
    </r>
  </si>
  <si>
    <r>
      <rPr>
        <b val="1"/>
        <sz val="9"/>
        <color indexed="18"/>
        <rFont val="Arial"/>
      </rPr>
      <t>LDT0009Shortage Estimation</t>
    </r>
  </si>
  <si>
    <r>
      <rPr>
        <b val="1"/>
        <sz val="9"/>
        <color indexed="18"/>
        <rFont val="Arial"/>
      </rPr>
      <t>LDT0009Stock used by date</t>
    </r>
  </si>
  <si>
    <r>
      <rPr>
        <b val="1"/>
        <sz val="9"/>
        <color indexed="18"/>
        <rFont val="Arial"/>
      </rPr>
      <t>LDT0009SL &lt;50% by the end</t>
    </r>
  </si>
  <si>
    <r>
      <rPr>
        <b val="1"/>
        <sz val="9"/>
        <color indexed="18"/>
        <rFont val="Arial"/>
      </rPr>
      <t>LDT0009DSI by the end of month</t>
    </r>
  </si>
  <si>
    <t>LDT0010</t>
  </si>
  <si>
    <t>EXCELLENCE TOUCH OF SEA SALT</t>
  </si>
  <si>
    <r>
      <rPr>
        <b val="1"/>
        <sz val="9"/>
        <color indexed="18"/>
        <rFont val="Arial"/>
      </rPr>
      <t>LDT0010Sales Forecast</t>
    </r>
  </si>
  <si>
    <r>
      <rPr>
        <b val="1"/>
        <sz val="9"/>
        <color indexed="18"/>
        <rFont val="Arial"/>
      </rPr>
      <t>LDT0010Sales Actual</t>
    </r>
  </si>
  <si>
    <r>
      <rPr>
        <b val="1"/>
        <sz val="9"/>
        <color indexed="18"/>
        <rFont val="Arial"/>
      </rPr>
      <t>LDT0010Order to Lindt</t>
    </r>
  </si>
  <si>
    <r>
      <rPr>
        <b val="1"/>
        <sz val="9"/>
        <color indexed="18"/>
        <rFont val="Arial"/>
      </rPr>
      <t>LDT0010Lindt actual incoming</t>
    </r>
  </si>
  <si>
    <r>
      <rPr>
        <b val="1"/>
        <sz val="9"/>
        <color indexed="18"/>
        <rFont val="Arial"/>
      </rPr>
      <t>LDT0010Stcok w/ incoming</t>
    </r>
  </si>
  <si>
    <r>
      <rPr>
        <b val="1"/>
        <sz val="9"/>
        <color indexed="18"/>
        <rFont val="Arial"/>
      </rPr>
      <t>LDT0010Actual stock</t>
    </r>
  </si>
  <si>
    <r>
      <rPr>
        <b val="1"/>
        <sz val="9"/>
        <color indexed="18"/>
        <rFont val="Arial"/>
      </rPr>
      <t>LDT0010Shortage Estimation</t>
    </r>
  </si>
  <si>
    <r>
      <rPr>
        <b val="1"/>
        <sz val="9"/>
        <color indexed="18"/>
        <rFont val="Arial"/>
      </rPr>
      <t>LDT0010Stock used by date</t>
    </r>
  </si>
  <si>
    <r>
      <rPr>
        <b val="1"/>
        <sz val="9"/>
        <color indexed="18"/>
        <rFont val="Arial"/>
      </rPr>
      <t>LDT0010SL &lt;50% by the end</t>
    </r>
  </si>
  <si>
    <r>
      <rPr>
        <b val="1"/>
        <sz val="9"/>
        <color indexed="18"/>
        <rFont val="Arial"/>
      </rPr>
      <t>LDT0010DSI by the end of month</t>
    </r>
  </si>
  <si>
    <t>LDT0011</t>
  </si>
  <si>
    <t>EXCELLENCE DARK 70% NON-MILD</t>
  </si>
  <si>
    <r>
      <rPr>
        <b val="1"/>
        <sz val="9"/>
        <color indexed="18"/>
        <rFont val="Arial"/>
      </rPr>
      <t>LDT0011Sales Forecast</t>
    </r>
  </si>
  <si>
    <r>
      <rPr>
        <b val="1"/>
        <sz val="9"/>
        <color indexed="18"/>
        <rFont val="Arial"/>
      </rPr>
      <t>LDT0011Sales Actual</t>
    </r>
  </si>
  <si>
    <r>
      <rPr>
        <b val="1"/>
        <sz val="9"/>
        <color indexed="18"/>
        <rFont val="Arial"/>
      </rPr>
      <t>LDT0011Order to Lindt</t>
    </r>
  </si>
  <si>
    <r>
      <rPr>
        <b val="1"/>
        <sz val="9"/>
        <color indexed="18"/>
        <rFont val="Arial"/>
      </rPr>
      <t>LDT0011Lindt actual incoming</t>
    </r>
  </si>
  <si>
    <r>
      <rPr>
        <b val="1"/>
        <sz val="9"/>
        <color indexed="18"/>
        <rFont val="Arial"/>
      </rPr>
      <t>LDT0011Stcok w/ incoming</t>
    </r>
  </si>
  <si>
    <r>
      <rPr>
        <b val="1"/>
        <sz val="9"/>
        <color indexed="18"/>
        <rFont val="Arial"/>
      </rPr>
      <t>LDT0011Actual stock</t>
    </r>
  </si>
  <si>
    <r>
      <rPr>
        <b val="1"/>
        <sz val="9"/>
        <color indexed="18"/>
        <rFont val="Arial"/>
      </rPr>
      <t>LDT0011Shortage Estimation</t>
    </r>
  </si>
  <si>
    <r>
      <rPr>
        <b val="1"/>
        <sz val="9"/>
        <color indexed="18"/>
        <rFont val="Arial"/>
      </rPr>
      <t>LDT0011Stock used by date</t>
    </r>
  </si>
  <si>
    <r>
      <rPr>
        <b val="1"/>
        <sz val="9"/>
        <color indexed="18"/>
        <rFont val="Arial"/>
      </rPr>
      <t>LDT0011SL &lt;50% by the end</t>
    </r>
  </si>
  <si>
    <r>
      <rPr>
        <b val="1"/>
        <sz val="9"/>
        <color indexed="18"/>
        <rFont val="Arial"/>
      </rPr>
      <t>LDT0011DSI by the end of month</t>
    </r>
  </si>
  <si>
    <t>LDT0012</t>
  </si>
  <si>
    <t>EXCELLENCE 85% DARK</t>
  </si>
  <si>
    <r>
      <rPr>
        <b val="1"/>
        <sz val="9"/>
        <color indexed="18"/>
        <rFont val="Arial"/>
      </rPr>
      <t>LDT0012Sales Forecast</t>
    </r>
  </si>
  <si>
    <r>
      <rPr>
        <b val="1"/>
        <sz val="9"/>
        <color indexed="18"/>
        <rFont val="Arial"/>
      </rPr>
      <t>LDT0012Sales Actual</t>
    </r>
  </si>
  <si>
    <r>
      <rPr>
        <b val="1"/>
        <sz val="9"/>
        <color indexed="18"/>
        <rFont val="Arial"/>
      </rPr>
      <t>LDT0012Order to Lindt</t>
    </r>
  </si>
  <si>
    <r>
      <rPr>
        <b val="1"/>
        <sz val="9"/>
        <color indexed="18"/>
        <rFont val="Arial"/>
      </rPr>
      <t>LDT0012Lindt actual incoming</t>
    </r>
  </si>
  <si>
    <r>
      <rPr>
        <b val="1"/>
        <sz val="9"/>
        <color indexed="18"/>
        <rFont val="Arial"/>
      </rPr>
      <t>LDT0012Stcok w/ incoming</t>
    </r>
  </si>
  <si>
    <r>
      <rPr>
        <b val="1"/>
        <sz val="9"/>
        <color indexed="18"/>
        <rFont val="Arial"/>
      </rPr>
      <t>LDT0012Actual stock</t>
    </r>
  </si>
  <si>
    <r>
      <rPr>
        <b val="1"/>
        <sz val="9"/>
        <color indexed="18"/>
        <rFont val="Arial"/>
      </rPr>
      <t>LDT0012Shortage Estimation</t>
    </r>
  </si>
  <si>
    <r>
      <rPr>
        <b val="1"/>
        <sz val="9"/>
        <color indexed="18"/>
        <rFont val="Arial"/>
      </rPr>
      <t>LDT0012Stock used by date</t>
    </r>
  </si>
  <si>
    <r>
      <rPr>
        <b val="1"/>
        <sz val="9"/>
        <color indexed="18"/>
        <rFont val="Arial"/>
      </rPr>
      <t>LDT0012SL &lt;50% by the end</t>
    </r>
  </si>
  <si>
    <r>
      <rPr>
        <b val="1"/>
        <sz val="9"/>
        <color indexed="18"/>
        <rFont val="Arial"/>
      </rPr>
      <t>LDT0012DSI by the end of month</t>
    </r>
  </si>
  <si>
    <t>LDT0013</t>
  </si>
  <si>
    <t>EXCELLENCE 99% DARK50G</t>
  </si>
  <si>
    <r>
      <rPr>
        <b val="1"/>
        <sz val="9"/>
        <color indexed="18"/>
        <rFont val="Arial"/>
      </rPr>
      <t>LDT0013Sales Forecast</t>
    </r>
  </si>
  <si>
    <r>
      <rPr>
        <b val="1"/>
        <sz val="9"/>
        <color indexed="18"/>
        <rFont val="Arial"/>
      </rPr>
      <t>LDT0013Sales Actual</t>
    </r>
  </si>
  <si>
    <r>
      <rPr>
        <b val="1"/>
        <sz val="9"/>
        <color indexed="18"/>
        <rFont val="Arial"/>
      </rPr>
      <t>LDT0013Order to Lindt</t>
    </r>
  </si>
  <si>
    <r>
      <rPr>
        <b val="1"/>
        <sz val="9"/>
        <color indexed="18"/>
        <rFont val="Arial"/>
      </rPr>
      <t>LDT0013Lindt actual incoming</t>
    </r>
  </si>
  <si>
    <r>
      <rPr>
        <b val="1"/>
        <sz val="9"/>
        <color indexed="18"/>
        <rFont val="Arial"/>
      </rPr>
      <t>LDT0013Stcok w/ incoming</t>
    </r>
  </si>
  <si>
    <r>
      <rPr>
        <b val="1"/>
        <sz val="9"/>
        <color indexed="18"/>
        <rFont val="Arial"/>
      </rPr>
      <t>LDT0013Actual stock</t>
    </r>
  </si>
  <si>
    <r>
      <rPr>
        <b val="1"/>
        <sz val="9"/>
        <color indexed="18"/>
        <rFont val="Arial"/>
      </rPr>
      <t>LDT0013Shortage Estimation</t>
    </r>
  </si>
  <si>
    <r>
      <rPr>
        <b val="1"/>
        <sz val="9"/>
        <color indexed="18"/>
        <rFont val="Arial"/>
      </rPr>
      <t>LDT0013Stock used by date</t>
    </r>
  </si>
  <si>
    <r>
      <rPr>
        <b val="1"/>
        <sz val="9"/>
        <color indexed="18"/>
        <rFont val="Arial"/>
      </rPr>
      <t>LDT0013SL &lt;50% by the end</t>
    </r>
  </si>
  <si>
    <r>
      <rPr>
        <b val="1"/>
        <sz val="9"/>
        <color indexed="18"/>
        <rFont val="Arial"/>
      </rPr>
      <t>LDT0013DSI by the end of month</t>
    </r>
  </si>
  <si>
    <t>LDT0053</t>
  </si>
  <si>
    <t>EXCELLENCE 78% DARK</t>
  </si>
  <si>
    <r>
      <rPr>
        <b val="1"/>
        <sz val="9"/>
        <color indexed="18"/>
        <rFont val="Arial"/>
      </rPr>
      <t>LDT0053Sales Forecast</t>
    </r>
  </si>
  <si>
    <r>
      <rPr>
        <b val="1"/>
        <sz val="9"/>
        <color indexed="18"/>
        <rFont val="Arial"/>
      </rPr>
      <t>LDT0053Sales Actual</t>
    </r>
  </si>
  <si>
    <r>
      <rPr>
        <b val="1"/>
        <sz val="9"/>
        <color indexed="18"/>
        <rFont val="Arial"/>
      </rPr>
      <t>LDT0053Order to Lindt</t>
    </r>
  </si>
  <si>
    <r>
      <rPr>
        <b val="1"/>
        <sz val="9"/>
        <color indexed="18"/>
        <rFont val="Arial"/>
      </rPr>
      <t>LDT0053Lindt actual incoming</t>
    </r>
  </si>
  <si>
    <r>
      <rPr>
        <b val="1"/>
        <sz val="9"/>
        <color indexed="18"/>
        <rFont val="Arial"/>
      </rPr>
      <t>LDT0053Stcok w/ incoming</t>
    </r>
  </si>
  <si>
    <r>
      <rPr>
        <b val="1"/>
        <sz val="9"/>
        <color indexed="18"/>
        <rFont val="Arial"/>
      </rPr>
      <t>LDT0053Actual stock</t>
    </r>
  </si>
  <si>
    <r>
      <rPr>
        <b val="1"/>
        <sz val="9"/>
        <color indexed="18"/>
        <rFont val="Arial"/>
      </rPr>
      <t>LDT0053Shortage Estimation</t>
    </r>
  </si>
  <si>
    <r>
      <rPr>
        <b val="1"/>
        <sz val="9"/>
        <color indexed="18"/>
        <rFont val="Arial"/>
      </rPr>
      <t>LDT0053Stock used by date</t>
    </r>
  </si>
  <si>
    <r>
      <rPr>
        <b val="1"/>
        <sz val="9"/>
        <color indexed="18"/>
        <rFont val="Arial"/>
      </rPr>
      <t>LDT0053SL &lt;50% by the end</t>
    </r>
  </si>
  <si>
    <r>
      <rPr>
        <b val="1"/>
        <sz val="9"/>
        <color indexed="18"/>
        <rFont val="Arial"/>
      </rPr>
      <t>LDT0053DSI by the end of month</t>
    </r>
  </si>
  <si>
    <t>LDT0054</t>
  </si>
  <si>
    <t>EXCELLENCE 90% DARK</t>
  </si>
  <si>
    <r>
      <rPr>
        <b val="1"/>
        <sz val="9"/>
        <color indexed="18"/>
        <rFont val="Arial"/>
      </rPr>
      <t>LDT0054Sales Forecast</t>
    </r>
  </si>
  <si>
    <r>
      <rPr>
        <b val="1"/>
        <sz val="9"/>
        <color indexed="18"/>
        <rFont val="Arial"/>
      </rPr>
      <t>LDT0054Sales Actual</t>
    </r>
  </si>
  <si>
    <r>
      <rPr>
        <b val="1"/>
        <sz val="9"/>
        <color indexed="18"/>
        <rFont val="Arial"/>
      </rPr>
      <t>LDT0054Order to Lindt</t>
    </r>
  </si>
  <si>
    <r>
      <rPr>
        <b val="1"/>
        <sz val="9"/>
        <color indexed="18"/>
        <rFont val="Arial"/>
      </rPr>
      <t>LDT0054Lindt actual incoming</t>
    </r>
  </si>
  <si>
    <r>
      <rPr>
        <b val="1"/>
        <sz val="9"/>
        <color indexed="18"/>
        <rFont val="Arial"/>
      </rPr>
      <t>LDT0054Stcok w/ incoming</t>
    </r>
  </si>
  <si>
    <r>
      <rPr>
        <b val="1"/>
        <sz val="9"/>
        <color indexed="18"/>
        <rFont val="Arial"/>
      </rPr>
      <t>LDT0054Actual stock</t>
    </r>
  </si>
  <si>
    <r>
      <rPr>
        <b val="1"/>
        <sz val="9"/>
        <color indexed="18"/>
        <rFont val="Arial"/>
      </rPr>
      <t>LDT0054Shortage Estimation</t>
    </r>
  </si>
  <si>
    <r>
      <rPr>
        <b val="1"/>
        <sz val="9"/>
        <color indexed="18"/>
        <rFont val="Arial"/>
      </rPr>
      <t>LDT0054Stock used by date</t>
    </r>
  </si>
  <si>
    <r>
      <rPr>
        <b val="1"/>
        <sz val="9"/>
        <color indexed="18"/>
        <rFont val="Arial"/>
      </rPr>
      <t>LDT0054SL &lt;50% by the end</t>
    </r>
  </si>
  <si>
    <r>
      <rPr>
        <b val="1"/>
        <sz val="9"/>
        <color indexed="18"/>
        <rFont val="Arial"/>
      </rPr>
      <t>LDT0054DSI by the end of month</t>
    </r>
  </si>
  <si>
    <t>Total</t>
  </si>
  <si>
    <t>LDT0014</t>
  </si>
  <si>
    <t>Lindor Singles Milk, 100g</t>
  </si>
  <si>
    <r>
      <rPr>
        <b val="1"/>
        <sz val="9"/>
        <color indexed="18"/>
        <rFont val="Arial"/>
      </rPr>
      <t>LDT0014Sales Forecast</t>
    </r>
  </si>
  <si>
    <r>
      <rPr>
        <b val="1"/>
        <sz val="9"/>
        <color indexed="18"/>
        <rFont val="Arial"/>
      </rPr>
      <t>LDT0014Sales Actual</t>
    </r>
  </si>
  <si>
    <r>
      <rPr>
        <b val="1"/>
        <sz val="9"/>
        <color indexed="18"/>
        <rFont val="Arial"/>
      </rPr>
      <t>LDT0014Order to Lindt</t>
    </r>
  </si>
  <si>
    <r>
      <rPr>
        <b val="1"/>
        <sz val="9"/>
        <color indexed="18"/>
        <rFont val="Arial"/>
      </rPr>
      <t>LDT0014Lindt actual incoming</t>
    </r>
  </si>
  <si>
    <r>
      <rPr>
        <b val="1"/>
        <sz val="9"/>
        <color indexed="18"/>
        <rFont val="Arial"/>
      </rPr>
      <t>LDT0014Stcok w/ incoming</t>
    </r>
  </si>
  <si>
    <r>
      <rPr>
        <b val="1"/>
        <sz val="9"/>
        <color indexed="18"/>
        <rFont val="Arial"/>
      </rPr>
      <t>LDT0014Actual stock</t>
    </r>
  </si>
  <si>
    <r>
      <rPr>
        <b val="1"/>
        <sz val="9"/>
        <color indexed="18"/>
        <rFont val="Arial"/>
      </rPr>
      <t>LDT0014Shortage Estimation</t>
    </r>
  </si>
  <si>
    <r>
      <rPr>
        <b val="1"/>
        <sz val="9"/>
        <color indexed="18"/>
        <rFont val="Arial"/>
      </rPr>
      <t>LDT0014Stock used by date</t>
    </r>
  </si>
  <si>
    <r>
      <rPr>
        <b val="1"/>
        <sz val="9"/>
        <color indexed="18"/>
        <rFont val="Arial"/>
      </rPr>
      <t>LDT0014SL &lt;50% by the end</t>
    </r>
  </si>
  <si>
    <r>
      <rPr>
        <b val="1"/>
        <sz val="9"/>
        <color indexed="18"/>
        <rFont val="Arial"/>
      </rPr>
      <t>LDT0014DSI by the end of month</t>
    </r>
  </si>
  <si>
    <t>LDT0015</t>
  </si>
  <si>
    <t>Lindor Singles Hazelnut, 100g</t>
  </si>
  <si>
    <r>
      <rPr>
        <b val="1"/>
        <sz val="9"/>
        <color indexed="18"/>
        <rFont val="Arial"/>
      </rPr>
      <t>LDT0015Sales Forecast</t>
    </r>
  </si>
  <si>
    <r>
      <rPr>
        <b val="1"/>
        <sz val="9"/>
        <color indexed="18"/>
        <rFont val="Arial"/>
      </rPr>
      <t>LDT0015Sales Actual</t>
    </r>
  </si>
  <si>
    <r>
      <rPr>
        <b val="1"/>
        <sz val="9"/>
        <color indexed="18"/>
        <rFont val="Arial"/>
      </rPr>
      <t>LDT0015Order to Lindt</t>
    </r>
  </si>
  <si>
    <r>
      <rPr>
        <b val="1"/>
        <sz val="9"/>
        <color indexed="18"/>
        <rFont val="Arial"/>
      </rPr>
      <t>LDT0015Lindt actual incoming</t>
    </r>
  </si>
  <si>
    <r>
      <rPr>
        <b val="1"/>
        <sz val="9"/>
        <color indexed="18"/>
        <rFont val="Arial"/>
      </rPr>
      <t>LDT0015Stcok w/ incoming</t>
    </r>
  </si>
  <si>
    <r>
      <rPr>
        <b val="1"/>
        <sz val="9"/>
        <color indexed="18"/>
        <rFont val="Arial"/>
      </rPr>
      <t>LDT0015Actual stock</t>
    </r>
  </si>
  <si>
    <r>
      <rPr>
        <b val="1"/>
        <sz val="9"/>
        <color indexed="18"/>
        <rFont val="Arial"/>
      </rPr>
      <t>LDT0015Shortage Estimation</t>
    </r>
  </si>
  <si>
    <r>
      <rPr>
        <b val="1"/>
        <sz val="9"/>
        <color indexed="18"/>
        <rFont val="Arial"/>
      </rPr>
      <t>LDT0015Stock used by date</t>
    </r>
  </si>
  <si>
    <r>
      <rPr>
        <b val="1"/>
        <sz val="9"/>
        <color indexed="18"/>
        <rFont val="Arial"/>
      </rPr>
      <t>LDT0015SL &lt;50% by the end</t>
    </r>
  </si>
  <si>
    <r>
      <rPr>
        <b val="1"/>
        <sz val="9"/>
        <color indexed="18"/>
        <rFont val="Arial"/>
      </rPr>
      <t>LDT0015DSI by the end of month</t>
    </r>
  </si>
  <si>
    <t>LDT0016</t>
  </si>
  <si>
    <t>Lindor Singles Extra Dark 60% Cocoa</t>
  </si>
  <si>
    <r>
      <rPr>
        <b val="1"/>
        <sz val="9"/>
        <color indexed="18"/>
        <rFont val="Arial"/>
      </rPr>
      <t>LDT0016Sales Forecast</t>
    </r>
  </si>
  <si>
    <r>
      <rPr>
        <b val="1"/>
        <sz val="9"/>
        <color indexed="18"/>
        <rFont val="Arial"/>
      </rPr>
      <t>LDT0016Sales Actual</t>
    </r>
  </si>
  <si>
    <r>
      <rPr>
        <b val="1"/>
        <sz val="9"/>
        <color indexed="18"/>
        <rFont val="Arial"/>
      </rPr>
      <t>LDT0016Order to Lindt</t>
    </r>
  </si>
  <si>
    <r>
      <rPr>
        <b val="1"/>
        <sz val="9"/>
        <color indexed="18"/>
        <rFont val="Arial"/>
      </rPr>
      <t>LDT0016Lindt actual incoming</t>
    </r>
  </si>
  <si>
    <r>
      <rPr>
        <b val="1"/>
        <sz val="9"/>
        <color indexed="18"/>
        <rFont val="Arial"/>
      </rPr>
      <t>LDT0016Stcok w/ incoming</t>
    </r>
  </si>
  <si>
    <r>
      <rPr>
        <b val="1"/>
        <sz val="9"/>
        <color indexed="18"/>
        <rFont val="Arial"/>
      </rPr>
      <t>LDT0016Actual stock</t>
    </r>
  </si>
  <si>
    <r>
      <rPr>
        <b val="1"/>
        <sz val="9"/>
        <color indexed="18"/>
        <rFont val="Arial"/>
      </rPr>
      <t>LDT0016Shortage Estimation</t>
    </r>
  </si>
  <si>
    <r>
      <rPr>
        <b val="1"/>
        <sz val="9"/>
        <color indexed="18"/>
        <rFont val="Arial"/>
      </rPr>
      <t>LDT0016Stock used by date</t>
    </r>
  </si>
  <si>
    <r>
      <rPr>
        <b val="1"/>
        <sz val="9"/>
        <color indexed="18"/>
        <rFont val="Arial"/>
      </rPr>
      <t>LDT0016SL &lt;50% by the end</t>
    </r>
  </si>
  <si>
    <r>
      <rPr>
        <b val="1"/>
        <sz val="9"/>
        <color indexed="18"/>
        <rFont val="Arial"/>
      </rPr>
      <t>LDT0016DSI by the end of month</t>
    </r>
  </si>
  <si>
    <t>LDT0017</t>
  </si>
  <si>
    <t>Lindor Singles White 100g</t>
  </si>
  <si>
    <r>
      <rPr>
        <b val="1"/>
        <sz val="9"/>
        <color indexed="18"/>
        <rFont val="Arial"/>
      </rPr>
      <t>LDT0017Sales Forecast</t>
    </r>
  </si>
  <si>
    <r>
      <rPr>
        <b val="1"/>
        <sz val="9"/>
        <color indexed="18"/>
        <rFont val="Arial"/>
      </rPr>
      <t>LDT0017Sales Actual</t>
    </r>
  </si>
  <si>
    <r>
      <rPr>
        <b val="1"/>
        <sz val="9"/>
        <color indexed="18"/>
        <rFont val="Arial"/>
      </rPr>
      <t>LDT0017Order to Lindt</t>
    </r>
  </si>
  <si>
    <r>
      <rPr>
        <b val="1"/>
        <sz val="9"/>
        <color indexed="18"/>
        <rFont val="Arial"/>
      </rPr>
      <t>LDT0017Lindt actual incoming</t>
    </r>
  </si>
  <si>
    <r>
      <rPr>
        <b val="1"/>
        <sz val="9"/>
        <color indexed="18"/>
        <rFont val="Arial"/>
      </rPr>
      <t>LDT0017Stcok w/ incoming</t>
    </r>
  </si>
  <si>
    <r>
      <rPr>
        <b val="1"/>
        <sz val="9"/>
        <color indexed="18"/>
        <rFont val="Arial"/>
      </rPr>
      <t>LDT0017Actual stock</t>
    </r>
  </si>
  <si>
    <r>
      <rPr>
        <b val="1"/>
        <sz val="9"/>
        <color indexed="18"/>
        <rFont val="Arial"/>
      </rPr>
      <t>LDT0017Shortage Estimation</t>
    </r>
  </si>
  <si>
    <r>
      <rPr>
        <b val="1"/>
        <sz val="9"/>
        <color indexed="18"/>
        <rFont val="Arial"/>
      </rPr>
      <t>LDT0017Stock used by date</t>
    </r>
  </si>
  <si>
    <r>
      <rPr>
        <b val="1"/>
        <sz val="9"/>
        <color indexed="18"/>
        <rFont val="Arial"/>
      </rPr>
      <t>LDT0017SL &lt;50% by the end</t>
    </r>
  </si>
  <si>
    <r>
      <rPr>
        <b val="1"/>
        <sz val="9"/>
        <color indexed="18"/>
        <rFont val="Arial"/>
      </rPr>
      <t>LDT0017DSI by the end of month</t>
    </r>
  </si>
  <si>
    <t>LDT0019</t>
  </si>
  <si>
    <t>Lindor Milk 14's, 168g</t>
  </si>
  <si>
    <r>
      <rPr>
        <b val="1"/>
        <sz val="9"/>
        <color indexed="18"/>
        <rFont val="Arial"/>
      </rPr>
      <t>LDT0019Sales Forecast</t>
    </r>
  </si>
  <si>
    <r>
      <rPr>
        <b val="1"/>
        <sz val="9"/>
        <color indexed="18"/>
        <rFont val="Arial"/>
      </rPr>
      <t>LDT0019Sales Actual</t>
    </r>
  </si>
  <si>
    <r>
      <rPr>
        <b val="1"/>
        <sz val="9"/>
        <color indexed="18"/>
        <rFont val="Arial"/>
      </rPr>
      <t>LDT0019Order to Lindt</t>
    </r>
  </si>
  <si>
    <r>
      <rPr>
        <b val="1"/>
        <sz val="9"/>
        <color indexed="18"/>
        <rFont val="Arial"/>
      </rPr>
      <t>LDT0019Lindt actual incoming</t>
    </r>
  </si>
  <si>
    <r>
      <rPr>
        <b val="1"/>
        <sz val="9"/>
        <color indexed="18"/>
        <rFont val="Arial"/>
      </rPr>
      <t>LDT0019Stcok w/ incoming</t>
    </r>
  </si>
  <si>
    <r>
      <rPr>
        <b val="1"/>
        <sz val="9"/>
        <color indexed="18"/>
        <rFont val="Arial"/>
      </rPr>
      <t>LDT0019Actual stock</t>
    </r>
  </si>
  <si>
    <r>
      <rPr>
        <b val="1"/>
        <sz val="9"/>
        <color indexed="18"/>
        <rFont val="Arial"/>
      </rPr>
      <t>LDT0019Shortage Estimation</t>
    </r>
  </si>
  <si>
    <r>
      <rPr>
        <b val="1"/>
        <sz val="9"/>
        <color indexed="18"/>
        <rFont val="Arial"/>
      </rPr>
      <t>LDT0019Stock used by date</t>
    </r>
  </si>
  <si>
    <r>
      <rPr>
        <b val="1"/>
        <sz val="9"/>
        <color indexed="18"/>
        <rFont val="Arial"/>
      </rPr>
      <t>LDT0019SL &lt;50% by the end</t>
    </r>
  </si>
  <si>
    <r>
      <rPr>
        <b val="1"/>
        <sz val="9"/>
        <color indexed="18"/>
        <rFont val="Arial"/>
      </rPr>
      <t>LDT0019DSI by the end of month</t>
    </r>
  </si>
  <si>
    <t>LDT0020</t>
  </si>
  <si>
    <t>Lindor Hazelnut 14's, 168g</t>
  </si>
  <si>
    <r>
      <rPr>
        <b val="1"/>
        <sz val="9"/>
        <color indexed="18"/>
        <rFont val="Arial"/>
      </rPr>
      <t>LDT0020Sales Forecast</t>
    </r>
  </si>
  <si>
    <r>
      <rPr>
        <b val="1"/>
        <sz val="9"/>
        <color indexed="18"/>
        <rFont val="Arial"/>
      </rPr>
      <t>LDT0020Sales Actual</t>
    </r>
  </si>
  <si>
    <r>
      <rPr>
        <b val="1"/>
        <sz val="9"/>
        <color indexed="18"/>
        <rFont val="Arial"/>
      </rPr>
      <t>LDT0020Order to Lindt</t>
    </r>
  </si>
  <si>
    <r>
      <rPr>
        <b val="1"/>
        <sz val="9"/>
        <color indexed="18"/>
        <rFont val="Arial"/>
      </rPr>
      <t>LDT0020Lindt actual incoming</t>
    </r>
  </si>
  <si>
    <r>
      <rPr>
        <b val="1"/>
        <sz val="9"/>
        <color indexed="18"/>
        <rFont val="Arial"/>
      </rPr>
      <t>LDT0020Stcok w/ incoming</t>
    </r>
  </si>
  <si>
    <r>
      <rPr>
        <b val="1"/>
        <sz val="9"/>
        <color indexed="18"/>
        <rFont val="Arial"/>
      </rPr>
      <t>LDT0020Actual stock</t>
    </r>
  </si>
  <si>
    <r>
      <rPr>
        <b val="1"/>
        <sz val="9"/>
        <color indexed="18"/>
        <rFont val="Arial"/>
      </rPr>
      <t>LDT0020Shortage Estimation</t>
    </r>
  </si>
  <si>
    <r>
      <rPr>
        <b val="1"/>
        <sz val="9"/>
        <color indexed="18"/>
        <rFont val="Arial"/>
      </rPr>
      <t>LDT0020Stock used by date</t>
    </r>
  </si>
  <si>
    <r>
      <rPr>
        <b val="1"/>
        <sz val="9"/>
        <color indexed="18"/>
        <rFont val="Arial"/>
      </rPr>
      <t>LDT0020SL &lt;50% by the end</t>
    </r>
  </si>
  <si>
    <r>
      <rPr>
        <b val="1"/>
        <sz val="9"/>
        <color indexed="18"/>
        <rFont val="Arial"/>
      </rPr>
      <t>LDT0020DSI by the end of month</t>
    </r>
  </si>
  <si>
    <t>LDT0021</t>
  </si>
  <si>
    <t>Lindor Extra Dark 60% Cocoa 14's, 168g</t>
  </si>
  <si>
    <r>
      <rPr>
        <b val="1"/>
        <sz val="9"/>
        <color indexed="18"/>
        <rFont val="Arial"/>
      </rPr>
      <t>LDT0021Sales Forecast</t>
    </r>
  </si>
  <si>
    <r>
      <rPr>
        <b val="1"/>
        <sz val="9"/>
        <color indexed="18"/>
        <rFont val="Arial"/>
      </rPr>
      <t>LDT0021Sales Actual</t>
    </r>
  </si>
  <si>
    <r>
      <rPr>
        <b val="1"/>
        <sz val="9"/>
        <color indexed="18"/>
        <rFont val="Arial"/>
      </rPr>
      <t>LDT0021Order to Lindt</t>
    </r>
  </si>
  <si>
    <r>
      <rPr>
        <b val="1"/>
        <sz val="9"/>
        <color indexed="18"/>
        <rFont val="Arial"/>
      </rPr>
      <t>LDT0021Lindt actual incoming</t>
    </r>
  </si>
  <si>
    <r>
      <rPr>
        <b val="1"/>
        <sz val="9"/>
        <color indexed="18"/>
        <rFont val="Arial"/>
      </rPr>
      <t>LDT0021Stcok w/ incoming</t>
    </r>
  </si>
  <si>
    <r>
      <rPr>
        <b val="1"/>
        <sz val="9"/>
        <color indexed="18"/>
        <rFont val="Arial"/>
      </rPr>
      <t>LDT0021Actual stock</t>
    </r>
  </si>
  <si>
    <r>
      <rPr>
        <b val="1"/>
        <sz val="9"/>
        <color indexed="18"/>
        <rFont val="Arial"/>
      </rPr>
      <t>LDT0021Shortage Estimation</t>
    </r>
  </si>
  <si>
    <r>
      <rPr>
        <b val="1"/>
        <sz val="9"/>
        <color indexed="18"/>
        <rFont val="Arial"/>
      </rPr>
      <t>LDT0021Stock used by date</t>
    </r>
  </si>
  <si>
    <r>
      <rPr>
        <b val="1"/>
        <sz val="9"/>
        <color indexed="18"/>
        <rFont val="Arial"/>
      </rPr>
      <t>LDT0021SL &lt;50% by the end</t>
    </r>
  </si>
  <si>
    <r>
      <rPr>
        <b val="1"/>
        <sz val="9"/>
        <color indexed="18"/>
        <rFont val="Arial"/>
      </rPr>
      <t>LDT0021DSI by the end of month</t>
    </r>
  </si>
  <si>
    <t>LDT0022</t>
  </si>
  <si>
    <t>Lindor Assorted 14's, 168g</t>
  </si>
  <si>
    <r>
      <rPr>
        <b val="1"/>
        <sz val="9"/>
        <color indexed="18"/>
        <rFont val="Arial"/>
      </rPr>
      <t>LDT0022Sales Forecast</t>
    </r>
  </si>
  <si>
    <r>
      <rPr>
        <b val="1"/>
        <sz val="9"/>
        <color indexed="18"/>
        <rFont val="Arial"/>
      </rPr>
      <t>LDT0022Sales Actual</t>
    </r>
  </si>
  <si>
    <r>
      <rPr>
        <b val="1"/>
        <sz val="9"/>
        <color indexed="18"/>
        <rFont val="Arial"/>
      </rPr>
      <t>LDT0022Order to Lindt</t>
    </r>
  </si>
  <si>
    <r>
      <rPr>
        <b val="1"/>
        <sz val="9"/>
        <color indexed="18"/>
        <rFont val="Arial"/>
      </rPr>
      <t>LDT0022Lindt actual incoming</t>
    </r>
  </si>
  <si>
    <r>
      <rPr>
        <b val="1"/>
        <sz val="9"/>
        <color indexed="18"/>
        <rFont val="Arial"/>
      </rPr>
      <t>LDT0022Stcok w/ incoming</t>
    </r>
  </si>
  <si>
    <r>
      <rPr>
        <b val="1"/>
        <sz val="9"/>
        <color indexed="18"/>
        <rFont val="Arial"/>
      </rPr>
      <t>LDT0022Actual stock</t>
    </r>
  </si>
  <si>
    <r>
      <rPr>
        <b val="1"/>
        <sz val="9"/>
        <color indexed="18"/>
        <rFont val="Arial"/>
      </rPr>
      <t>LDT0022Shortage Estimation</t>
    </r>
  </si>
  <si>
    <r>
      <rPr>
        <b val="1"/>
        <sz val="9"/>
        <color indexed="18"/>
        <rFont val="Arial"/>
      </rPr>
      <t>LDT0022Stock used by date</t>
    </r>
  </si>
  <si>
    <r>
      <rPr>
        <b val="1"/>
        <sz val="9"/>
        <color indexed="18"/>
        <rFont val="Arial"/>
      </rPr>
      <t>LDT0022SL &lt;50% by the end</t>
    </r>
  </si>
  <si>
    <r>
      <rPr>
        <b val="1"/>
        <sz val="9"/>
        <color indexed="18"/>
        <rFont val="Arial"/>
      </rPr>
      <t>LDT0022DSI by the end of month</t>
    </r>
  </si>
  <si>
    <t>LDT0023</t>
  </si>
  <si>
    <t>Lindor Milk 22's, 264g</t>
  </si>
  <si>
    <r>
      <rPr>
        <b val="1"/>
        <sz val="9"/>
        <color indexed="18"/>
        <rFont val="Arial"/>
      </rPr>
      <t>LDT0023Sales Forecast</t>
    </r>
  </si>
  <si>
    <r>
      <rPr>
        <b val="1"/>
        <sz val="9"/>
        <color indexed="18"/>
        <rFont val="Arial"/>
      </rPr>
      <t>LDT0023Sales Actual</t>
    </r>
  </si>
  <si>
    <r>
      <rPr>
        <b val="1"/>
        <sz val="9"/>
        <color indexed="18"/>
        <rFont val="Arial"/>
      </rPr>
      <t>LDT0023Order to Lindt</t>
    </r>
  </si>
  <si>
    <r>
      <rPr>
        <b val="1"/>
        <sz val="9"/>
        <color indexed="18"/>
        <rFont val="Arial"/>
      </rPr>
      <t>LDT0023Lindt actual incoming</t>
    </r>
  </si>
  <si>
    <r>
      <rPr>
        <b val="1"/>
        <sz val="9"/>
        <color indexed="18"/>
        <rFont val="Arial"/>
      </rPr>
      <t>LDT0023Stcok w/ incoming</t>
    </r>
  </si>
  <si>
    <r>
      <rPr>
        <b val="1"/>
        <sz val="9"/>
        <color indexed="18"/>
        <rFont val="Arial"/>
      </rPr>
      <t>LDT0023Actual stock</t>
    </r>
  </si>
  <si>
    <r>
      <rPr>
        <b val="1"/>
        <sz val="9"/>
        <color indexed="18"/>
        <rFont val="Arial"/>
      </rPr>
      <t>LDT0023Shortage Estimation</t>
    </r>
  </si>
  <si>
    <r>
      <rPr>
        <b val="1"/>
        <sz val="9"/>
        <color indexed="18"/>
        <rFont val="Arial"/>
      </rPr>
      <t>LDT0023Stock used by date</t>
    </r>
  </si>
  <si>
    <r>
      <rPr>
        <b val="1"/>
        <sz val="9"/>
        <color indexed="18"/>
        <rFont val="Arial"/>
      </rPr>
      <t>LDT0023SL &lt;50% by the end</t>
    </r>
  </si>
  <si>
    <r>
      <rPr>
        <b val="1"/>
        <sz val="9"/>
        <color indexed="18"/>
        <rFont val="Arial"/>
      </rPr>
      <t>LDT0023DSI by the end of month</t>
    </r>
  </si>
  <si>
    <t>LDT0024</t>
  </si>
  <si>
    <t>Lindor Assorted 22's, 264g</t>
  </si>
  <si>
    <r>
      <rPr>
        <b val="1"/>
        <sz val="9"/>
        <color indexed="18"/>
        <rFont val="Arial"/>
      </rPr>
      <t>LDT0024Sales Forecast</t>
    </r>
  </si>
  <si>
    <r>
      <rPr>
        <b val="1"/>
        <sz val="9"/>
        <color indexed="18"/>
        <rFont val="Arial"/>
      </rPr>
      <t>LDT0024Sales Actual</t>
    </r>
  </si>
  <si>
    <r>
      <rPr>
        <b val="1"/>
        <sz val="9"/>
        <color indexed="18"/>
        <rFont val="Arial"/>
      </rPr>
      <t>LDT0024Order to Lindt</t>
    </r>
  </si>
  <si>
    <r>
      <rPr>
        <b val="1"/>
        <sz val="9"/>
        <color indexed="18"/>
        <rFont val="Arial"/>
      </rPr>
      <t>LDT0024Lindt actual incoming</t>
    </r>
  </si>
  <si>
    <r>
      <rPr>
        <b val="1"/>
        <sz val="9"/>
        <color indexed="18"/>
        <rFont val="Arial"/>
      </rPr>
      <t>LDT0024Stcok w/ incoming</t>
    </r>
  </si>
  <si>
    <r>
      <rPr>
        <b val="1"/>
        <sz val="9"/>
        <color indexed="18"/>
        <rFont val="Arial"/>
      </rPr>
      <t>LDT0024Actual stock</t>
    </r>
  </si>
  <si>
    <r>
      <rPr>
        <b val="1"/>
        <sz val="9"/>
        <color indexed="18"/>
        <rFont val="Arial"/>
      </rPr>
      <t>LDT0024Shortage Estimation</t>
    </r>
  </si>
  <si>
    <r>
      <rPr>
        <b val="1"/>
        <sz val="9"/>
        <color indexed="18"/>
        <rFont val="Arial"/>
      </rPr>
      <t>LDT0024Stock used by date</t>
    </r>
  </si>
  <si>
    <r>
      <rPr>
        <b val="1"/>
        <sz val="9"/>
        <color indexed="18"/>
        <rFont val="Arial"/>
      </rPr>
      <t>LDT0024SL &lt;50% by the end</t>
    </r>
  </si>
  <si>
    <r>
      <rPr>
        <b val="1"/>
        <sz val="9"/>
        <color indexed="18"/>
        <rFont val="Arial"/>
      </rPr>
      <t>LDT0024DSI by the end of month</t>
    </r>
  </si>
  <si>
    <t>LDT0025</t>
  </si>
  <si>
    <t>Lindor Heart Milk 8's, 96g</t>
  </si>
  <si>
    <r>
      <rPr>
        <b val="1"/>
        <sz val="9"/>
        <color indexed="18"/>
        <rFont val="Arial"/>
      </rPr>
      <t>LDT0025Sales Forecast</t>
    </r>
  </si>
  <si>
    <r>
      <rPr>
        <b val="1"/>
        <sz val="9"/>
        <color indexed="18"/>
        <rFont val="Arial"/>
      </rPr>
      <t>LDT0025Sales Actual</t>
    </r>
  </si>
  <si>
    <r>
      <rPr>
        <b val="1"/>
        <sz val="9"/>
        <color indexed="18"/>
        <rFont val="Arial"/>
      </rPr>
      <t>LDT0025Order to Lindt</t>
    </r>
  </si>
  <si>
    <r>
      <rPr>
        <b val="1"/>
        <sz val="9"/>
        <color indexed="18"/>
        <rFont val="Arial"/>
      </rPr>
      <t>LDT0025Lindt actual incoming</t>
    </r>
  </si>
  <si>
    <r>
      <rPr>
        <b val="1"/>
        <sz val="9"/>
        <color indexed="18"/>
        <rFont val="Arial"/>
      </rPr>
      <t>LDT0025Stcok w/ incoming</t>
    </r>
  </si>
  <si>
    <r>
      <rPr>
        <b val="1"/>
        <sz val="9"/>
        <color indexed="18"/>
        <rFont val="Arial"/>
      </rPr>
      <t>LDT0025Actual stock</t>
    </r>
  </si>
  <si>
    <r>
      <rPr>
        <b val="1"/>
        <sz val="9"/>
        <color indexed="18"/>
        <rFont val="Arial"/>
      </rPr>
      <t>LDT0025Shortage Estimation</t>
    </r>
  </si>
  <si>
    <r>
      <rPr>
        <b val="1"/>
        <sz val="9"/>
        <color indexed="18"/>
        <rFont val="Arial"/>
      </rPr>
      <t>LDT0025Stock used by date</t>
    </r>
  </si>
  <si>
    <r>
      <rPr>
        <b val="1"/>
        <sz val="9"/>
        <color indexed="18"/>
        <rFont val="Arial"/>
      </rPr>
      <t>LDT0025SL &lt;50% by the end</t>
    </r>
  </si>
  <si>
    <r>
      <rPr>
        <b val="1"/>
        <sz val="9"/>
        <color indexed="18"/>
        <rFont val="Arial"/>
      </rPr>
      <t>LDT0025DSI by the end of month</t>
    </r>
  </si>
  <si>
    <t>LDT0027</t>
  </si>
  <si>
    <t>Lindor Milk 12's, 144g</t>
  </si>
  <si>
    <r>
      <rPr>
        <b val="1"/>
        <sz val="9"/>
        <color indexed="18"/>
        <rFont val="Arial"/>
      </rPr>
      <t>LDT0027Sales Forecast</t>
    </r>
  </si>
  <si>
    <r>
      <rPr>
        <b val="1"/>
        <sz val="9"/>
        <color indexed="18"/>
        <rFont val="Arial"/>
      </rPr>
      <t>LDT0027Sales Actual</t>
    </r>
  </si>
  <si>
    <r>
      <rPr>
        <b val="1"/>
        <sz val="9"/>
        <color indexed="18"/>
        <rFont val="Arial"/>
      </rPr>
      <t>LDT0027Order to Lindt</t>
    </r>
  </si>
  <si>
    <r>
      <rPr>
        <b val="1"/>
        <sz val="9"/>
        <color indexed="18"/>
        <rFont val="Arial"/>
      </rPr>
      <t>LDT0027Lindt actual incoming</t>
    </r>
  </si>
  <si>
    <r>
      <rPr>
        <b val="1"/>
        <sz val="9"/>
        <color indexed="18"/>
        <rFont val="Arial"/>
      </rPr>
      <t>LDT0027Stcok w/ incoming</t>
    </r>
  </si>
  <si>
    <r>
      <rPr>
        <b val="1"/>
        <sz val="9"/>
        <color indexed="18"/>
        <rFont val="Arial"/>
      </rPr>
      <t>LDT0027Actual stock</t>
    </r>
  </si>
  <si>
    <r>
      <rPr>
        <b val="1"/>
        <sz val="9"/>
        <color indexed="18"/>
        <rFont val="Arial"/>
      </rPr>
      <t>LDT0027Shortage Estimation</t>
    </r>
  </si>
  <si>
    <r>
      <rPr>
        <b val="1"/>
        <sz val="9"/>
        <color indexed="18"/>
        <rFont val="Arial"/>
      </rPr>
      <t>LDT0027Stock used by date</t>
    </r>
  </si>
  <si>
    <r>
      <rPr>
        <b val="1"/>
        <sz val="9"/>
        <color indexed="18"/>
        <rFont val="Arial"/>
      </rPr>
      <t>LDT0027SL &lt;50% by the end</t>
    </r>
  </si>
  <si>
    <r>
      <rPr>
        <b val="1"/>
        <sz val="9"/>
        <color indexed="18"/>
        <rFont val="Arial"/>
      </rPr>
      <t>LDT0027DSI by the end of month</t>
    </r>
  </si>
  <si>
    <t>LDT0028</t>
  </si>
  <si>
    <t>Lindor Drum Assorted 18's, 216g</t>
  </si>
  <si>
    <r>
      <rPr>
        <b val="1"/>
        <sz val="9"/>
        <color indexed="18"/>
        <rFont val="Arial"/>
      </rPr>
      <t>LDT0028Sales Forecast</t>
    </r>
  </si>
  <si>
    <r>
      <rPr>
        <b val="1"/>
        <sz val="9"/>
        <color indexed="18"/>
        <rFont val="Arial"/>
      </rPr>
      <t>LDT0028Sales Actual</t>
    </r>
  </si>
  <si>
    <r>
      <rPr>
        <b val="1"/>
        <sz val="9"/>
        <color indexed="18"/>
        <rFont val="Arial"/>
      </rPr>
      <t>LDT0028Order to Lindt</t>
    </r>
  </si>
  <si>
    <r>
      <rPr>
        <b val="1"/>
        <sz val="9"/>
        <color indexed="18"/>
        <rFont val="Arial"/>
      </rPr>
      <t>LDT0028Lindt actual incoming</t>
    </r>
  </si>
  <si>
    <r>
      <rPr>
        <b val="1"/>
        <sz val="9"/>
        <color indexed="18"/>
        <rFont val="Arial"/>
      </rPr>
      <t>LDT0028Stcok w/ incoming</t>
    </r>
  </si>
  <si>
    <r>
      <rPr>
        <b val="1"/>
        <sz val="9"/>
        <color indexed="18"/>
        <rFont val="Arial"/>
      </rPr>
      <t>LDT0028Actual stock</t>
    </r>
  </si>
  <si>
    <r>
      <rPr>
        <b val="1"/>
        <sz val="9"/>
        <color indexed="18"/>
        <rFont val="Arial"/>
      </rPr>
      <t>LDT0028Shortage Estimation</t>
    </r>
  </si>
  <si>
    <r>
      <rPr>
        <b val="1"/>
        <sz val="9"/>
        <color indexed="18"/>
        <rFont val="Arial"/>
      </rPr>
      <t>LDT0028Stock used by date</t>
    </r>
  </si>
  <si>
    <r>
      <rPr>
        <b val="1"/>
        <sz val="9"/>
        <color indexed="18"/>
        <rFont val="Arial"/>
      </rPr>
      <t>LDT0028SL &lt;50% by the end</t>
    </r>
  </si>
  <si>
    <r>
      <rPr>
        <b val="1"/>
        <sz val="9"/>
        <color indexed="18"/>
        <rFont val="Arial"/>
      </rPr>
      <t>LDT0028DSI by the end of month</t>
    </r>
  </si>
  <si>
    <t>LDT0032</t>
  </si>
  <si>
    <t>Lindor Milk 18's, 216g</t>
  </si>
  <si>
    <r>
      <rPr>
        <b val="1"/>
        <sz val="9"/>
        <color indexed="18"/>
        <rFont val="Arial"/>
      </rPr>
      <t>LDT0032Sales Forecast</t>
    </r>
  </si>
  <si>
    <r>
      <rPr>
        <b val="1"/>
        <sz val="9"/>
        <color indexed="18"/>
        <rFont val="Arial"/>
      </rPr>
      <t>LDT0032Sales Actual</t>
    </r>
  </si>
  <si>
    <r>
      <rPr>
        <b val="1"/>
        <sz val="9"/>
        <color indexed="18"/>
        <rFont val="Arial"/>
      </rPr>
      <t>LDT0032Order to Lindt</t>
    </r>
  </si>
  <si>
    <r>
      <rPr>
        <b val="1"/>
        <sz val="9"/>
        <color indexed="18"/>
        <rFont val="Arial"/>
      </rPr>
      <t>LDT0032Lindt actual incoming</t>
    </r>
  </si>
  <si>
    <r>
      <rPr>
        <b val="1"/>
        <sz val="9"/>
        <color indexed="18"/>
        <rFont val="Arial"/>
      </rPr>
      <t>LDT0032Stcok w/ incoming</t>
    </r>
  </si>
  <si>
    <r>
      <rPr>
        <b val="1"/>
        <sz val="9"/>
        <color indexed="18"/>
        <rFont val="Arial"/>
      </rPr>
      <t>LDT0032Actual stock</t>
    </r>
  </si>
  <si>
    <r>
      <rPr>
        <b val="1"/>
        <sz val="9"/>
        <color indexed="18"/>
        <rFont val="Arial"/>
      </rPr>
      <t>LDT0032Shortage Estimation</t>
    </r>
  </si>
  <si>
    <r>
      <rPr>
        <b val="1"/>
        <sz val="9"/>
        <color indexed="18"/>
        <rFont val="Arial"/>
      </rPr>
      <t>LDT0032Stock used by date</t>
    </r>
  </si>
  <si>
    <r>
      <rPr>
        <b val="1"/>
        <sz val="9"/>
        <color indexed="18"/>
        <rFont val="Arial"/>
      </rPr>
      <t>LDT0032SL &lt;50% by the end</t>
    </r>
  </si>
  <si>
    <r>
      <rPr>
        <b val="1"/>
        <sz val="9"/>
        <color indexed="18"/>
        <rFont val="Arial"/>
      </rPr>
      <t>LDT0032DSI by the end of month</t>
    </r>
  </si>
  <si>
    <t>LDT0034</t>
  </si>
  <si>
    <t>Lindor Assorted 40's</t>
  </si>
  <si>
    <r>
      <rPr>
        <b val="1"/>
        <sz val="9"/>
        <color indexed="18"/>
        <rFont val="Arial"/>
      </rPr>
      <t>LDT0034Sales Forecast</t>
    </r>
  </si>
  <si>
    <r>
      <rPr>
        <b val="1"/>
        <sz val="9"/>
        <color indexed="18"/>
        <rFont val="Arial"/>
      </rPr>
      <t>LDT0034Sales Actual</t>
    </r>
  </si>
  <si>
    <r>
      <rPr>
        <b val="1"/>
        <sz val="9"/>
        <color indexed="18"/>
        <rFont val="Arial"/>
      </rPr>
      <t>LDT0034Order to Lindt</t>
    </r>
  </si>
  <si>
    <r>
      <rPr>
        <b val="1"/>
        <sz val="9"/>
        <color indexed="18"/>
        <rFont val="Arial"/>
      </rPr>
      <t>LDT0034Lindt actual incoming</t>
    </r>
  </si>
  <si>
    <r>
      <rPr>
        <b val="1"/>
        <sz val="9"/>
        <color indexed="18"/>
        <rFont val="Arial"/>
      </rPr>
      <t>LDT0034Stcok w/ incoming</t>
    </r>
  </si>
  <si>
    <r>
      <rPr>
        <b val="1"/>
        <sz val="9"/>
        <color indexed="18"/>
        <rFont val="Arial"/>
      </rPr>
      <t>LDT0034Actual stock</t>
    </r>
  </si>
  <si>
    <r>
      <rPr>
        <b val="1"/>
        <sz val="9"/>
        <color indexed="18"/>
        <rFont val="Arial"/>
      </rPr>
      <t>LDT0034Shortage Estimation</t>
    </r>
  </si>
  <si>
    <r>
      <rPr>
        <b val="1"/>
        <sz val="9"/>
        <color indexed="18"/>
        <rFont val="Arial"/>
      </rPr>
      <t>LDT0034Stock used by date</t>
    </r>
  </si>
  <si>
    <r>
      <rPr>
        <b val="1"/>
        <sz val="9"/>
        <color indexed="18"/>
        <rFont val="Arial"/>
      </rPr>
      <t>LDT0034SL &lt;50% by the end</t>
    </r>
  </si>
  <si>
    <r>
      <rPr>
        <b val="1"/>
        <sz val="9"/>
        <color indexed="18"/>
        <rFont val="Arial"/>
      </rPr>
      <t>LDT0034DSI by the end of month</t>
    </r>
  </si>
  <si>
    <t>LDT0035</t>
  </si>
  <si>
    <t>Lindor Assorted Champagne 28's,336g</t>
  </si>
  <si>
    <r>
      <rPr>
        <b val="1"/>
        <sz val="9"/>
        <color indexed="18"/>
        <rFont val="Arial"/>
      </rPr>
      <t>LDT0035Sales Forecast</t>
    </r>
  </si>
  <si>
    <r>
      <rPr>
        <b val="1"/>
        <sz val="9"/>
        <color indexed="18"/>
        <rFont val="Arial"/>
      </rPr>
      <t>LDT0035Sales Actual</t>
    </r>
  </si>
  <si>
    <r>
      <rPr>
        <b val="1"/>
        <sz val="9"/>
        <color indexed="18"/>
        <rFont val="Arial"/>
      </rPr>
      <t>LDT0035Order to Lindt</t>
    </r>
  </si>
  <si>
    <r>
      <rPr>
        <b val="1"/>
        <sz val="9"/>
        <color indexed="18"/>
        <rFont val="Arial"/>
      </rPr>
      <t>LDT0035Lindt actual incoming</t>
    </r>
  </si>
  <si>
    <r>
      <rPr>
        <b val="1"/>
        <sz val="9"/>
        <color indexed="18"/>
        <rFont val="Arial"/>
      </rPr>
      <t>LDT0035Stcok w/ incoming</t>
    </r>
  </si>
  <si>
    <r>
      <rPr>
        <b val="1"/>
        <sz val="9"/>
        <color indexed="18"/>
        <rFont val="Arial"/>
      </rPr>
      <t>LDT0035Actual stock</t>
    </r>
  </si>
  <si>
    <r>
      <rPr>
        <b val="1"/>
        <sz val="9"/>
        <color indexed="18"/>
        <rFont val="Arial"/>
      </rPr>
      <t>LDT0035Shortage Estimation</t>
    </r>
  </si>
  <si>
    <r>
      <rPr>
        <b val="1"/>
        <sz val="9"/>
        <color indexed="18"/>
        <rFont val="Arial"/>
      </rPr>
      <t>LDT0035Stock used by date</t>
    </r>
  </si>
  <si>
    <r>
      <rPr>
        <b val="1"/>
        <sz val="9"/>
        <color indexed="18"/>
        <rFont val="Arial"/>
      </rPr>
      <t>LDT0035SL &lt;50% by the end</t>
    </r>
  </si>
  <si>
    <r>
      <rPr>
        <b val="1"/>
        <sz val="9"/>
        <color indexed="18"/>
        <rFont val="Arial"/>
      </rPr>
      <t>LDT0035DSI by the end of month</t>
    </r>
  </si>
  <si>
    <t>LDT0036</t>
  </si>
  <si>
    <t>Naps Milk Can Sapphire, 223g</t>
  </si>
  <si>
    <r>
      <rPr>
        <b val="1"/>
        <sz val="9"/>
        <color indexed="18"/>
        <rFont val="Arial"/>
      </rPr>
      <t>LDT0036Sales Forecast</t>
    </r>
  </si>
  <si>
    <r>
      <rPr>
        <b val="1"/>
        <sz val="9"/>
        <color indexed="18"/>
        <rFont val="Arial"/>
      </rPr>
      <t>LDT0036Sales Actual</t>
    </r>
  </si>
  <si>
    <r>
      <rPr>
        <b val="1"/>
        <sz val="9"/>
        <color indexed="18"/>
        <rFont val="Arial"/>
      </rPr>
      <t>LDT0036Order to Lindt</t>
    </r>
  </si>
  <si>
    <r>
      <rPr>
        <b val="1"/>
        <sz val="9"/>
        <color indexed="18"/>
        <rFont val="Arial"/>
      </rPr>
      <t>LDT0036Lindt actual incoming</t>
    </r>
  </si>
  <si>
    <r>
      <rPr>
        <b val="1"/>
        <sz val="9"/>
        <color indexed="18"/>
        <rFont val="Arial"/>
      </rPr>
      <t>LDT0036Stcok w/ incoming</t>
    </r>
  </si>
  <si>
    <r>
      <rPr>
        <b val="1"/>
        <sz val="9"/>
        <color indexed="18"/>
        <rFont val="Arial"/>
      </rPr>
      <t>LDT0036Actual stock</t>
    </r>
  </si>
  <si>
    <r>
      <rPr>
        <b val="1"/>
        <sz val="9"/>
        <color indexed="18"/>
        <rFont val="Arial"/>
      </rPr>
      <t>LDT0036Shortage Estimation</t>
    </r>
  </si>
  <si>
    <r>
      <rPr>
        <b val="1"/>
        <sz val="9"/>
        <color indexed="18"/>
        <rFont val="Arial"/>
      </rPr>
      <t>LDT0036Stock used by date</t>
    </r>
  </si>
  <si>
    <r>
      <rPr>
        <b val="1"/>
        <sz val="9"/>
        <color indexed="18"/>
        <rFont val="Arial"/>
      </rPr>
      <t>LDT0036SL &lt;50% by the end</t>
    </r>
  </si>
  <si>
    <r>
      <rPr>
        <b val="1"/>
        <sz val="9"/>
        <color indexed="18"/>
        <rFont val="Arial"/>
      </rPr>
      <t>LDT0036DSI by the end of month</t>
    </r>
  </si>
  <si>
    <t>LDT0038</t>
  </si>
  <si>
    <t>Naps Drum, 265g</t>
  </si>
  <si>
    <r>
      <rPr>
        <b val="1"/>
        <sz val="9"/>
        <color indexed="18"/>
        <rFont val="Arial"/>
      </rPr>
      <t>LDT0038Sales Forecast</t>
    </r>
  </si>
  <si>
    <r>
      <rPr>
        <b val="1"/>
        <sz val="9"/>
        <color indexed="18"/>
        <rFont val="Arial"/>
      </rPr>
      <t>LDT0038Sales Actual</t>
    </r>
  </si>
  <si>
    <r>
      <rPr>
        <b val="1"/>
        <sz val="9"/>
        <color indexed="18"/>
        <rFont val="Arial"/>
      </rPr>
      <t>LDT0038Order to Lindt</t>
    </r>
  </si>
  <si>
    <r>
      <rPr>
        <b val="1"/>
        <sz val="9"/>
        <color indexed="18"/>
        <rFont val="Arial"/>
      </rPr>
      <t>LDT0038Lindt actual incoming</t>
    </r>
  </si>
  <si>
    <r>
      <rPr>
        <b val="1"/>
        <sz val="9"/>
        <color indexed="18"/>
        <rFont val="Arial"/>
      </rPr>
      <t>LDT0038Stcok w/ incoming</t>
    </r>
  </si>
  <si>
    <r>
      <rPr>
        <b val="1"/>
        <sz val="9"/>
        <color indexed="18"/>
        <rFont val="Arial"/>
      </rPr>
      <t>LDT0038Actual stock</t>
    </r>
  </si>
  <si>
    <r>
      <rPr>
        <b val="1"/>
        <sz val="9"/>
        <color indexed="18"/>
        <rFont val="Arial"/>
      </rPr>
      <t>LDT0038Shortage Estimation</t>
    </r>
  </si>
  <si>
    <r>
      <rPr>
        <b val="1"/>
        <sz val="9"/>
        <color indexed="18"/>
        <rFont val="Arial"/>
      </rPr>
      <t>LDT0038Stock used by date</t>
    </r>
  </si>
  <si>
    <r>
      <rPr>
        <b val="1"/>
        <sz val="9"/>
        <color indexed="18"/>
        <rFont val="Arial"/>
      </rPr>
      <t>LDT0038SL &lt;50% by the end</t>
    </r>
  </si>
  <si>
    <r>
      <rPr>
        <b val="1"/>
        <sz val="9"/>
        <color indexed="18"/>
        <rFont val="Arial"/>
      </rPr>
      <t>LDT0038DSI by the end of month</t>
    </r>
  </si>
  <si>
    <t>LDT0039</t>
  </si>
  <si>
    <t>Lindor Milk 200‘s 2.4kg</t>
  </si>
  <si>
    <r>
      <rPr>
        <b val="1"/>
        <sz val="9"/>
        <color indexed="18"/>
        <rFont val="Arial"/>
      </rPr>
      <t>LDT0039Sales Forecast</t>
    </r>
  </si>
  <si>
    <r>
      <rPr>
        <b val="1"/>
        <sz val="9"/>
        <color indexed="18"/>
        <rFont val="Arial"/>
      </rPr>
      <t>LDT0039Sales Actual</t>
    </r>
  </si>
  <si>
    <r>
      <rPr>
        <b val="1"/>
        <sz val="9"/>
        <color indexed="18"/>
        <rFont val="Arial"/>
      </rPr>
      <t>LDT0039Order to Lindt</t>
    </r>
  </si>
  <si>
    <r>
      <rPr>
        <b val="1"/>
        <sz val="9"/>
        <color indexed="18"/>
        <rFont val="Arial"/>
      </rPr>
      <t>LDT0039Lindt actual incoming</t>
    </r>
  </si>
  <si>
    <r>
      <rPr>
        <b val="1"/>
        <sz val="9"/>
        <color indexed="18"/>
        <rFont val="Arial"/>
      </rPr>
      <t>LDT0039Stcok w/ incoming</t>
    </r>
  </si>
  <si>
    <r>
      <rPr>
        <b val="1"/>
        <sz val="9"/>
        <color indexed="18"/>
        <rFont val="Arial"/>
      </rPr>
      <t>LDT0039Actual stock</t>
    </r>
  </si>
  <si>
    <r>
      <rPr>
        <b val="1"/>
        <sz val="9"/>
        <color indexed="18"/>
        <rFont val="Arial"/>
      </rPr>
      <t>LDT0039Shortage Estimation</t>
    </r>
  </si>
  <si>
    <r>
      <rPr>
        <b val="1"/>
        <sz val="9"/>
        <color indexed="18"/>
        <rFont val="Arial"/>
      </rPr>
      <t>LDT0039Stock used by date</t>
    </r>
  </si>
  <si>
    <r>
      <rPr>
        <b val="1"/>
        <sz val="9"/>
        <color indexed="18"/>
        <rFont val="Arial"/>
      </rPr>
      <t>LDT0039SL &lt;50% by the end</t>
    </r>
  </si>
  <si>
    <r>
      <rPr>
        <b val="1"/>
        <sz val="9"/>
        <color indexed="18"/>
        <rFont val="Arial"/>
      </rPr>
      <t>LDT0039DSI by the end of month</t>
    </r>
  </si>
  <si>
    <t>LDT0040</t>
  </si>
  <si>
    <t>Lindt Mini Pralines, 180g</t>
  </si>
  <si>
    <r>
      <rPr>
        <b val="1"/>
        <sz val="9"/>
        <color indexed="18"/>
        <rFont val="Arial"/>
      </rPr>
      <t>LDT0040Sales Forecast</t>
    </r>
  </si>
  <si>
    <r>
      <rPr>
        <b val="1"/>
        <sz val="9"/>
        <color indexed="18"/>
        <rFont val="Arial"/>
      </rPr>
      <t>LDT0040Sales Actual</t>
    </r>
  </si>
  <si>
    <r>
      <rPr>
        <b val="1"/>
        <sz val="9"/>
        <color indexed="18"/>
        <rFont val="Arial"/>
      </rPr>
      <t>LDT0040Order to Lindt</t>
    </r>
  </si>
  <si>
    <r>
      <rPr>
        <b val="1"/>
        <sz val="9"/>
        <color indexed="18"/>
        <rFont val="Arial"/>
      </rPr>
      <t>LDT0040Lindt actual incoming</t>
    </r>
  </si>
  <si>
    <r>
      <rPr>
        <b val="1"/>
        <sz val="9"/>
        <color indexed="18"/>
        <rFont val="Arial"/>
      </rPr>
      <t>LDT0040Stcok w/ incoming</t>
    </r>
  </si>
  <si>
    <r>
      <rPr>
        <b val="1"/>
        <sz val="9"/>
        <color indexed="18"/>
        <rFont val="Arial"/>
      </rPr>
      <t>LDT0040Actual stock</t>
    </r>
  </si>
  <si>
    <r>
      <rPr>
        <b val="1"/>
        <sz val="9"/>
        <color indexed="18"/>
        <rFont val="Arial"/>
      </rPr>
      <t>LDT0040Shortage Estimation</t>
    </r>
  </si>
  <si>
    <r>
      <rPr>
        <b val="1"/>
        <sz val="9"/>
        <color indexed="18"/>
        <rFont val="Arial"/>
      </rPr>
      <t>LDT0040Stock used by date</t>
    </r>
  </si>
  <si>
    <r>
      <rPr>
        <b val="1"/>
        <sz val="9"/>
        <color indexed="18"/>
        <rFont val="Arial"/>
      </rPr>
      <t>LDT0040SL &lt;50% by the end</t>
    </r>
  </si>
  <si>
    <r>
      <rPr>
        <b val="1"/>
        <sz val="9"/>
        <color indexed="18"/>
        <rFont val="Arial"/>
      </rPr>
      <t>LDT0040DSI by the end of month</t>
    </r>
  </si>
  <si>
    <t>LDT0041</t>
  </si>
  <si>
    <t>Lindor Assorted 16's,192g</t>
  </si>
  <si>
    <r>
      <rPr>
        <b val="1"/>
        <sz val="9"/>
        <color indexed="18"/>
        <rFont val="Arial"/>
      </rPr>
      <t>LDT0041Sales Forecast</t>
    </r>
  </si>
  <si>
    <r>
      <rPr>
        <b val="1"/>
        <sz val="9"/>
        <color indexed="18"/>
        <rFont val="Arial"/>
      </rPr>
      <t>LDT0041Sales Actual</t>
    </r>
  </si>
  <si>
    <r>
      <rPr>
        <b val="1"/>
        <sz val="9"/>
        <color indexed="18"/>
        <rFont val="Arial"/>
      </rPr>
      <t>LDT0041Order to Lindt</t>
    </r>
  </si>
  <si>
    <r>
      <rPr>
        <b val="1"/>
        <sz val="9"/>
        <color indexed="18"/>
        <rFont val="Arial"/>
      </rPr>
      <t>LDT0041Lindt actual incoming</t>
    </r>
  </si>
  <si>
    <r>
      <rPr>
        <b val="1"/>
        <sz val="9"/>
        <color indexed="18"/>
        <rFont val="Arial"/>
      </rPr>
      <t>LDT0041Stcok w/ incoming</t>
    </r>
  </si>
  <si>
    <r>
      <rPr>
        <b val="1"/>
        <sz val="9"/>
        <color indexed="18"/>
        <rFont val="Arial"/>
      </rPr>
      <t>LDT0041Actual stock</t>
    </r>
  </si>
  <si>
    <r>
      <rPr>
        <b val="1"/>
        <sz val="9"/>
        <color indexed="18"/>
        <rFont val="Arial"/>
      </rPr>
      <t>LDT0041Shortage Estimation</t>
    </r>
  </si>
  <si>
    <r>
      <rPr>
        <b val="1"/>
        <sz val="9"/>
        <color indexed="18"/>
        <rFont val="Arial"/>
      </rPr>
      <t>LDT0041Stock used by date</t>
    </r>
  </si>
  <si>
    <r>
      <rPr>
        <b val="1"/>
        <sz val="9"/>
        <color indexed="18"/>
        <rFont val="Arial"/>
      </rPr>
      <t>LDT0041SL &lt;50% by the end</t>
    </r>
  </si>
  <si>
    <r>
      <rPr>
        <b val="1"/>
        <sz val="9"/>
        <color indexed="18"/>
        <rFont val="Arial"/>
      </rPr>
      <t>LDT0041DSI by the end of month</t>
    </r>
  </si>
  <si>
    <t>LDT0055</t>
  </si>
  <si>
    <t>Lindor Milk Cornet | 75g</t>
  </si>
  <si>
    <r>
      <rPr>
        <b val="1"/>
        <sz val="9"/>
        <color indexed="18"/>
        <rFont val="Arial"/>
      </rPr>
      <t>LDT0055Sales Forecast</t>
    </r>
  </si>
  <si>
    <r>
      <rPr>
        <b val="1"/>
        <sz val="9"/>
        <color indexed="18"/>
        <rFont val="Arial"/>
      </rPr>
      <t>LDT0055Sales Actual</t>
    </r>
  </si>
  <si>
    <r>
      <rPr>
        <b val="1"/>
        <sz val="9"/>
        <color indexed="18"/>
        <rFont val="Arial"/>
      </rPr>
      <t>LDT0055Order to Lindt</t>
    </r>
  </si>
  <si>
    <r>
      <rPr>
        <b val="1"/>
        <sz val="9"/>
        <color indexed="18"/>
        <rFont val="Arial"/>
      </rPr>
      <t>LDT0055Lindt actual incoming</t>
    </r>
  </si>
  <si>
    <r>
      <rPr>
        <b val="1"/>
        <sz val="9"/>
        <color indexed="18"/>
        <rFont val="Arial"/>
      </rPr>
      <t>LDT0055Stcok w/ incoming</t>
    </r>
  </si>
  <si>
    <r>
      <rPr>
        <b val="1"/>
        <sz val="9"/>
        <color indexed="18"/>
        <rFont val="Arial"/>
      </rPr>
      <t>LDT0055Actual stock</t>
    </r>
  </si>
  <si>
    <r>
      <rPr>
        <b val="1"/>
        <sz val="9"/>
        <color indexed="18"/>
        <rFont val="Arial"/>
      </rPr>
      <t>LDT0055Shortage Estimation</t>
    </r>
  </si>
  <si>
    <r>
      <rPr>
        <b val="1"/>
        <sz val="9"/>
        <color indexed="18"/>
        <rFont val="Arial"/>
      </rPr>
      <t>LDT0055Stock used by date</t>
    </r>
  </si>
  <si>
    <r>
      <rPr>
        <b val="1"/>
        <sz val="9"/>
        <color indexed="18"/>
        <rFont val="Arial"/>
      </rPr>
      <t>LDT0055SL &lt;50% by the end</t>
    </r>
  </si>
  <si>
    <r>
      <rPr>
        <b val="1"/>
        <sz val="9"/>
        <color indexed="18"/>
        <rFont val="Arial"/>
      </rPr>
      <t>LDT0055DSI by the end of month</t>
    </r>
  </si>
  <si>
    <t>LDT0056</t>
  </si>
  <si>
    <t>Lindor Milk Cornet | 200g</t>
  </si>
  <si>
    <r>
      <rPr>
        <b val="1"/>
        <sz val="9"/>
        <color indexed="18"/>
        <rFont val="Arial"/>
      </rPr>
      <t>LDT0056Sales Forecast</t>
    </r>
  </si>
  <si>
    <r>
      <rPr>
        <b val="1"/>
        <sz val="9"/>
        <color indexed="18"/>
        <rFont val="Arial"/>
      </rPr>
      <t>LDT0056Sales Actual</t>
    </r>
  </si>
  <si>
    <r>
      <rPr>
        <b val="1"/>
        <sz val="9"/>
        <color indexed="18"/>
        <rFont val="Arial"/>
      </rPr>
      <t>LDT0056Order to Lindt</t>
    </r>
  </si>
  <si>
    <r>
      <rPr>
        <b val="1"/>
        <sz val="9"/>
        <color indexed="18"/>
        <rFont val="Arial"/>
      </rPr>
      <t>LDT0056Lindt actual incoming</t>
    </r>
  </si>
  <si>
    <r>
      <rPr>
        <b val="1"/>
        <sz val="9"/>
        <color indexed="18"/>
        <rFont val="Arial"/>
      </rPr>
      <t>LDT0056Stcok w/ incoming</t>
    </r>
  </si>
  <si>
    <r>
      <rPr>
        <b val="1"/>
        <sz val="9"/>
        <color indexed="18"/>
        <rFont val="Arial"/>
      </rPr>
      <t>LDT0056Actual stock</t>
    </r>
  </si>
  <si>
    <r>
      <rPr>
        <b val="1"/>
        <sz val="9"/>
        <color indexed="18"/>
        <rFont val="Arial"/>
      </rPr>
      <t>LDT0056Shortage Estimation</t>
    </r>
  </si>
  <si>
    <r>
      <rPr>
        <b val="1"/>
        <sz val="9"/>
        <color indexed="18"/>
        <rFont val="Arial"/>
      </rPr>
      <t>LDT0056Stock used by date</t>
    </r>
  </si>
  <si>
    <r>
      <rPr>
        <b val="1"/>
        <sz val="9"/>
        <color indexed="18"/>
        <rFont val="Arial"/>
      </rPr>
      <t>LDT0056SL &lt;50% by the end</t>
    </r>
  </si>
  <si>
    <r>
      <rPr>
        <b val="1"/>
        <sz val="9"/>
        <color indexed="18"/>
        <rFont val="Arial"/>
      </rPr>
      <t>LDT0056DSI by the end of month</t>
    </r>
  </si>
  <si>
    <t>LDT0057</t>
  </si>
  <si>
    <t>Lindor Extra Dark 60% Cornet | 200g</t>
  </si>
  <si>
    <r>
      <rPr>
        <b val="1"/>
        <sz val="9"/>
        <color indexed="18"/>
        <rFont val="Arial"/>
      </rPr>
      <t>LDT0057Sales Forecast</t>
    </r>
  </si>
  <si>
    <r>
      <rPr>
        <b val="1"/>
        <sz val="9"/>
        <color indexed="18"/>
        <rFont val="Arial"/>
      </rPr>
      <t>LDT0057Sales Actual</t>
    </r>
  </si>
  <si>
    <r>
      <rPr>
        <b val="1"/>
        <sz val="9"/>
        <color indexed="18"/>
        <rFont val="Arial"/>
      </rPr>
      <t>LDT0057Order to Lindt</t>
    </r>
  </si>
  <si>
    <r>
      <rPr>
        <b val="1"/>
        <sz val="9"/>
        <color indexed="18"/>
        <rFont val="Arial"/>
      </rPr>
      <t>LDT0057Lindt actual incoming</t>
    </r>
  </si>
  <si>
    <r>
      <rPr>
        <b val="1"/>
        <sz val="9"/>
        <color indexed="18"/>
        <rFont val="Arial"/>
      </rPr>
      <t>LDT0057Stcok w/ incoming</t>
    </r>
  </si>
  <si>
    <r>
      <rPr>
        <b val="1"/>
        <sz val="9"/>
        <color indexed="18"/>
        <rFont val="Arial"/>
      </rPr>
      <t>LDT0057Actual stock</t>
    </r>
  </si>
  <si>
    <r>
      <rPr>
        <b val="1"/>
        <sz val="9"/>
        <color indexed="18"/>
        <rFont val="Arial"/>
      </rPr>
      <t>LDT0057Shortage Estimation</t>
    </r>
  </si>
  <si>
    <r>
      <rPr>
        <b val="1"/>
        <sz val="9"/>
        <color indexed="18"/>
        <rFont val="Arial"/>
      </rPr>
      <t>LDT0057Stock used by date</t>
    </r>
  </si>
  <si>
    <r>
      <rPr>
        <b val="1"/>
        <sz val="9"/>
        <color indexed="18"/>
        <rFont val="Arial"/>
      </rPr>
      <t>LDT0057SL &lt;50% by the end</t>
    </r>
  </si>
  <si>
    <r>
      <rPr>
        <b val="1"/>
        <sz val="9"/>
        <color indexed="18"/>
        <rFont val="Arial"/>
      </rPr>
      <t>LDT0057DSI by the end of month</t>
    </r>
  </si>
  <si>
    <t>LDT0058</t>
  </si>
  <si>
    <t>Lindor Assorted Cornet | 200g</t>
  </si>
  <si>
    <r>
      <rPr>
        <b val="1"/>
        <sz val="9"/>
        <color indexed="18"/>
        <rFont val="Arial"/>
      </rPr>
      <t>LDT0058Sales Forecast</t>
    </r>
  </si>
  <si>
    <r>
      <rPr>
        <b val="1"/>
        <sz val="9"/>
        <color indexed="18"/>
        <rFont val="Arial"/>
      </rPr>
      <t>LDT0058Sales Actual</t>
    </r>
  </si>
  <si>
    <r>
      <rPr>
        <b val="1"/>
        <sz val="9"/>
        <color indexed="18"/>
        <rFont val="Arial"/>
      </rPr>
      <t>LDT0058Order to Lindt</t>
    </r>
  </si>
  <si>
    <r>
      <rPr>
        <b val="1"/>
        <sz val="9"/>
        <color indexed="18"/>
        <rFont val="Arial"/>
      </rPr>
      <t>LDT0058Lindt actual incoming</t>
    </r>
  </si>
  <si>
    <r>
      <rPr>
        <b val="1"/>
        <sz val="9"/>
        <color indexed="18"/>
        <rFont val="Arial"/>
      </rPr>
      <t>LDT0058Stcok w/ incoming</t>
    </r>
  </si>
  <si>
    <r>
      <rPr>
        <b val="1"/>
        <sz val="9"/>
        <color indexed="18"/>
        <rFont val="Arial"/>
      </rPr>
      <t>LDT0058Actual stock</t>
    </r>
  </si>
  <si>
    <r>
      <rPr>
        <b val="1"/>
        <sz val="9"/>
        <color indexed="18"/>
        <rFont val="Arial"/>
      </rPr>
      <t>LDT0058Shortage Estimation</t>
    </r>
  </si>
  <si>
    <r>
      <rPr>
        <b val="1"/>
        <sz val="9"/>
        <color indexed="18"/>
        <rFont val="Arial"/>
      </rPr>
      <t>LDT0058Stock used by date</t>
    </r>
  </si>
  <si>
    <r>
      <rPr>
        <b val="1"/>
        <sz val="9"/>
        <color indexed="18"/>
        <rFont val="Arial"/>
      </rPr>
      <t>LDT0058SL &lt;50% by the end</t>
    </r>
  </si>
  <si>
    <r>
      <rPr>
        <b val="1"/>
        <sz val="9"/>
        <color indexed="18"/>
        <rFont val="Arial"/>
      </rPr>
      <t>LDT0058DSI by the end of month</t>
    </r>
  </si>
  <si>
    <t>LDT0059</t>
  </si>
  <si>
    <t>Lindor Strawberry &amp; Cream Cornet | 200g</t>
  </si>
  <si>
    <r>
      <rPr>
        <b val="1"/>
        <sz val="9"/>
        <color indexed="18"/>
        <rFont val="Arial"/>
      </rPr>
      <t>LDT0059Sales Forecast</t>
    </r>
  </si>
  <si>
    <r>
      <rPr>
        <b val="1"/>
        <sz val="9"/>
        <color indexed="18"/>
        <rFont val="Arial"/>
      </rPr>
      <t>LDT0059Sales Actual</t>
    </r>
  </si>
  <si>
    <r>
      <rPr>
        <b val="1"/>
        <sz val="9"/>
        <color indexed="18"/>
        <rFont val="Arial"/>
      </rPr>
      <t>LDT0059Order to Lindt</t>
    </r>
  </si>
  <si>
    <r>
      <rPr>
        <b val="1"/>
        <sz val="9"/>
        <color indexed="18"/>
        <rFont val="Arial"/>
      </rPr>
      <t>LDT0059Lindt actual incoming</t>
    </r>
  </si>
  <si>
    <r>
      <rPr>
        <b val="1"/>
        <sz val="9"/>
        <color indexed="18"/>
        <rFont val="Arial"/>
      </rPr>
      <t>LDT0059Stcok w/ incoming</t>
    </r>
  </si>
  <si>
    <r>
      <rPr>
        <b val="1"/>
        <sz val="9"/>
        <color indexed="18"/>
        <rFont val="Arial"/>
      </rPr>
      <t>LDT0059Actual stock</t>
    </r>
  </si>
  <si>
    <r>
      <rPr>
        <b val="1"/>
        <sz val="9"/>
        <color indexed="18"/>
        <rFont val="Arial"/>
      </rPr>
      <t>LDT0059Shortage Estimation</t>
    </r>
  </si>
  <si>
    <r>
      <rPr>
        <b val="1"/>
        <sz val="9"/>
        <color indexed="18"/>
        <rFont val="Arial"/>
      </rPr>
      <t>LDT0059Stock used by date</t>
    </r>
  </si>
  <si>
    <r>
      <rPr>
        <b val="1"/>
        <sz val="9"/>
        <color indexed="18"/>
        <rFont val="Arial"/>
      </rPr>
      <t>LDT0059SL &lt;50% by the end</t>
    </r>
  </si>
  <si>
    <r>
      <rPr>
        <b val="1"/>
        <sz val="9"/>
        <color indexed="18"/>
        <rFont val="Arial"/>
      </rPr>
      <t>LDT0059DSI by the end of month</t>
    </r>
  </si>
  <si>
    <r>
      <rPr>
        <b val="1"/>
        <sz val="9"/>
        <color indexed="18"/>
        <rFont val="Arial"/>
      </rPr>
      <t>Sales Forecast</t>
    </r>
  </si>
  <si>
    <r>
      <rPr>
        <b val="1"/>
        <sz val="9"/>
        <color indexed="18"/>
        <rFont val="Arial"/>
      </rPr>
      <t>Sales Actual</t>
    </r>
  </si>
  <si>
    <r>
      <rPr>
        <b val="1"/>
        <sz val="9"/>
        <color indexed="18"/>
        <rFont val="Arial"/>
      </rPr>
      <t>Order to Lindt</t>
    </r>
  </si>
  <si>
    <r>
      <rPr>
        <b val="1"/>
        <sz val="9"/>
        <color indexed="18"/>
        <rFont val="Arial"/>
      </rPr>
      <t>Lindt actual incoming</t>
    </r>
  </si>
  <si>
    <r>
      <rPr>
        <b val="1"/>
        <sz val="9"/>
        <color indexed="18"/>
        <rFont val="Arial"/>
      </rPr>
      <t>Stcok w/ incoming</t>
    </r>
  </si>
  <si>
    <r>
      <rPr>
        <b val="1"/>
        <sz val="9"/>
        <color indexed="18"/>
        <rFont val="Arial"/>
      </rPr>
      <t>Actual stock</t>
    </r>
  </si>
  <si>
    <r>
      <rPr>
        <b val="1"/>
        <sz val="9"/>
        <color indexed="18"/>
        <rFont val="Arial"/>
      </rPr>
      <t>Shortage Estimation</t>
    </r>
  </si>
  <si>
    <r>
      <rPr>
        <b val="1"/>
        <sz val="9"/>
        <color indexed="18"/>
        <rFont val="Arial"/>
      </rPr>
      <t>Stock used by date</t>
    </r>
  </si>
  <si>
    <r>
      <rPr>
        <b val="1"/>
        <sz val="9"/>
        <color indexed="18"/>
        <rFont val="Arial"/>
      </rPr>
      <t>SL &lt;50% by the end</t>
    </r>
  </si>
  <si>
    <r>
      <rPr>
        <b val="1"/>
        <sz val="9"/>
        <color indexed="18"/>
        <rFont val="Arial"/>
      </rPr>
      <t>DSI by the end of month</t>
    </r>
  </si>
  <si>
    <t>FEB</t>
  </si>
  <si>
    <t>MAR</t>
  </si>
  <si>
    <t>APR</t>
  </si>
  <si>
    <t>MAY</t>
  </si>
  <si>
    <t>JUN</t>
  </si>
  <si>
    <t>JUL</t>
  </si>
  <si>
    <t>AUG</t>
  </si>
  <si>
    <t>SEP</t>
  </si>
  <si>
    <t>OCT</t>
  </si>
  <si>
    <t>NOV</t>
  </si>
  <si>
    <t>DEC</t>
  </si>
  <si>
    <t>SKU</t>
  </si>
  <si>
    <t>Forecast</t>
  </si>
  <si>
    <t>LDT0042</t>
  </si>
  <si>
    <t>LDT0043</t>
  </si>
  <si>
    <t>LDT0044</t>
  </si>
  <si>
    <t>LDT0045</t>
  </si>
  <si>
    <t>LDT0046</t>
  </si>
  <si>
    <t>LDT0047</t>
  </si>
  <si>
    <t>LDT0048</t>
  </si>
  <si>
    <t>LDT0049</t>
  </si>
  <si>
    <t>LDT0050</t>
  </si>
  <si>
    <t>LDT0051</t>
  </si>
  <si>
    <t>LDT0052</t>
  </si>
  <si>
    <t>JAN</t>
  </si>
  <si>
    <t>Actual</t>
  </si>
  <si>
    <t>Stock</t>
  </si>
  <si>
    <t>Sell in</t>
  </si>
  <si>
    <t>Date 50%</t>
  </si>
  <si>
    <t>行标签</t>
  </si>
  <si>
    <t>Actual sales 0419</t>
  </si>
  <si>
    <t>LDT0026</t>
  </si>
  <si>
    <t>LDT0029</t>
  </si>
  <si>
    <t>LDT0030</t>
  </si>
  <si>
    <t>LDT0031</t>
  </si>
  <si>
    <t>LDT0037</t>
  </si>
  <si>
    <t>总计</t>
  </si>
  <si>
    <t>Grand Total</t>
  </si>
  <si>
    <t>(blank)</t>
  </si>
  <si>
    <t>Purchase price</t>
  </si>
  <si>
    <t>SUB Category</t>
  </si>
  <si>
    <t>Link field</t>
  </si>
  <si>
    <t>Total SellIn Qty 2017</t>
  </si>
  <si>
    <t>Total SellIn amount 2017</t>
  </si>
  <si>
    <t>Swiss classic bars Milk, 100g</t>
  </si>
  <si>
    <t>Classic</t>
  </si>
  <si>
    <t>LDT0001Lindt actual incoming</t>
  </si>
  <si>
    <t>Swiss classic Milk Almond, 100g</t>
  </si>
  <si>
    <t>LDT0002Lindt actual incoming</t>
  </si>
  <si>
    <t>Swiss classic Milk Raisin Nut, 100g</t>
  </si>
  <si>
    <t>LDT0003Lindt actual incoming</t>
  </si>
  <si>
    <t>Swiss classic Milk Hazelnut, 100g</t>
  </si>
  <si>
    <t>LDT0004Lindt actual incoming</t>
  </si>
  <si>
    <t>Swiss classic Dark, 100g</t>
  </si>
  <si>
    <t>LDT0005Lindt actual incoming</t>
  </si>
  <si>
    <t>Thins Milk, 125g</t>
  </si>
  <si>
    <t>Thins</t>
  </si>
  <si>
    <t>LDT0006Lindt actual incoming</t>
  </si>
  <si>
    <t>Thins Dark, 125g</t>
  </si>
  <si>
    <t>LDT0007Lindt actual incoming</t>
  </si>
  <si>
    <t>Excellence 50% Dark, 100g</t>
  </si>
  <si>
    <t>Excellence</t>
  </si>
  <si>
    <t>LDT0008Lindt actual incoming</t>
  </si>
  <si>
    <t>Excellence Intense Orange, 100g</t>
  </si>
  <si>
    <t>LDT0009Lindt actual incoming</t>
  </si>
  <si>
    <t>Excellence Touch of Sea Salt, 100g</t>
  </si>
  <si>
    <t>LDT0010Lindt actual incoming</t>
  </si>
  <si>
    <t>Excellence Dark 70% non-mild, 100g</t>
  </si>
  <si>
    <t>LDT0011Lindt actual incoming</t>
  </si>
  <si>
    <t>Excellence 85% Dark, 100g</t>
  </si>
  <si>
    <t>LDT0012Lindt actual incoming</t>
  </si>
  <si>
    <t>Excellence 99% Dark, 50g</t>
  </si>
  <si>
    <t>LDT0013Lindt actual incoming</t>
  </si>
  <si>
    <t>Lindor Singles</t>
  </si>
  <si>
    <t>LDT0014Lindt actual incoming</t>
  </si>
  <si>
    <t>LDT0015Lindt actual incoming</t>
  </si>
  <si>
    <t>LDT0016Lindt actual incoming</t>
  </si>
  <si>
    <t>LDT0017Lindt actual incoming</t>
  </si>
  <si>
    <t>Lindor Box</t>
  </si>
  <si>
    <t>LDT0019Lindt actual incoming</t>
  </si>
  <si>
    <t>LDT0020Lindt actual incoming</t>
  </si>
  <si>
    <t>LDT0021Lindt actual incoming</t>
  </si>
  <si>
    <t>LDT0022Lindt actual incoming</t>
  </si>
  <si>
    <t>LDT0023Lindt actual incoming</t>
  </si>
  <si>
    <t>LDT0024Lindt actual incoming</t>
  </si>
  <si>
    <t>Lindor others</t>
  </si>
  <si>
    <t>LDT0025Lindt actual incoming</t>
  </si>
  <si>
    <t>LDT0027Lindt actual incoming</t>
  </si>
  <si>
    <t>LDT0028Lindt actual incoming</t>
  </si>
  <si>
    <t>LDT0032Lindt actual incoming</t>
  </si>
  <si>
    <t>LDT0034Lindt actual incoming</t>
  </si>
  <si>
    <t>LDT0035Lindt actual incoming</t>
  </si>
  <si>
    <t>Naps</t>
  </si>
  <si>
    <t>LDT0036Lindt actual incoming</t>
  </si>
  <si>
    <t>LDT0038Lindt actual incoming</t>
  </si>
  <si>
    <t>LDT0039Lindt actual incoming</t>
  </si>
  <si>
    <t>Parlines</t>
  </si>
  <si>
    <t>LDT0040Lindt actual incoming</t>
  </si>
  <si>
    <t>LDT0041Lindt actual incoming</t>
  </si>
  <si>
    <t>Excellence 78% Dark | 100g</t>
  </si>
  <si>
    <t>LDT0053Lindt actual incoming</t>
  </si>
  <si>
    <t>Excellence 90% Dark | 100g</t>
  </si>
  <si>
    <t>LDT0054Lindt actual incoming</t>
  </si>
  <si>
    <t>Lindor Cornet</t>
  </si>
  <si>
    <t>LDT0055Lindt actual incoming</t>
  </si>
  <si>
    <t>LDT0056Lindt actual incoming</t>
  </si>
  <si>
    <t>LDT0057Lindt actual incoming</t>
  </si>
  <si>
    <t>LDT0058Lindt actual incoming</t>
  </si>
  <si>
    <t>LDT0059Lindt actual incoming</t>
  </si>
  <si>
    <t>物料</t>
  </si>
  <si>
    <t>工厂代码</t>
  </si>
  <si>
    <t>批次</t>
  </si>
  <si>
    <t>生产日</t>
  </si>
  <si>
    <t>过期日</t>
  </si>
  <si>
    <t>数量</t>
  </si>
  <si>
    <t>留库数量</t>
  </si>
  <si>
    <t>单位</t>
  </si>
  <si>
    <t>TOTAL Shelf Life</t>
  </si>
  <si>
    <t>Remaining Shelf Life</t>
  </si>
  <si>
    <t>Percentage of Shelf Life</t>
  </si>
  <si>
    <t>40%Rate Date</t>
  </si>
  <si>
    <t>Row Labels</t>
  </si>
  <si>
    <t>Sum of 数量</t>
  </si>
  <si>
    <t>Last date to sell in Apr</t>
  </si>
  <si>
    <t>P010</t>
  </si>
  <si>
    <t>1709300708</t>
  </si>
  <si>
    <t>个</t>
  </si>
  <si>
    <t>Sellable stock</t>
  </si>
  <si>
    <t>1710310808</t>
  </si>
  <si>
    <t>1802281206</t>
  </si>
  <si>
    <t>1708310608</t>
  </si>
  <si>
    <t>1711300907</t>
  </si>
  <si>
    <t>1712311008</t>
  </si>
  <si>
    <t>P020</t>
  </si>
  <si>
    <t>P040</t>
  </si>
  <si>
    <t>P050</t>
  </si>
  <si>
    <t>1707310508</t>
  </si>
  <si>
    <t>1709110912</t>
  </si>
  <si>
    <t>1707050706</t>
  </si>
  <si>
    <t>1710251026</t>
  </si>
  <si>
    <t>1708110812</t>
  </si>
  <si>
    <t>1706090610</t>
  </si>
  <si>
    <t>1709290930</t>
  </si>
  <si>
    <t>1704120413</t>
  </si>
  <si>
    <t>1711081109</t>
  </si>
  <si>
    <t>1708140815</t>
  </si>
  <si>
    <t>1707100711</t>
  </si>
  <si>
    <t>1705080509</t>
  </si>
  <si>
    <t>1710231024</t>
  </si>
  <si>
    <t>1709070908</t>
  </si>
  <si>
    <t>1709280929</t>
  </si>
  <si>
    <t>1706220623</t>
  </si>
  <si>
    <t>1708310602</t>
  </si>
  <si>
    <t>1709300702</t>
  </si>
  <si>
    <t>1710310802</t>
  </si>
  <si>
    <t>1711300901</t>
  </si>
  <si>
    <t>1712311002</t>
  </si>
  <si>
    <t>1802281130</t>
  </si>
  <si>
    <t>1707310502</t>
  </si>
  <si>
    <t>1706300407</t>
  </si>
  <si>
    <t>1705310308</t>
  </si>
  <si>
    <t>1712310903</t>
  </si>
  <si>
    <t>1707310403</t>
  </si>
  <si>
    <t>1709300603</t>
  </si>
  <si>
    <t>1710310704</t>
  </si>
  <si>
    <t>1803311202</t>
  </si>
  <si>
    <t>1704300501</t>
  </si>
  <si>
    <t>1706300701</t>
  </si>
  <si>
    <t>1707310801</t>
  </si>
  <si>
    <t>1710311101</t>
  </si>
  <si>
    <t>1711301201</t>
  </si>
  <si>
    <t>1705310502</t>
  </si>
  <si>
    <t>1708310802</t>
  </si>
  <si>
    <t>1703310302</t>
  </si>
  <si>
    <t>1711301101</t>
  </si>
  <si>
    <t>1710311002</t>
  </si>
  <si>
    <t>1712301001</t>
  </si>
  <si>
    <t>1801301101</t>
  </si>
  <si>
    <t>LDT0033</t>
  </si>
  <si>
    <t>1708300601</t>
  </si>
  <si>
    <t>1710300801</t>
  </si>
  <si>
    <t>1706300401</t>
  </si>
  <si>
    <t>1707300501</t>
  </si>
  <si>
    <t>1801311102</t>
  </si>
  <si>
    <t>1708030804</t>
  </si>
  <si>
    <t>1706280629</t>
  </si>
  <si>
    <t>1706200621</t>
  </si>
  <si>
    <t>1706020603</t>
  </si>
  <si>
    <t>1707190720</t>
  </si>
  <si>
    <t>1705160517</t>
  </si>
  <si>
    <t>1705300531</t>
  </si>
  <si>
    <t>1706150616</t>
  </si>
  <si>
    <t>1707140715</t>
  </si>
  <si>
    <t>1705310601</t>
  </si>
  <si>
    <t>1708310901</t>
  </si>
  <si>
    <t>1706160617</t>
  </si>
  <si>
    <t>1707200721</t>
  </si>
  <si>
    <t>1708150816</t>
  </si>
  <si>
    <t>1705260527</t>
  </si>
  <si>
    <t>1708100811</t>
  </si>
  <si>
    <t>1709301001</t>
  </si>
  <si>
    <t>1706010607</t>
  </si>
  <si>
    <t>1707310806</t>
  </si>
  <si>
    <t>1708310906</t>
  </si>
  <si>
    <t>箱</t>
  </si>
  <si>
    <t>1708311101</t>
  </si>
  <si>
    <t>英文名称</t>
  </si>
  <si>
    <t>库存代码</t>
  </si>
  <si>
    <t>库存名称</t>
  </si>
  <si>
    <t>40%date</t>
  </si>
  <si>
    <t>Trading Goods</t>
  </si>
  <si>
    <t>To be pick up</t>
  </si>
  <si>
    <t>ZM External</t>
  </si>
  <si>
    <t>Online</t>
  </si>
  <si>
    <t>Trading Goods-IM</t>
  </si>
  <si>
    <t xml:space="preserve"> </t>
  </si>
  <si>
    <t>Lindor Heart Milk 8's 96g</t>
  </si>
  <si>
    <t>Lindor Milk 8's, 96g</t>
  </si>
  <si>
    <t>Lindor Assorted 10's, 120g</t>
  </si>
  <si>
    <t>Lindor Milk 10's, 120g</t>
  </si>
  <si>
    <t>Lindor Extra Dark 60% 10s, 120g</t>
  </si>
  <si>
    <t>Lindor Milk Maxi Ball 20's,240g（For Gou</t>
  </si>
  <si>
    <t>Naps Milk Can Silver, 223g</t>
  </si>
  <si>
    <t>Lindor Milk 200PCs 2.4KG</t>
  </si>
  <si>
    <t>Lindor Bulk Dark,10kg</t>
  </si>
  <si>
    <t>Lindt Gold Bunny Milk</t>
  </si>
</sst>
</file>

<file path=xl/styles.xml><?xml version="1.0" encoding="utf-8"?>
<styleSheet xmlns="http://schemas.openxmlformats.org/spreadsheetml/2006/main">
  <numFmts count="8">
    <numFmt numFmtId="0" formatCode="General"/>
    <numFmt numFmtId="59" formatCode="&quot; &quot;[$€-2]* #,##0.00&quot; &quot;;&quot; &quot;[$€-2]* (#,##0.00);&quot; &quot;[$€-2]* &quot;-&quot;??&quot; &quot;"/>
    <numFmt numFmtId="60" formatCode="&quot; &quot;* #,##0&quot; &quot;;&quot; &quot;* &quot;-&quot;#,##0&quot; &quot;;&quot; &quot;* &quot;-&quot;??&quot; &quot;"/>
    <numFmt numFmtId="61" formatCode="mmmm"/>
    <numFmt numFmtId="62" formatCode="yyyy&quot;-&quot;m&quot;-&quot;d"/>
    <numFmt numFmtId="63" formatCode="0&quot; &quot;;(0)"/>
    <numFmt numFmtId="64" formatCode="&quot;¥&quot;#,##0.00&quot; &quot;;&quot;(¥&quot;#,##0.00)"/>
    <numFmt numFmtId="65" formatCode="&quot; ¥&quot;* #,##0.00&quot; &quot;;&quot; ¥&quot;* &quot;-&quot;#,##0.00&quot; &quot;;&quot; ¥&quot;* &quot;-&quot;??&quot; &quot;"/>
  </numFmts>
  <fonts count="12">
    <font>
      <sz val="11"/>
      <color indexed="8"/>
      <name val="宋体"/>
    </font>
    <font>
      <sz val="12"/>
      <color indexed="8"/>
      <name val="Helvetica"/>
    </font>
    <font>
      <sz val="14"/>
      <color indexed="8"/>
      <name val="宋体"/>
    </font>
    <font>
      <b val="1"/>
      <sz val="9"/>
      <color indexed="8"/>
      <name val="Arial"/>
    </font>
    <font>
      <sz val="9"/>
      <color indexed="17"/>
      <name val="Arial"/>
    </font>
    <font>
      <b val="1"/>
      <sz val="9"/>
      <color indexed="18"/>
      <name val="Arial"/>
    </font>
    <font>
      <sz val="9"/>
      <color indexed="8"/>
      <name val="Arial"/>
    </font>
    <font>
      <sz val="9"/>
      <color indexed="8"/>
      <name val="宋体"/>
    </font>
    <font>
      <sz val="10"/>
      <color indexed="8"/>
      <name val="宋体"/>
    </font>
    <font>
      <sz val="10"/>
      <color indexed="8"/>
      <name val="Tahoma"/>
    </font>
    <font>
      <sz val="9"/>
      <color indexed="8"/>
      <name val="Calibri"/>
    </font>
    <font>
      <b val="1"/>
      <sz val="9"/>
      <color indexed="8"/>
      <name val="Calibri"/>
    </font>
  </fonts>
  <fills count="17">
    <fill>
      <patternFill patternType="none"/>
    </fill>
    <fill>
      <patternFill patternType="gray125"/>
    </fill>
    <fill>
      <patternFill patternType="solid">
        <fgColor indexed="9"/>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6"/>
        <bgColor auto="1"/>
      </patternFill>
    </fill>
    <fill>
      <patternFill patternType="solid">
        <fgColor indexed="27"/>
        <bgColor auto="1"/>
      </patternFill>
    </fill>
    <fill>
      <patternFill patternType="solid">
        <fgColor indexed="28"/>
        <bgColor auto="1"/>
      </patternFill>
    </fill>
    <fill>
      <patternFill patternType="solid">
        <fgColor indexed="29"/>
        <bgColor auto="1"/>
      </patternFill>
    </fill>
    <fill>
      <patternFill patternType="solid">
        <fgColor indexed="31"/>
        <bgColor auto="1"/>
      </patternFill>
    </fill>
    <fill>
      <patternFill patternType="solid">
        <fgColor indexed="32"/>
        <bgColor auto="1"/>
      </patternFill>
    </fill>
    <fill>
      <patternFill patternType="solid">
        <fgColor indexed="33"/>
        <bgColor auto="1"/>
      </patternFill>
    </fill>
    <fill>
      <patternFill patternType="solid">
        <fgColor indexed="34"/>
        <bgColor auto="1"/>
      </patternFill>
    </fill>
  </fills>
  <borders count="116">
    <border>
      <left/>
      <right/>
      <top/>
      <bottom/>
      <diagonal/>
    </border>
    <border>
      <left style="thin">
        <color indexed="10"/>
      </left>
      <right/>
      <top style="thin">
        <color indexed="10"/>
      </top>
      <bottom style="thin">
        <color indexed="11"/>
      </bottom>
      <diagonal/>
    </border>
    <border>
      <left/>
      <right/>
      <top style="thin">
        <color indexed="10"/>
      </top>
      <bottom style="thin">
        <color indexed="11"/>
      </bottom>
      <diagonal/>
    </border>
    <border>
      <left/>
      <right style="thin">
        <color indexed="10"/>
      </right>
      <top style="thin">
        <color indexed="10"/>
      </top>
      <bottom style="thin">
        <color indexed="11"/>
      </bottom>
      <diagonal/>
    </border>
    <border>
      <left style="thin">
        <color indexed="10"/>
      </left>
      <right/>
      <top style="thin">
        <color indexed="11"/>
      </top>
      <bottom style="thin">
        <color indexed="11"/>
      </bottom>
      <diagonal/>
    </border>
    <border>
      <left/>
      <right/>
      <top style="thin">
        <color indexed="11"/>
      </top>
      <bottom style="thin">
        <color indexed="11"/>
      </bottom>
      <diagonal/>
    </border>
    <border>
      <left/>
      <right style="thin">
        <color indexed="10"/>
      </right>
      <top style="thin">
        <color indexed="11"/>
      </top>
      <bottom style="thin">
        <color indexed="11"/>
      </bottom>
      <diagonal/>
    </border>
    <border>
      <left style="thin">
        <color indexed="10"/>
      </left>
      <right style="hair">
        <color indexed="15"/>
      </right>
      <top style="thin">
        <color indexed="11"/>
      </top>
      <bottom style="hair">
        <color indexed="16"/>
      </bottom>
      <diagonal/>
    </border>
    <border>
      <left style="hair">
        <color indexed="15"/>
      </left>
      <right style="hair">
        <color indexed="15"/>
      </right>
      <top style="thin">
        <color indexed="11"/>
      </top>
      <bottom style="hair">
        <color indexed="16"/>
      </bottom>
      <diagonal/>
    </border>
    <border>
      <left style="hair">
        <color indexed="15"/>
      </left>
      <right style="hair">
        <color indexed="15"/>
      </right>
      <top style="thin">
        <color indexed="11"/>
      </top>
      <bottom style="thin">
        <color indexed="11"/>
      </bottom>
      <diagonal/>
    </border>
    <border>
      <left style="thin">
        <color indexed="10"/>
      </left>
      <right style="hair">
        <color indexed="15"/>
      </right>
      <top style="hair">
        <color indexed="16"/>
      </top>
      <bottom style="hair">
        <color indexed="16"/>
      </bottom>
      <diagonal/>
    </border>
    <border>
      <left style="hair">
        <color indexed="15"/>
      </left>
      <right style="hair">
        <color indexed="15"/>
      </right>
      <top style="hair">
        <color indexed="16"/>
      </top>
      <bottom style="hair">
        <color indexed="16"/>
      </bottom>
      <diagonal/>
    </border>
    <border>
      <left style="hair">
        <color indexed="15"/>
      </left>
      <right/>
      <top style="hair">
        <color indexed="16"/>
      </top>
      <bottom style="hair">
        <color indexed="16"/>
      </bottom>
      <diagonal/>
    </border>
    <border>
      <left/>
      <right style="hair">
        <color indexed="15"/>
      </right>
      <top style="hair">
        <color indexed="16"/>
      </top>
      <bottom style="hair">
        <color indexed="16"/>
      </bottom>
      <diagonal/>
    </border>
    <border>
      <left style="hair">
        <color indexed="15"/>
      </left>
      <right/>
      <top style="hair">
        <color indexed="16"/>
      </top>
      <bottom/>
      <diagonal/>
    </border>
    <border>
      <left/>
      <right/>
      <top style="hair">
        <color indexed="16"/>
      </top>
      <bottom/>
      <diagonal/>
    </border>
    <border>
      <left/>
      <right style="hair">
        <color indexed="15"/>
      </right>
      <top style="hair">
        <color indexed="16"/>
      </top>
      <bottom/>
      <diagonal/>
    </border>
    <border>
      <left style="hair">
        <color indexed="15"/>
      </left>
      <right/>
      <top/>
      <bottom style="hair">
        <color indexed="16"/>
      </bottom>
      <diagonal/>
    </border>
    <border>
      <left/>
      <right/>
      <top/>
      <bottom style="hair">
        <color indexed="16"/>
      </bottom>
      <diagonal/>
    </border>
    <border>
      <left/>
      <right style="hair">
        <color indexed="15"/>
      </right>
      <top/>
      <bottom style="hair">
        <color indexed="16"/>
      </bottom>
      <diagonal/>
    </border>
    <border>
      <left style="thin">
        <color indexed="10"/>
      </left>
      <right style="hair">
        <color indexed="15"/>
      </right>
      <top style="hair">
        <color indexed="16"/>
      </top>
      <bottom style="thin">
        <color indexed="11"/>
      </bottom>
      <diagonal/>
    </border>
    <border>
      <left style="hair">
        <color indexed="15"/>
      </left>
      <right style="hair">
        <color indexed="15"/>
      </right>
      <top style="hair">
        <color indexed="16"/>
      </top>
      <bottom style="thin">
        <color indexed="11"/>
      </bottom>
      <diagonal/>
    </border>
    <border>
      <left/>
      <right style="hair">
        <color indexed="15"/>
      </right>
      <top style="thin">
        <color indexed="11"/>
      </top>
      <bottom style="thin">
        <color indexed="11"/>
      </bottom>
      <diagonal/>
    </border>
    <border>
      <left style="hair">
        <color indexed="15"/>
      </left>
      <right/>
      <top style="thin">
        <color indexed="11"/>
      </top>
      <bottom style="thin">
        <color indexed="11"/>
      </bottom>
      <diagonal/>
    </border>
    <border>
      <left/>
      <right/>
      <top style="hair">
        <color indexed="16"/>
      </top>
      <bottom style="hair">
        <color indexed="16"/>
      </bottom>
      <diagonal/>
    </border>
    <border>
      <left style="hair">
        <color indexed="15"/>
      </left>
      <right/>
      <top/>
      <bottom/>
      <diagonal/>
    </border>
    <border>
      <left/>
      <right/>
      <top/>
      <bottom/>
      <diagonal/>
    </border>
    <border>
      <left/>
      <right style="hair">
        <color indexed="15"/>
      </right>
      <top/>
      <bottom/>
      <diagonal/>
    </border>
    <border>
      <left style="hair">
        <color indexed="15"/>
      </left>
      <right/>
      <top/>
      <bottom style="thin">
        <color indexed="11"/>
      </bottom>
      <diagonal/>
    </border>
    <border>
      <left/>
      <right/>
      <top/>
      <bottom style="thin">
        <color indexed="11"/>
      </bottom>
      <diagonal/>
    </border>
    <border>
      <left/>
      <right/>
      <top style="hair">
        <color indexed="16"/>
      </top>
      <bottom style="thin">
        <color indexed="11"/>
      </bottom>
      <diagonal/>
    </border>
    <border>
      <left style="hair">
        <color indexed="15"/>
      </left>
      <right/>
      <top style="thin">
        <color indexed="11"/>
      </top>
      <bottom style="hair">
        <color indexed="16"/>
      </bottom>
      <diagonal/>
    </border>
    <border>
      <left/>
      <right/>
      <top style="thin">
        <color indexed="11"/>
      </top>
      <bottom style="hair">
        <color indexed="16"/>
      </bottom>
      <diagonal/>
    </border>
    <border>
      <left/>
      <right style="hair">
        <color indexed="15"/>
      </right>
      <top style="thin">
        <color indexed="11"/>
      </top>
      <bottom style="hair">
        <color indexed="16"/>
      </bottom>
      <diagonal/>
    </border>
    <border>
      <left/>
      <right style="hair">
        <color indexed="15"/>
      </right>
      <top style="thin">
        <color indexed="11"/>
      </top>
      <bottom/>
      <diagonal/>
    </border>
    <border>
      <left style="hair">
        <color indexed="15"/>
      </left>
      <right style="hair">
        <color indexed="15"/>
      </right>
      <top/>
      <bottom/>
      <diagonal/>
    </border>
    <border>
      <left style="hair">
        <color indexed="15"/>
      </left>
      <right style="hair">
        <color indexed="15"/>
      </right>
      <top style="hair">
        <color indexed="16"/>
      </top>
      <bottom/>
      <diagonal/>
    </border>
    <border>
      <left/>
      <right/>
      <top style="thin">
        <color indexed="11"/>
      </top>
      <bottom/>
      <diagonal/>
    </border>
    <border>
      <left style="hair">
        <color indexed="15"/>
      </left>
      <right/>
      <top style="thin">
        <color indexed="11"/>
      </top>
      <bottom/>
      <diagonal/>
    </border>
    <border>
      <left style="thin">
        <color indexed="10"/>
      </left>
      <right/>
      <top style="thin">
        <color indexed="11"/>
      </top>
      <bottom style="thin">
        <color indexed="10"/>
      </bottom>
      <diagonal/>
    </border>
    <border>
      <left/>
      <right/>
      <top style="thin">
        <color indexed="11"/>
      </top>
      <bottom style="thin">
        <color indexed="10"/>
      </bottom>
      <diagonal/>
    </border>
    <border>
      <left/>
      <right style="thin">
        <color indexed="10"/>
      </right>
      <top style="thin">
        <color indexed="11"/>
      </top>
      <bottom style="thin">
        <color indexed="10"/>
      </bottom>
      <diagonal/>
    </border>
    <border>
      <left style="medium">
        <color indexed="8"/>
      </left>
      <right/>
      <top style="thin">
        <color indexed="10"/>
      </top>
      <bottom style="medium">
        <color indexed="8"/>
      </bottom>
      <diagonal/>
    </border>
    <border>
      <left/>
      <right/>
      <top style="thin">
        <color indexed="10"/>
      </top>
      <bottom style="medium">
        <color indexed="8"/>
      </bottom>
      <diagonal/>
    </border>
    <border>
      <left/>
      <right style="medium">
        <color indexed="8"/>
      </right>
      <top style="thin">
        <color indexed="10"/>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style="medium">
        <color indexed="8"/>
      </bottom>
      <diagonal/>
    </border>
    <border>
      <left/>
      <right style="medium">
        <color indexed="8"/>
      </right>
      <top/>
      <bottom style="medium">
        <color indexed="8"/>
      </bottom>
      <diagonal/>
    </border>
    <border>
      <left/>
      <right style="medium">
        <color indexed="8"/>
      </right>
      <top/>
      <bottom/>
      <diagonal/>
    </border>
    <border>
      <left style="medium">
        <color indexed="8"/>
      </left>
      <right style="medium">
        <color indexed="8"/>
      </right>
      <top style="medium">
        <color indexed="8"/>
      </top>
      <bottom style="medium">
        <color indexed="8"/>
      </bottom>
      <diagonal/>
    </border>
    <border>
      <left style="medium">
        <color indexed="8"/>
      </left>
      <right style="hair">
        <color indexed="15"/>
      </right>
      <top style="medium">
        <color indexed="8"/>
      </top>
      <bottom style="medium">
        <color indexed="8"/>
      </bottom>
      <diagonal/>
    </border>
    <border>
      <left style="hair">
        <color indexed="15"/>
      </left>
      <right style="medium">
        <color indexed="8"/>
      </right>
      <top/>
      <bottom style="hair">
        <color indexed="16"/>
      </bottom>
      <diagonal/>
    </border>
    <border>
      <left style="medium">
        <color indexed="8"/>
      </left>
      <right style="hair">
        <color indexed="15"/>
      </right>
      <top style="medium">
        <color indexed="8"/>
      </top>
      <bottom style="thin">
        <color indexed="8"/>
      </bottom>
      <diagonal/>
    </border>
    <border>
      <left style="hair">
        <color indexed="15"/>
      </left>
      <right style="medium">
        <color indexed="8"/>
      </right>
      <top style="medium">
        <color indexed="8"/>
      </top>
      <bottom style="thin">
        <color indexed="11"/>
      </bottom>
      <diagonal/>
    </border>
    <border>
      <left style="hair">
        <color indexed="15"/>
      </left>
      <right style="medium">
        <color indexed="8"/>
      </right>
      <top style="hair">
        <color indexed="16"/>
      </top>
      <bottom style="thin">
        <color indexed="11"/>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hair">
        <color indexed="16"/>
      </top>
      <bottom style="thin">
        <color indexed="11"/>
      </bottom>
      <diagonal/>
    </border>
    <border>
      <left style="medium">
        <color indexed="8"/>
      </left>
      <right style="hair">
        <color indexed="15"/>
      </right>
      <top style="thin">
        <color indexed="8"/>
      </top>
      <bottom style="thin">
        <color indexed="8"/>
      </bottom>
      <diagonal/>
    </border>
    <border>
      <left style="hair">
        <color indexed="15"/>
      </left>
      <right style="medium">
        <color indexed="8"/>
      </right>
      <top style="thin">
        <color indexed="11"/>
      </top>
      <bottom style="thin">
        <color indexed="11"/>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style="thin">
        <color indexed="11"/>
      </top>
      <bottom style="thin">
        <color indexed="11"/>
      </bottom>
      <diagonal/>
    </border>
    <border>
      <left style="hair">
        <color indexed="15"/>
      </left>
      <right style="medium">
        <color indexed="8"/>
      </right>
      <top style="thin">
        <color indexed="11"/>
      </top>
      <bottom style="thin">
        <color indexed="8"/>
      </bottom>
      <diagonal/>
    </border>
    <border>
      <left style="medium">
        <color indexed="8"/>
      </left>
      <right style="medium">
        <color indexed="8"/>
      </right>
      <top style="thin">
        <color indexed="11"/>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thin">
        <color indexed="10"/>
      </top>
      <bottom style="medium">
        <color indexed="8"/>
      </bottom>
      <diagonal/>
    </border>
    <border>
      <left style="medium">
        <color indexed="8"/>
      </left>
      <right style="thin">
        <color indexed="10"/>
      </right>
      <top style="thin">
        <color indexed="10"/>
      </top>
      <bottom style="medium">
        <color indexed="8"/>
      </bottom>
      <diagonal/>
    </border>
    <border>
      <left style="medium">
        <color indexed="8"/>
      </left>
      <right style="thin">
        <color indexed="10"/>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thin">
        <color indexed="10"/>
      </right>
      <top style="medium">
        <color indexed="8"/>
      </top>
      <bottom/>
      <diagonal/>
    </border>
    <border>
      <left style="hair">
        <color indexed="15"/>
      </left>
      <right style="hair">
        <color indexed="15"/>
      </right>
      <top/>
      <bottom style="hair">
        <color indexed="16"/>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11"/>
      </bottom>
      <diagonal/>
    </border>
    <border>
      <left style="thin">
        <color indexed="8"/>
      </left>
      <right style="medium">
        <color indexed="8"/>
      </right>
      <top style="hair">
        <color indexed="16"/>
      </top>
      <bottom style="thin">
        <color indexed="11"/>
      </bottom>
      <diagonal/>
    </border>
    <border>
      <left style="thin">
        <color indexed="8"/>
      </left>
      <right style="hair">
        <color indexed="15"/>
      </right>
      <top style="hair">
        <color indexed="16"/>
      </top>
      <bottom style="thin">
        <color indexed="11"/>
      </bottom>
      <diagonal/>
    </border>
    <border>
      <left style="thin">
        <color indexed="8"/>
      </left>
      <right style="medium">
        <color indexed="8"/>
      </right>
      <top style="thin">
        <color indexed="11"/>
      </top>
      <bottom style="thin">
        <color indexed="11"/>
      </bottom>
      <diagonal/>
    </border>
    <border>
      <left style="thin">
        <color indexed="8"/>
      </left>
      <right style="hair">
        <color indexed="15"/>
      </right>
      <top style="thin">
        <color indexed="11"/>
      </top>
      <bottom style="thin">
        <color indexed="11"/>
      </bottom>
      <diagonal/>
    </border>
    <border>
      <left style="thin">
        <color indexed="8"/>
      </left>
      <right style="medium">
        <color indexed="8"/>
      </right>
      <top style="thin">
        <color indexed="11"/>
      </top>
      <bottom style="thin">
        <color indexed="8"/>
      </bottom>
      <diagonal/>
    </border>
    <border>
      <left style="thin">
        <color indexed="8"/>
      </left>
      <right style="hair">
        <color indexed="15"/>
      </right>
      <top style="thin">
        <color indexed="11"/>
      </top>
      <bottom style="thin">
        <color indexed="8"/>
      </bottom>
      <diagonal/>
    </border>
    <border>
      <left style="hair">
        <color indexed="15"/>
      </left>
      <right style="hair">
        <color indexed="15"/>
      </right>
      <top style="thin">
        <color indexed="11"/>
      </top>
      <bottom style="thin">
        <color indexed="8"/>
      </bottom>
      <diagonal/>
    </border>
    <border>
      <left style="thin">
        <color indexed="8"/>
      </left>
      <right style="thin">
        <color indexed="8"/>
      </right>
      <top style="thin">
        <color indexed="8"/>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medium">
        <color indexed="8"/>
      </right>
      <top style="thin">
        <color indexed="8"/>
      </top>
      <bottom/>
      <diagonal/>
    </border>
    <border>
      <left style="medium">
        <color indexed="8"/>
      </left>
      <right/>
      <top/>
      <bottom/>
      <diagonal/>
    </border>
    <border>
      <left style="medium">
        <color indexed="8"/>
      </left>
      <right style="medium">
        <color indexed="8"/>
      </right>
      <top/>
      <bottom/>
      <diagonal/>
    </border>
    <border>
      <left style="medium">
        <color indexed="8"/>
      </left>
      <right/>
      <top/>
      <bottom style="thin">
        <color indexed="10"/>
      </bottom>
      <diagonal/>
    </border>
    <border>
      <left/>
      <right style="medium">
        <color indexed="8"/>
      </right>
      <top/>
      <bottom style="thin">
        <color indexed="10"/>
      </bottom>
      <diagonal/>
    </border>
    <border>
      <left style="medium">
        <color indexed="8"/>
      </left>
      <right style="medium">
        <color indexed="8"/>
      </right>
      <top/>
      <bottom style="thin">
        <color indexed="10"/>
      </bottom>
      <diagonal/>
    </border>
    <border>
      <left style="medium">
        <color indexed="8"/>
      </left>
      <right style="hair">
        <color indexed="15"/>
      </right>
      <top/>
      <bottom style="hair">
        <color indexed="16"/>
      </bottom>
      <diagonal/>
    </border>
    <border>
      <left style="thin">
        <color indexed="8"/>
      </left>
      <right style="thin">
        <color indexed="8"/>
      </right>
      <top style="thin">
        <color indexed="8"/>
      </top>
      <bottom style="thin">
        <color indexed="25"/>
      </bottom>
      <diagonal/>
    </border>
    <border>
      <left style="thin">
        <color indexed="25"/>
      </left>
      <right style="thin">
        <color indexed="25"/>
      </right>
      <top style="thin">
        <color indexed="25"/>
      </top>
      <bottom style="thin">
        <color indexed="25"/>
      </bottom>
      <diagonal/>
    </border>
    <border>
      <left style="thin">
        <color indexed="25"/>
      </left>
      <right/>
      <top style="thin">
        <color indexed="8"/>
      </top>
      <bottom/>
      <diagonal/>
    </border>
    <border>
      <left/>
      <right/>
      <top style="thin">
        <color indexed="8"/>
      </top>
      <bottom/>
      <diagonal/>
    </border>
    <border>
      <left/>
      <right style="thin">
        <color indexed="25"/>
      </right>
      <top style="thin">
        <color indexed="8"/>
      </top>
      <bottom/>
      <diagonal/>
    </border>
    <border>
      <left style="thin">
        <color indexed="25"/>
      </left>
      <right/>
      <top/>
      <bottom/>
      <diagonal/>
    </border>
    <border>
      <left/>
      <right style="thin">
        <color indexed="25"/>
      </right>
      <top/>
      <bottom/>
      <diagonal/>
    </border>
    <border>
      <left style="thin">
        <color indexed="25"/>
      </left>
      <right/>
      <top/>
      <bottom style="thin">
        <color indexed="25"/>
      </bottom>
      <diagonal/>
    </border>
    <border>
      <left/>
      <right/>
      <top/>
      <bottom style="thin">
        <color indexed="25"/>
      </bottom>
      <diagonal/>
    </border>
    <border>
      <left/>
      <right style="thin">
        <color indexed="25"/>
      </right>
      <top/>
      <bottom style="thin">
        <color indexed="25"/>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bottom style="thin">
        <color indexed="10"/>
      </bottom>
      <diagonal/>
    </border>
    <border>
      <left/>
      <right style="thin">
        <color indexed="10"/>
      </right>
      <top style="thin">
        <color indexed="10"/>
      </top>
      <bottom style="thin">
        <color indexed="10"/>
      </bottom>
      <diagonal/>
    </border>
    <border>
      <left style="thin">
        <color indexed="10"/>
      </left>
      <right/>
      <top/>
      <bottom style="thin">
        <color indexed="10"/>
      </bottom>
      <diagonal/>
    </border>
    <border>
      <left/>
      <right/>
      <top/>
      <bottom style="thin">
        <color indexed="10"/>
      </bottom>
      <diagonal/>
    </border>
    <border>
      <left style="thin">
        <color indexed="10"/>
      </left>
      <right/>
      <top style="thin">
        <color indexed="10"/>
      </top>
      <bottom style="thin">
        <color indexed="10"/>
      </bottom>
      <diagonal/>
    </border>
    <border>
      <left/>
      <right/>
      <top style="thin">
        <color indexed="30"/>
      </top>
      <bottom/>
      <diagonal/>
    </border>
    <border>
      <left/>
      <right/>
      <top style="thin">
        <color indexed="10"/>
      </top>
      <bottom style="thin">
        <color indexed="10"/>
      </bottom>
      <diagonal/>
    </border>
    <border>
      <left style="thin">
        <color indexed="10"/>
      </left>
      <right style="thin">
        <color indexed="10"/>
      </right>
      <top style="thin">
        <color indexed="10"/>
      </top>
      <bottom/>
      <diagonal/>
    </border>
    <border>
      <left/>
      <right style="thin">
        <color indexed="10"/>
      </right>
      <top/>
      <bottom style="thin">
        <color indexed="10"/>
      </bottom>
      <diagonal/>
    </border>
  </borders>
  <cellStyleXfs count="1">
    <xf numFmtId="0" fontId="0" applyNumberFormat="0" applyFont="1" applyFill="0" applyBorder="0" applyAlignment="1" applyProtection="0">
      <alignment vertical="center"/>
    </xf>
  </cellStyleXfs>
  <cellXfs count="275">
    <xf numFmtId="0" fontId="0" applyNumberFormat="0" applyFont="1" applyFill="0" applyBorder="0" applyAlignment="1" applyProtection="0">
      <alignment vertical="center"/>
    </xf>
    <xf numFmtId="0" fontId="0" applyNumberFormat="1" applyFont="1" applyFill="0" applyBorder="0" applyAlignment="1" applyProtection="0">
      <alignment vertical="center"/>
    </xf>
    <xf numFmtId="49" fontId="3" fillId="2" borderId="1" applyNumberFormat="1" applyFont="1" applyFill="1" applyBorder="1" applyAlignment="1" applyProtection="0">
      <alignment horizontal="center" vertical="center"/>
    </xf>
    <xf numFmtId="59" fontId="3" fillId="2" borderId="2" applyNumberFormat="1" applyFont="1" applyFill="1" applyBorder="1" applyAlignment="1" applyProtection="0">
      <alignment horizontal="center" vertical="center"/>
    </xf>
    <xf numFmtId="49" fontId="0" fillId="2" borderId="2" applyNumberFormat="1" applyFont="1" applyFill="1" applyBorder="1" applyAlignment="1" applyProtection="0">
      <alignment vertical="center"/>
    </xf>
    <xf numFmtId="0" fontId="0" fillId="2" borderId="2" applyNumberFormat="0" applyFont="1" applyFill="1" applyBorder="1" applyAlignment="1" applyProtection="0">
      <alignment vertical="center"/>
    </xf>
    <xf numFmtId="49" fontId="3" fillId="2" borderId="2" applyNumberFormat="1" applyFont="1" applyFill="1" applyBorder="1" applyAlignment="1" applyProtection="0">
      <alignment horizontal="center" vertical="center"/>
    </xf>
    <xf numFmtId="59" fontId="3" fillId="2" borderId="3" applyNumberFormat="1" applyFont="1" applyFill="1" applyBorder="1" applyAlignment="1" applyProtection="0">
      <alignment horizontal="center" vertical="center"/>
    </xf>
    <xf numFmtId="49" fontId="0" fillId="2" borderId="4" applyNumberFormat="1" applyFont="1" applyFill="1" applyBorder="1" applyAlignment="1" applyProtection="0">
      <alignment vertical="center"/>
    </xf>
    <xf numFmtId="49" fontId="0" fillId="2" borderId="5" applyNumberFormat="1" applyFont="1" applyFill="1" applyBorder="1" applyAlignment="1" applyProtection="0">
      <alignment vertical="center"/>
    </xf>
    <xf numFmtId="59" fontId="0" fillId="2" borderId="5" applyNumberFormat="1" applyFont="1" applyFill="1" applyBorder="1" applyAlignment="1" applyProtection="0">
      <alignment vertical="center"/>
    </xf>
    <xf numFmtId="49" fontId="0" fillId="2" borderId="6" applyNumberFormat="1" applyFont="1" applyFill="1" applyBorder="1" applyAlignment="1" applyProtection="0">
      <alignment vertical="center"/>
    </xf>
    <xf numFmtId="49" fontId="3" fillId="2" borderId="7" applyNumberFormat="1" applyFont="1" applyFill="1" applyBorder="1" applyAlignment="1" applyProtection="0">
      <alignment vertical="center"/>
    </xf>
    <xf numFmtId="0" fontId="4" fillId="2" borderId="8" applyNumberFormat="1" applyFont="1" applyFill="1" applyBorder="1" applyAlignment="1" applyProtection="0">
      <alignment horizontal="left" vertical="center"/>
    </xf>
    <xf numFmtId="49" fontId="4" fillId="2" borderId="8" applyNumberFormat="1" applyFont="1" applyFill="1" applyBorder="1" applyAlignment="1" applyProtection="0">
      <alignment vertical="center"/>
    </xf>
    <xf numFmtId="49" fontId="5" fillId="2" borderId="8" applyNumberFormat="1" applyFont="1" applyFill="1" applyBorder="1" applyAlignment="1" applyProtection="0">
      <alignment vertical="center"/>
    </xf>
    <xf numFmtId="49" fontId="5" fillId="2" borderId="9" applyNumberFormat="1" applyFont="1" applyFill="1" applyBorder="1" applyAlignment="1" applyProtection="0">
      <alignment vertical="center"/>
    </xf>
    <xf numFmtId="60" fontId="0" fillId="2" borderId="8" applyNumberFormat="1" applyFont="1" applyFill="1" applyBorder="1" applyAlignment="1" applyProtection="0">
      <alignment vertical="center"/>
    </xf>
    <xf numFmtId="49" fontId="3" fillId="2" borderId="10" applyNumberFormat="1" applyFont="1" applyFill="1" applyBorder="1" applyAlignment="1" applyProtection="0">
      <alignment vertical="center"/>
    </xf>
    <xf numFmtId="0" fontId="4" fillId="2" borderId="11" applyNumberFormat="1" applyFont="1" applyFill="1" applyBorder="1" applyAlignment="1" applyProtection="0">
      <alignment horizontal="left" vertical="center"/>
    </xf>
    <xf numFmtId="49" fontId="4" fillId="2" borderId="11" applyNumberFormat="1" applyFont="1" applyFill="1" applyBorder="1" applyAlignment="1" applyProtection="0">
      <alignment vertical="center"/>
    </xf>
    <xf numFmtId="49" fontId="5" fillId="2" borderId="11" applyNumberFormat="1" applyFont="1" applyFill="1" applyBorder="1" applyAlignment="1" applyProtection="0">
      <alignment vertical="center"/>
    </xf>
    <xf numFmtId="60" fontId="0" fillId="2" borderId="11" applyNumberFormat="1" applyFont="1" applyFill="1" applyBorder="1" applyAlignment="1" applyProtection="0">
      <alignment vertical="center"/>
    </xf>
    <xf numFmtId="49" fontId="5" fillId="3" borderId="9" applyNumberFormat="1" applyFont="1" applyFill="1" applyBorder="1" applyAlignment="1" applyProtection="0">
      <alignment vertical="center"/>
    </xf>
    <xf numFmtId="60" fontId="0" fillId="3" borderId="11" applyNumberFormat="1" applyFont="1" applyFill="1" applyBorder="1" applyAlignment="1" applyProtection="0">
      <alignment vertical="center"/>
    </xf>
    <xf numFmtId="60" fontId="0" fillId="2" borderId="12" applyNumberFormat="1" applyFont="1" applyFill="1" applyBorder="1" applyAlignment="1" applyProtection="0">
      <alignment vertical="center"/>
    </xf>
    <xf numFmtId="60" fontId="0" fillId="2" borderId="13" applyNumberFormat="1" applyFont="1" applyFill="1" applyBorder="1" applyAlignment="1" applyProtection="0">
      <alignment vertical="center"/>
    </xf>
    <xf numFmtId="60" fontId="0" fillId="2" borderId="14" applyNumberFormat="1" applyFont="1" applyFill="1" applyBorder="1" applyAlignment="1" applyProtection="0">
      <alignment vertical="center"/>
    </xf>
    <xf numFmtId="60" fontId="0" fillId="2" borderId="15" applyNumberFormat="1" applyFont="1" applyFill="1" applyBorder="1" applyAlignment="1" applyProtection="0">
      <alignment vertical="center"/>
    </xf>
    <xf numFmtId="60" fontId="0" fillId="2" borderId="16" applyNumberFormat="1" applyFont="1" applyFill="1" applyBorder="1" applyAlignment="1" applyProtection="0">
      <alignment vertical="center"/>
    </xf>
    <xf numFmtId="60" fontId="3" fillId="2" borderId="11" applyNumberFormat="1" applyFont="1" applyFill="1" applyBorder="1" applyAlignment="1" applyProtection="0">
      <alignment vertical="center"/>
    </xf>
    <xf numFmtId="0" fontId="0" fillId="2" borderId="17" applyNumberFormat="0" applyFont="1" applyFill="1" applyBorder="1" applyAlignment="1" applyProtection="0">
      <alignment vertical="center"/>
    </xf>
    <xf numFmtId="0" fontId="0" fillId="2" borderId="18" applyNumberFormat="0" applyFont="1" applyFill="1" applyBorder="1" applyAlignment="1" applyProtection="0">
      <alignment vertical="center"/>
    </xf>
    <xf numFmtId="0" fontId="0" fillId="2" borderId="19" applyNumberFormat="0" applyFont="1" applyFill="1" applyBorder="1" applyAlignment="1" applyProtection="0">
      <alignment vertical="center"/>
    </xf>
    <xf numFmtId="49" fontId="3" fillId="2" borderId="20" applyNumberFormat="1" applyFont="1" applyFill="1" applyBorder="1" applyAlignment="1" applyProtection="0">
      <alignment vertical="center"/>
    </xf>
    <xf numFmtId="0" fontId="4" fillId="2" borderId="21" applyNumberFormat="1" applyFont="1" applyFill="1" applyBorder="1" applyAlignment="1" applyProtection="0">
      <alignment horizontal="left" vertical="center"/>
    </xf>
    <xf numFmtId="49" fontId="4" fillId="2" borderId="21" applyNumberFormat="1" applyFont="1" applyFill="1" applyBorder="1" applyAlignment="1" applyProtection="0">
      <alignment vertical="center"/>
    </xf>
    <xf numFmtId="49" fontId="5" fillId="2" borderId="21" applyNumberFormat="1" applyFont="1" applyFill="1" applyBorder="1" applyAlignment="1" applyProtection="0">
      <alignment vertical="center"/>
    </xf>
    <xf numFmtId="60" fontId="0" fillId="2" borderId="21" applyNumberFormat="1" applyFont="1" applyFill="1" applyBorder="1" applyAlignment="1" applyProtection="0">
      <alignment vertical="center"/>
    </xf>
    <xf numFmtId="0" fontId="0" fillId="2" borderId="4" applyNumberFormat="0" applyFont="1" applyFill="1" applyBorder="1" applyAlignment="1" applyProtection="0">
      <alignment vertical="center"/>
    </xf>
    <xf numFmtId="0" fontId="0" fillId="2" borderId="5" applyNumberFormat="0" applyFont="1" applyFill="1" applyBorder="1" applyAlignment="1" applyProtection="0">
      <alignment vertical="center"/>
    </xf>
    <xf numFmtId="0" fontId="0" fillId="2" borderId="22" applyNumberFormat="0" applyFont="1" applyFill="1" applyBorder="1" applyAlignment="1" applyProtection="0">
      <alignment vertical="center"/>
    </xf>
    <xf numFmtId="0" fontId="0" fillId="2" borderId="23" applyNumberFormat="0" applyFont="1" applyFill="1" applyBorder="1" applyAlignment="1" applyProtection="0">
      <alignment vertical="center"/>
    </xf>
    <xf numFmtId="0" fontId="0" fillId="2" borderId="6" applyNumberFormat="0" applyFont="1" applyFill="1" applyBorder="1" applyAlignment="1" applyProtection="0">
      <alignment vertical="center"/>
    </xf>
    <xf numFmtId="49" fontId="0" fillId="2" borderId="22" applyNumberFormat="1" applyFont="1" applyFill="1" applyBorder="1" applyAlignment="1" applyProtection="0">
      <alignment vertical="center"/>
    </xf>
    <xf numFmtId="49" fontId="0" fillId="2" borderId="23" applyNumberFormat="1" applyFont="1" applyFill="1" applyBorder="1" applyAlignment="1" applyProtection="0">
      <alignment vertical="center"/>
    </xf>
    <xf numFmtId="0" fontId="0" fillId="2" borderId="12" applyNumberFormat="0" applyFont="1" applyFill="1" applyBorder="1" applyAlignment="1" applyProtection="0">
      <alignment vertical="center"/>
    </xf>
    <xf numFmtId="0" fontId="0" fillId="2" borderId="13" applyNumberFormat="0" applyFont="1" applyFill="1" applyBorder="1" applyAlignment="1" applyProtection="0">
      <alignment vertical="center"/>
    </xf>
    <xf numFmtId="0" fontId="0" fillId="2" borderId="11" applyNumberFormat="0" applyFont="1" applyFill="1" applyBorder="1" applyAlignment="1" applyProtection="0">
      <alignment vertical="center"/>
    </xf>
    <xf numFmtId="0" fontId="0" fillId="2" borderId="24" applyNumberFormat="0" applyFont="1" applyFill="1" applyBorder="1" applyAlignment="1" applyProtection="0">
      <alignment vertical="center"/>
    </xf>
    <xf numFmtId="0" fontId="4" fillId="2" borderId="8" applyNumberFormat="1" applyFont="1" applyFill="1" applyBorder="1" applyAlignment="1" applyProtection="0">
      <alignment horizontal="center" vertical="center"/>
    </xf>
    <xf numFmtId="60" fontId="0" fillId="4" borderId="11" applyNumberFormat="1" applyFont="1" applyFill="1" applyBorder="1" applyAlignment="1" applyProtection="0">
      <alignment vertical="center"/>
    </xf>
    <xf numFmtId="59" fontId="3" fillId="2" borderId="4" applyNumberFormat="1" applyFont="1" applyFill="1" applyBorder="1" applyAlignment="1" applyProtection="0">
      <alignment vertical="center"/>
    </xf>
    <xf numFmtId="0" fontId="4" fillId="2" borderId="5" applyNumberFormat="0" applyFont="1" applyFill="1" applyBorder="1" applyAlignment="1" applyProtection="0">
      <alignment horizontal="left" vertical="center"/>
    </xf>
    <xf numFmtId="59" fontId="4" fillId="2" borderId="5" applyNumberFormat="1" applyFont="1" applyFill="1" applyBorder="1" applyAlignment="1" applyProtection="0">
      <alignment vertical="center"/>
    </xf>
    <xf numFmtId="59" fontId="5" fillId="2" borderId="22" applyNumberFormat="1" applyFont="1" applyFill="1" applyBorder="1" applyAlignment="1" applyProtection="0">
      <alignment vertical="center"/>
    </xf>
    <xf numFmtId="60" fontId="0" fillId="2" borderId="23" applyNumberFormat="1" applyFont="1" applyFill="1" applyBorder="1" applyAlignment="1" applyProtection="0">
      <alignment vertical="center"/>
    </xf>
    <xf numFmtId="0" fontId="0" fillId="2" borderId="14" applyNumberFormat="0" applyFont="1" applyFill="1" applyBorder="1" applyAlignment="1" applyProtection="0">
      <alignment vertical="center"/>
    </xf>
    <xf numFmtId="0" fontId="0" fillId="2" borderId="15" applyNumberFormat="0" applyFont="1" applyFill="1" applyBorder="1" applyAlignment="1" applyProtection="0">
      <alignment vertical="center"/>
    </xf>
    <xf numFmtId="0" fontId="0" fillId="2" borderId="16" applyNumberFormat="0" applyFont="1" applyFill="1" applyBorder="1" applyAlignment="1" applyProtection="0">
      <alignment vertical="center"/>
    </xf>
    <xf numFmtId="0" fontId="0" fillId="2" borderId="25" applyNumberFormat="0" applyFont="1" applyFill="1" applyBorder="1" applyAlignment="1" applyProtection="0">
      <alignment vertical="center"/>
    </xf>
    <xf numFmtId="0" fontId="0" fillId="2" borderId="26" applyNumberFormat="0" applyFont="1" applyFill="1" applyBorder="1" applyAlignment="1" applyProtection="0">
      <alignment vertical="center"/>
    </xf>
    <xf numFmtId="0" fontId="0" fillId="2" borderId="27" applyNumberFormat="0" applyFont="1" applyFill="1" applyBorder="1" applyAlignment="1" applyProtection="0">
      <alignment vertical="center"/>
    </xf>
    <xf numFmtId="60" fontId="0" fillId="2" borderId="28" applyNumberFormat="1" applyFont="1" applyFill="1" applyBorder="1" applyAlignment="1" applyProtection="0">
      <alignment vertical="center"/>
    </xf>
    <xf numFmtId="0" fontId="0" fillId="2" borderId="29" applyNumberFormat="0" applyFont="1" applyFill="1" applyBorder="1" applyAlignment="1" applyProtection="0">
      <alignment vertical="center"/>
    </xf>
    <xf numFmtId="0" fontId="0" fillId="2" borderId="30" applyNumberFormat="0" applyFont="1" applyFill="1" applyBorder="1" applyAlignment="1" applyProtection="0">
      <alignment vertical="center"/>
    </xf>
    <xf numFmtId="59" fontId="3" fillId="2" borderId="7" applyNumberFormat="1" applyFont="1" applyFill="1" applyBorder="1" applyAlignment="1" applyProtection="0">
      <alignment vertical="center"/>
    </xf>
    <xf numFmtId="0" fontId="4" fillId="2" borderId="8" applyNumberFormat="0" applyFont="1" applyFill="1" applyBorder="1" applyAlignment="1" applyProtection="0">
      <alignment horizontal="left" vertical="center"/>
    </xf>
    <xf numFmtId="59" fontId="4" fillId="2" borderId="8" applyNumberFormat="1" applyFont="1" applyFill="1" applyBorder="1" applyAlignment="1" applyProtection="0">
      <alignment vertical="center"/>
    </xf>
    <xf numFmtId="59" fontId="5" fillId="2" borderId="8" applyNumberFormat="1" applyFont="1" applyFill="1" applyBorder="1" applyAlignment="1" applyProtection="0">
      <alignment vertical="center"/>
    </xf>
    <xf numFmtId="59" fontId="3" fillId="2" borderId="10" applyNumberFormat="1" applyFont="1" applyFill="1" applyBorder="1" applyAlignment="1" applyProtection="0">
      <alignment vertical="center"/>
    </xf>
    <xf numFmtId="0" fontId="4" fillId="2" borderId="11" applyNumberFormat="0" applyFont="1" applyFill="1" applyBorder="1" applyAlignment="1" applyProtection="0">
      <alignment horizontal="left" vertical="center"/>
    </xf>
    <xf numFmtId="59" fontId="4" fillId="2" borderId="11" applyNumberFormat="1" applyFont="1" applyFill="1" applyBorder="1" applyAlignment="1" applyProtection="0">
      <alignment vertical="center"/>
    </xf>
    <xf numFmtId="59" fontId="5" fillId="2" borderId="11" applyNumberFormat="1" applyFont="1" applyFill="1" applyBorder="1" applyAlignment="1" applyProtection="0">
      <alignment vertical="center"/>
    </xf>
    <xf numFmtId="59" fontId="3" fillId="2" borderId="20" applyNumberFormat="1" applyFont="1" applyFill="1" applyBorder="1" applyAlignment="1" applyProtection="0">
      <alignment vertical="center"/>
    </xf>
    <xf numFmtId="0" fontId="4" fillId="2" borderId="21" applyNumberFormat="0" applyFont="1" applyFill="1" applyBorder="1" applyAlignment="1" applyProtection="0">
      <alignment horizontal="left" vertical="center"/>
    </xf>
    <xf numFmtId="59" fontId="4" fillId="2" borderId="21" applyNumberFormat="1" applyFont="1" applyFill="1" applyBorder="1" applyAlignment="1" applyProtection="0">
      <alignment vertical="center"/>
    </xf>
    <xf numFmtId="59" fontId="5" fillId="2" borderId="21" applyNumberFormat="1" applyFont="1" applyFill="1" applyBorder="1" applyAlignment="1" applyProtection="0">
      <alignment vertical="center"/>
    </xf>
    <xf numFmtId="0" fontId="0" applyNumberFormat="1" applyFont="1" applyFill="0" applyBorder="0" applyAlignment="1" applyProtection="0">
      <alignment vertical="center"/>
    </xf>
    <xf numFmtId="49" fontId="6" fillId="2" borderId="1" applyNumberFormat="1" applyFont="1" applyFill="1" applyBorder="1" applyAlignment="1" applyProtection="0">
      <alignment horizontal="center" vertical="center"/>
    </xf>
    <xf numFmtId="59" fontId="6" fillId="2" borderId="2" applyNumberFormat="1" applyFont="1" applyFill="1" applyBorder="1" applyAlignment="1" applyProtection="0">
      <alignment horizontal="center" vertical="center"/>
    </xf>
    <xf numFmtId="16" fontId="0" fillId="2" borderId="5" applyNumberFormat="1" applyFont="1" applyFill="1" applyBorder="1" applyAlignment="1" applyProtection="0">
      <alignment vertical="center"/>
    </xf>
    <xf numFmtId="60" fontId="0" fillId="2" borderId="31" applyNumberFormat="1" applyFont="1" applyFill="1" applyBorder="1" applyAlignment="1" applyProtection="0">
      <alignment vertical="center"/>
    </xf>
    <xf numFmtId="60" fontId="0" fillId="2" borderId="32" applyNumberFormat="1" applyFont="1" applyFill="1" applyBorder="1" applyAlignment="1" applyProtection="0">
      <alignment vertical="center"/>
    </xf>
    <xf numFmtId="0" fontId="0" fillId="2" borderId="32" applyNumberFormat="0" applyFont="1" applyFill="1" applyBorder="1" applyAlignment="1" applyProtection="0">
      <alignment vertical="center"/>
    </xf>
    <xf numFmtId="0" fontId="0" fillId="2" borderId="33" applyNumberFormat="0" applyFont="1" applyFill="1" applyBorder="1" applyAlignment="1" applyProtection="0">
      <alignment vertical="center"/>
    </xf>
    <xf numFmtId="0" fontId="0" fillId="2" borderId="11" applyNumberFormat="1" applyFont="1" applyFill="1" applyBorder="1" applyAlignment="1" applyProtection="0">
      <alignment vertical="center"/>
    </xf>
    <xf numFmtId="60" fontId="0" fillId="2" borderId="18" applyNumberFormat="1" applyFont="1" applyFill="1" applyBorder="1" applyAlignment="1" applyProtection="0">
      <alignment vertical="center"/>
    </xf>
    <xf numFmtId="60" fontId="0" fillId="2" borderId="17" applyNumberFormat="1" applyFont="1" applyFill="1" applyBorder="1" applyAlignment="1" applyProtection="0">
      <alignment vertical="center"/>
    </xf>
    <xf numFmtId="60" fontId="0" fillId="2" borderId="24" applyNumberFormat="1" applyFont="1" applyFill="1" applyBorder="1" applyAlignment="1" applyProtection="0">
      <alignment vertical="center"/>
    </xf>
    <xf numFmtId="49" fontId="3" fillId="2" borderId="5" applyNumberFormat="1" applyFont="1" applyFill="1" applyBorder="1" applyAlignment="1" applyProtection="0">
      <alignment horizontal="center" vertical="center"/>
    </xf>
    <xf numFmtId="59" fontId="3" fillId="2" borderId="5" applyNumberFormat="1" applyFont="1" applyFill="1" applyBorder="1" applyAlignment="1" applyProtection="0">
      <alignment horizontal="center" vertical="center"/>
    </xf>
    <xf numFmtId="59" fontId="3" fillId="2" borderId="6" applyNumberFormat="1" applyFont="1" applyFill="1" applyBorder="1" applyAlignment="1" applyProtection="0">
      <alignment horizontal="center" vertical="center"/>
    </xf>
    <xf numFmtId="0" fontId="0" fillId="2" borderId="31" applyNumberFormat="0" applyFont="1" applyFill="1" applyBorder="1" applyAlignment="1" applyProtection="0">
      <alignment vertical="center"/>
    </xf>
    <xf numFmtId="0" fontId="0" fillId="2" borderId="34" applyNumberFormat="0" applyFont="1" applyFill="1" applyBorder="1" applyAlignment="1" applyProtection="0">
      <alignment vertical="center"/>
    </xf>
    <xf numFmtId="0" fontId="0" fillId="2" borderId="35" applyNumberFormat="0" applyFont="1" applyFill="1" applyBorder="1" applyAlignment="1" applyProtection="0">
      <alignment vertical="center"/>
    </xf>
    <xf numFmtId="0" fontId="0" fillId="2" borderId="36" applyNumberFormat="0" applyFont="1" applyFill="1" applyBorder="1" applyAlignment="1" applyProtection="0">
      <alignment vertical="center"/>
    </xf>
    <xf numFmtId="0" fontId="0" fillId="2" borderId="37" applyNumberFormat="0" applyFont="1" applyFill="1" applyBorder="1" applyAlignment="1" applyProtection="0">
      <alignment vertical="center"/>
    </xf>
    <xf numFmtId="49" fontId="0" fillId="2" borderId="32" applyNumberFormat="1" applyFont="1" applyFill="1" applyBorder="1" applyAlignment="1" applyProtection="0">
      <alignment vertical="center"/>
    </xf>
    <xf numFmtId="0" fontId="0" fillId="2" borderId="38" applyNumberFormat="0" applyFont="1" applyFill="1" applyBorder="1" applyAlignment="1" applyProtection="0">
      <alignment vertical="center"/>
    </xf>
    <xf numFmtId="0" fontId="0" fillId="2" borderId="39" applyNumberFormat="0" applyFont="1" applyFill="1" applyBorder="1" applyAlignment="1" applyProtection="0">
      <alignment vertical="center"/>
    </xf>
    <xf numFmtId="0" fontId="0" fillId="2" borderId="40" applyNumberFormat="0" applyFont="1" applyFill="1" applyBorder="1" applyAlignment="1" applyProtection="0">
      <alignment vertical="center"/>
    </xf>
    <xf numFmtId="59" fontId="3" fillId="2" borderId="40" applyNumberFormat="1" applyFont="1" applyFill="1" applyBorder="1" applyAlignment="1" applyProtection="0">
      <alignment horizontal="center" vertical="center"/>
    </xf>
    <xf numFmtId="59" fontId="3" fillId="2" borderId="41" applyNumberFormat="1" applyFont="1" applyFill="1" applyBorder="1" applyAlignment="1" applyProtection="0">
      <alignment horizontal="center" vertical="center"/>
    </xf>
    <xf numFmtId="0" fontId="0" applyNumberFormat="1" applyFont="1" applyFill="0" applyBorder="0" applyAlignment="1" applyProtection="0">
      <alignment vertical="center"/>
    </xf>
    <xf numFmtId="0" fontId="3" fillId="4" borderId="42" applyNumberFormat="1" applyFont="1" applyFill="1" applyBorder="1" applyAlignment="1" applyProtection="0">
      <alignment horizontal="center" vertical="center"/>
    </xf>
    <xf numFmtId="0" fontId="3" fillId="4" borderId="43" applyNumberFormat="0" applyFont="1" applyFill="1" applyBorder="1" applyAlignment="1" applyProtection="0">
      <alignment horizontal="center" vertical="center"/>
    </xf>
    <xf numFmtId="0" fontId="3" fillId="4" borderId="44" applyNumberFormat="0" applyFont="1" applyFill="1" applyBorder="1" applyAlignment="1" applyProtection="0">
      <alignment horizontal="center" vertical="center"/>
    </xf>
    <xf numFmtId="0" fontId="7" fillId="5" borderId="45" applyNumberFormat="0" applyFont="1" applyFill="1" applyBorder="1" applyAlignment="1" applyProtection="0">
      <alignment horizontal="center" vertical="center"/>
    </xf>
    <xf numFmtId="61" fontId="7" fillId="5" borderId="46" applyNumberFormat="1" applyFont="1" applyFill="1" applyBorder="1" applyAlignment="1" applyProtection="0">
      <alignment horizontal="center" vertical="center"/>
    </xf>
    <xf numFmtId="49" fontId="7" fillId="5" borderId="45" applyNumberFormat="1" applyFont="1" applyFill="1" applyBorder="1" applyAlignment="1" applyProtection="0">
      <alignment horizontal="center" vertical="center"/>
    </xf>
    <xf numFmtId="0" fontId="7" fillId="5" borderId="46" applyNumberFormat="0" applyFont="1" applyFill="1" applyBorder="1" applyAlignment="1" applyProtection="0">
      <alignment horizontal="center" vertical="center"/>
    </xf>
    <xf numFmtId="0" fontId="7" fillId="5" borderId="47" applyNumberFormat="0" applyFont="1" applyFill="1" applyBorder="1" applyAlignment="1" applyProtection="0">
      <alignment horizontal="center" vertical="center"/>
    </xf>
    <xf numFmtId="0" fontId="7" fillId="5" borderId="48" applyNumberFormat="0" applyFont="1" applyFill="1" applyBorder="1" applyAlignment="1" applyProtection="0">
      <alignment horizontal="center" vertical="center"/>
    </xf>
    <xf numFmtId="0" fontId="7" fillId="5" borderId="49" applyNumberFormat="0" applyFont="1" applyFill="1" applyBorder="1" applyAlignment="1" applyProtection="0">
      <alignment horizontal="center" vertical="center"/>
    </xf>
    <xf numFmtId="49" fontId="3" fillId="2" borderId="50" applyNumberFormat="1" applyFont="1" applyFill="1" applyBorder="1" applyAlignment="1" applyProtection="0">
      <alignment horizontal="left" vertical="center"/>
    </xf>
    <xf numFmtId="49" fontId="3" fillId="6" borderId="50" applyNumberFormat="1" applyFont="1" applyFill="1" applyBorder="1" applyAlignment="1" applyProtection="0">
      <alignment horizontal="left" vertical="center"/>
    </xf>
    <xf numFmtId="49" fontId="3" fillId="2" borderId="51" applyNumberFormat="1" applyFont="1" applyFill="1" applyBorder="1" applyAlignment="1" applyProtection="0">
      <alignment horizontal="left" vertical="center"/>
    </xf>
    <xf numFmtId="49" fontId="3" fillId="7" borderId="52" applyNumberFormat="1" applyFont="1" applyFill="1" applyBorder="1" applyAlignment="1" applyProtection="0">
      <alignment horizontal="left" vertical="center"/>
    </xf>
    <xf numFmtId="49" fontId="7" fillId="2" borderId="53" applyNumberFormat="1" applyFont="1" applyFill="1" applyBorder="1" applyAlignment="1" applyProtection="0">
      <alignment horizontal="left" vertical="center"/>
    </xf>
    <xf numFmtId="60" fontId="6" fillId="6" borderId="54" applyNumberFormat="1" applyFont="1" applyFill="1" applyBorder="1" applyAlignment="1" applyProtection="0">
      <alignment horizontal="left" vertical="center"/>
    </xf>
    <xf numFmtId="60" fontId="6" fillId="7" borderId="55" applyNumberFormat="1" applyFont="1" applyFill="1" applyBorder="1" applyAlignment="1" applyProtection="0">
      <alignment horizontal="left" vertical="center"/>
    </xf>
    <xf numFmtId="49" fontId="7" fillId="2" borderId="56" applyNumberFormat="1" applyFont="1" applyFill="1" applyBorder="1" applyAlignment="1" applyProtection="0">
      <alignment horizontal="left" vertical="center"/>
    </xf>
    <xf numFmtId="60" fontId="6" fillId="7" borderId="57" applyNumberFormat="1" applyFont="1" applyFill="1" applyBorder="1" applyAlignment="1" applyProtection="0">
      <alignment horizontal="left" vertical="center"/>
    </xf>
    <xf numFmtId="49" fontId="7" fillId="2" borderId="58" applyNumberFormat="1" applyFont="1" applyFill="1" applyBorder="1" applyAlignment="1" applyProtection="0">
      <alignment horizontal="left" vertical="center"/>
    </xf>
    <xf numFmtId="60" fontId="6" fillId="6" borderId="59" applyNumberFormat="1" applyFont="1" applyFill="1" applyBorder="1" applyAlignment="1" applyProtection="0">
      <alignment horizontal="left" vertical="center"/>
    </xf>
    <xf numFmtId="60" fontId="6" fillId="7" borderId="59" applyNumberFormat="1" applyFont="1" applyFill="1" applyBorder="1" applyAlignment="1" applyProtection="0">
      <alignment horizontal="left" vertical="center"/>
    </xf>
    <xf numFmtId="49" fontId="7" fillId="2" borderId="60" applyNumberFormat="1" applyFont="1" applyFill="1" applyBorder="1" applyAlignment="1" applyProtection="0">
      <alignment horizontal="left" vertical="center"/>
    </xf>
    <xf numFmtId="60" fontId="6" fillId="7" borderId="61" applyNumberFormat="1" applyFont="1" applyFill="1" applyBorder="1" applyAlignment="1" applyProtection="0">
      <alignment horizontal="left" vertical="center"/>
    </xf>
    <xf numFmtId="60" fontId="6" fillId="6" borderId="62" applyNumberFormat="1" applyFont="1" applyFill="1" applyBorder="1" applyAlignment="1" applyProtection="0">
      <alignment horizontal="left" vertical="center"/>
    </xf>
    <xf numFmtId="60" fontId="6" fillId="7" borderId="62" applyNumberFormat="1" applyFont="1" applyFill="1" applyBorder="1" applyAlignment="1" applyProtection="0">
      <alignment horizontal="left" vertical="center"/>
    </xf>
    <xf numFmtId="60" fontId="6" fillId="7" borderId="63" applyNumberFormat="1" applyFont="1" applyFill="1" applyBorder="1" applyAlignment="1" applyProtection="0">
      <alignment horizontal="left" vertical="center"/>
    </xf>
    <xf numFmtId="49" fontId="7" fillId="2" borderId="64" applyNumberFormat="1" applyFont="1" applyFill="1" applyBorder="1" applyAlignment="1" applyProtection="0">
      <alignment horizontal="left" vertical="center"/>
    </xf>
    <xf numFmtId="0" fontId="7" fillId="6" borderId="65" applyNumberFormat="0" applyFont="1" applyFill="1" applyBorder="1" applyAlignment="1" applyProtection="0">
      <alignment horizontal="left" vertical="center"/>
    </xf>
    <xf numFmtId="0" fontId="7" fillId="7" borderId="65" applyNumberFormat="0" applyFont="1" applyFill="1" applyBorder="1" applyAlignment="1" applyProtection="0">
      <alignment horizontal="left" vertical="center"/>
    </xf>
    <xf numFmtId="49" fontId="0" fillId="2" borderId="64" applyNumberFormat="1" applyFont="1" applyFill="1" applyBorder="1" applyAlignment="1" applyProtection="0">
      <alignment vertical="center"/>
    </xf>
    <xf numFmtId="0" fontId="0" fillId="6" borderId="65" applyNumberFormat="0" applyFont="1" applyFill="1" applyBorder="1" applyAlignment="1" applyProtection="0">
      <alignment vertical="center"/>
    </xf>
    <xf numFmtId="0" fontId="0" fillId="7" borderId="65" applyNumberFormat="0" applyFont="1" applyFill="1" applyBorder="1" applyAlignment="1" applyProtection="0">
      <alignment vertical="center"/>
    </xf>
    <xf numFmtId="0" fontId="0" fillId="2" borderId="64" applyNumberFormat="0" applyFont="1" applyFill="1" applyBorder="1" applyAlignment="1" applyProtection="0">
      <alignment vertical="center"/>
    </xf>
    <xf numFmtId="0" fontId="0" fillId="2" borderId="60" applyNumberFormat="0" applyFont="1" applyFill="1" applyBorder="1" applyAlignment="1" applyProtection="0">
      <alignment vertical="center"/>
    </xf>
    <xf numFmtId="0" fontId="0" fillId="7" borderId="60" applyNumberFormat="0" applyFont="1" applyFill="1" applyBorder="1" applyAlignment="1" applyProtection="0">
      <alignment vertical="center"/>
    </xf>
    <xf numFmtId="0" fontId="0" applyNumberFormat="1" applyFont="1" applyFill="0" applyBorder="0" applyAlignment="1" applyProtection="0">
      <alignment vertical="center"/>
    </xf>
    <xf numFmtId="0" fontId="3" fillId="4" borderId="66" applyNumberFormat="0" applyFont="1" applyFill="1" applyBorder="1" applyAlignment="1" applyProtection="0">
      <alignment horizontal="center" vertical="center"/>
    </xf>
    <xf numFmtId="0" fontId="3" fillId="4" borderId="67" applyNumberFormat="0" applyFont="1" applyFill="1" applyBorder="1" applyAlignment="1" applyProtection="0">
      <alignment horizontal="center" vertical="center"/>
    </xf>
    <xf numFmtId="0" fontId="7" fillId="5" borderId="50" applyNumberFormat="0" applyFont="1" applyFill="1" applyBorder="1" applyAlignment="1" applyProtection="0">
      <alignment horizontal="center" vertical="center"/>
    </xf>
    <xf numFmtId="0" fontId="7" fillId="5" borderId="68" applyNumberFormat="0" applyFont="1" applyFill="1" applyBorder="1" applyAlignment="1" applyProtection="0">
      <alignment horizontal="center" vertical="center"/>
    </xf>
    <xf numFmtId="0" fontId="7" fillId="5" borderId="69" applyNumberFormat="0" applyFont="1" applyFill="1" applyBorder="1" applyAlignment="1" applyProtection="0">
      <alignment horizontal="center" vertical="center"/>
    </xf>
    <xf numFmtId="0" fontId="7" fillId="5" borderId="70" applyNumberFormat="0" applyFont="1" applyFill="1" applyBorder="1" applyAlignment="1" applyProtection="0">
      <alignment horizontal="center" vertical="center"/>
    </xf>
    <xf numFmtId="49" fontId="3" fillId="7" borderId="71" applyNumberFormat="1" applyFont="1" applyFill="1" applyBorder="1" applyAlignment="1" applyProtection="0">
      <alignment horizontal="left" vertical="center"/>
    </xf>
    <xf numFmtId="0" fontId="3" fillId="7" borderId="71" applyNumberFormat="0" applyFont="1" applyFill="1" applyBorder="1" applyAlignment="1" applyProtection="0">
      <alignment horizontal="left" vertical="center"/>
    </xf>
    <xf numFmtId="0" fontId="3" fillId="7" borderId="52" applyNumberFormat="0" applyFont="1" applyFill="1" applyBorder="1" applyAlignment="1" applyProtection="0">
      <alignment horizontal="left" vertical="center"/>
    </xf>
    <xf numFmtId="49" fontId="7" fillId="2" borderId="72" applyNumberFormat="1" applyFont="1" applyFill="1" applyBorder="1" applyAlignment="1" applyProtection="0">
      <alignment horizontal="left" vertical="center"/>
    </xf>
    <xf numFmtId="60" fontId="6" fillId="6" borderId="73" applyNumberFormat="1" applyFont="1" applyFill="1" applyBorder="1" applyAlignment="1" applyProtection="0">
      <alignment horizontal="left" vertical="center"/>
    </xf>
    <xf numFmtId="60" fontId="6" fillId="7" borderId="74" applyNumberFormat="1" applyFont="1" applyFill="1" applyBorder="1" applyAlignment="1" applyProtection="0">
      <alignment horizontal="left" vertical="center"/>
    </xf>
    <xf numFmtId="60" fontId="6" fillId="7" borderId="75" applyNumberFormat="1" applyFont="1" applyFill="1" applyBorder="1" applyAlignment="1" applyProtection="0">
      <alignment horizontal="left" vertical="center"/>
    </xf>
    <xf numFmtId="60" fontId="6" fillId="7" borderId="21" applyNumberFormat="1" applyFont="1" applyFill="1" applyBorder="1" applyAlignment="1" applyProtection="0">
      <alignment horizontal="left" vertical="center"/>
    </xf>
    <xf numFmtId="49" fontId="0" fillId="2" borderId="58" applyNumberFormat="1" applyFont="1" applyFill="1" applyBorder="1" applyAlignment="1" applyProtection="0">
      <alignment vertical="center"/>
    </xf>
    <xf numFmtId="60" fontId="6" fillId="6" borderId="76" applyNumberFormat="1" applyFont="1" applyFill="1" applyBorder="1" applyAlignment="1" applyProtection="0">
      <alignment horizontal="left" vertical="center"/>
    </xf>
    <xf numFmtId="60" fontId="6" fillId="7" borderId="76" applyNumberFormat="1" applyFont="1" applyFill="1" applyBorder="1" applyAlignment="1" applyProtection="0">
      <alignment horizontal="left" vertical="center"/>
    </xf>
    <xf numFmtId="60" fontId="6" fillId="7" borderId="77" applyNumberFormat="1" applyFont="1" applyFill="1" applyBorder="1" applyAlignment="1" applyProtection="0">
      <alignment horizontal="left" vertical="center"/>
    </xf>
    <xf numFmtId="60" fontId="6" fillId="7" borderId="9" applyNumberFormat="1" applyFont="1" applyFill="1" applyBorder="1" applyAlignment="1" applyProtection="0">
      <alignment horizontal="left" vertical="center"/>
    </xf>
    <xf numFmtId="60" fontId="6" fillId="6" borderId="78" applyNumberFormat="1" applyFont="1" applyFill="1" applyBorder="1" applyAlignment="1" applyProtection="0">
      <alignment horizontal="left" vertical="center"/>
    </xf>
    <xf numFmtId="60" fontId="6" fillId="7" borderId="78" applyNumberFormat="1" applyFont="1" applyFill="1" applyBorder="1" applyAlignment="1" applyProtection="0">
      <alignment horizontal="left" vertical="center"/>
    </xf>
    <xf numFmtId="60" fontId="6" fillId="7" borderId="79" applyNumberFormat="1" applyFont="1" applyFill="1" applyBorder="1" applyAlignment="1" applyProtection="0">
      <alignment horizontal="left" vertical="center"/>
    </xf>
    <xf numFmtId="60" fontId="6" fillId="7" borderId="80" applyNumberFormat="1" applyFont="1" applyFill="1" applyBorder="1" applyAlignment="1" applyProtection="0">
      <alignment horizontal="left" vertical="center"/>
    </xf>
    <xf numFmtId="0" fontId="0" fillId="6" borderId="65" applyNumberFormat="1" applyFont="1" applyFill="1" applyBorder="1" applyAlignment="1" applyProtection="0">
      <alignment vertical="center"/>
    </xf>
    <xf numFmtId="0" fontId="0" fillId="7" borderId="65" applyNumberFormat="1" applyFont="1" applyFill="1" applyBorder="1" applyAlignment="1" applyProtection="0">
      <alignment vertical="center"/>
    </xf>
    <xf numFmtId="0" fontId="0" fillId="7" borderId="81" applyNumberFormat="0" applyFont="1" applyFill="1" applyBorder="1" applyAlignment="1" applyProtection="0">
      <alignment vertical="center"/>
    </xf>
    <xf numFmtId="0" fontId="7" fillId="6" borderId="65" applyNumberFormat="1" applyFont="1" applyFill="1" applyBorder="1" applyAlignment="1" applyProtection="0">
      <alignment horizontal="left" vertical="center"/>
    </xf>
    <xf numFmtId="0" fontId="7" fillId="7" borderId="65" applyNumberFormat="1" applyFont="1" applyFill="1" applyBorder="1" applyAlignment="1" applyProtection="0">
      <alignment horizontal="left" vertical="center"/>
    </xf>
    <xf numFmtId="0" fontId="7" fillId="7" borderId="81" applyNumberFormat="0" applyFont="1" applyFill="1" applyBorder="1" applyAlignment="1" applyProtection="0">
      <alignment horizontal="left" vertical="center"/>
    </xf>
    <xf numFmtId="49" fontId="0" fillId="2" borderId="82" applyNumberFormat="1" applyFont="1" applyFill="1" applyBorder="1" applyAlignment="1" applyProtection="0">
      <alignment vertical="center"/>
    </xf>
    <xf numFmtId="0" fontId="0" fillId="6" borderId="83" applyNumberFormat="0" applyFont="1" applyFill="1" applyBorder="1" applyAlignment="1" applyProtection="0">
      <alignment vertical="center"/>
    </xf>
    <xf numFmtId="0" fontId="0" fillId="7" borderId="83" applyNumberFormat="0" applyFont="1" applyFill="1" applyBorder="1" applyAlignment="1" applyProtection="0">
      <alignment vertical="center"/>
    </xf>
    <xf numFmtId="49" fontId="0" fillId="2" borderId="84" applyNumberFormat="1" applyFont="1" applyFill="1" applyBorder="1" applyAlignment="1" applyProtection="0">
      <alignment vertical="center"/>
    </xf>
    <xf numFmtId="0" fontId="0" fillId="7" borderId="84" applyNumberFormat="0" applyFont="1" applyFill="1" applyBorder="1" applyAlignment="1" applyProtection="0">
      <alignment vertical="center"/>
    </xf>
    <xf numFmtId="49" fontId="0" fillId="2" borderId="85" applyNumberFormat="1" applyFont="1" applyFill="1" applyBorder="1" applyAlignment="1" applyProtection="0">
      <alignment vertical="center"/>
    </xf>
    <xf numFmtId="0" fontId="0" fillId="6" borderId="49" applyNumberFormat="0" applyFont="1" applyFill="1" applyBorder="1" applyAlignment="1" applyProtection="0">
      <alignment vertical="center"/>
    </xf>
    <xf numFmtId="0" fontId="0" fillId="7" borderId="49" applyNumberFormat="0" applyFont="1" applyFill="1" applyBorder="1" applyAlignment="1" applyProtection="0">
      <alignment vertical="center"/>
    </xf>
    <xf numFmtId="49" fontId="0" fillId="2" borderId="86" applyNumberFormat="1" applyFont="1" applyFill="1" applyBorder="1" applyAlignment="1" applyProtection="0">
      <alignment vertical="center"/>
    </xf>
    <xf numFmtId="0" fontId="0" fillId="7" borderId="86" applyNumberFormat="0" applyFont="1" applyFill="1" applyBorder="1" applyAlignment="1" applyProtection="0">
      <alignment vertical="center"/>
    </xf>
    <xf numFmtId="0" fontId="0" fillId="2" borderId="85" applyNumberFormat="0" applyFont="1" applyFill="1" applyBorder="1" applyAlignment="1" applyProtection="0">
      <alignment vertical="center"/>
    </xf>
    <xf numFmtId="0" fontId="0" fillId="2" borderId="86" applyNumberFormat="0" applyFont="1" applyFill="1" applyBorder="1" applyAlignment="1" applyProtection="0">
      <alignment vertical="center"/>
    </xf>
    <xf numFmtId="0" fontId="0" fillId="2" borderId="87" applyNumberFormat="0" applyFont="1" applyFill="1" applyBorder="1" applyAlignment="1" applyProtection="0">
      <alignment vertical="center"/>
    </xf>
    <xf numFmtId="0" fontId="0" fillId="6" borderId="88" applyNumberFormat="0" applyFont="1" applyFill="1" applyBorder="1" applyAlignment="1" applyProtection="0">
      <alignment vertical="center"/>
    </xf>
    <xf numFmtId="0" fontId="0" fillId="7" borderId="88" applyNumberFormat="0" applyFont="1" applyFill="1" applyBorder="1" applyAlignment="1" applyProtection="0">
      <alignment vertical="center"/>
    </xf>
    <xf numFmtId="0" fontId="0" fillId="2" borderId="89" applyNumberFormat="0" applyFont="1" applyFill="1" applyBorder="1" applyAlignment="1" applyProtection="0">
      <alignment vertical="center"/>
    </xf>
    <xf numFmtId="0" fontId="0" fillId="7" borderId="89" applyNumberFormat="0" applyFont="1" applyFill="1" applyBorder="1" applyAlignment="1" applyProtection="0">
      <alignment vertical="center"/>
    </xf>
    <xf numFmtId="0" fontId="0" applyNumberFormat="1" applyFont="1" applyFill="0" applyBorder="0" applyAlignment="1" applyProtection="0">
      <alignment vertical="center"/>
    </xf>
    <xf numFmtId="60" fontId="6" fillId="7" borderId="73" applyNumberFormat="1" applyFont="1" applyFill="1" applyBorder="1" applyAlignment="1" applyProtection="0">
      <alignment horizontal="left" vertical="center"/>
    </xf>
    <xf numFmtId="0" fontId="0" applyNumberFormat="1" applyFont="1" applyFill="0" applyBorder="0" applyAlignment="1" applyProtection="0">
      <alignment vertical="center"/>
    </xf>
    <xf numFmtId="0" fontId="3" fillId="7" borderId="90" applyNumberFormat="0" applyFont="1" applyFill="1" applyBorder="1" applyAlignment="1" applyProtection="0">
      <alignment horizontal="left" vertical="center"/>
    </xf>
    <xf numFmtId="0" fontId="0" applyNumberFormat="1" applyFont="1" applyFill="0" applyBorder="0" applyAlignment="1" applyProtection="0">
      <alignment vertical="center"/>
    </xf>
    <xf numFmtId="49" fontId="8" fillId="4" borderId="81" applyNumberFormat="1" applyFont="1" applyFill="1" applyBorder="1" applyAlignment="1" applyProtection="0">
      <alignment vertical="center"/>
    </xf>
    <xf numFmtId="49" fontId="9" fillId="4" borderId="81" applyNumberFormat="1" applyFont="1" applyFill="1" applyBorder="1" applyAlignment="1" applyProtection="0">
      <alignment horizontal="center" vertical="center" wrapText="1"/>
    </xf>
    <xf numFmtId="49" fontId="9" fillId="8" borderId="81" applyNumberFormat="1" applyFont="1" applyFill="1" applyBorder="1" applyAlignment="1" applyProtection="0">
      <alignment horizontal="center" vertical="center" wrapText="1"/>
    </xf>
    <xf numFmtId="49" fontId="8" fillId="2" borderId="81" applyNumberFormat="1" applyFont="1" applyFill="1" applyBorder="1" applyAlignment="1" applyProtection="0">
      <alignment horizontal="left" vertical="top"/>
    </xf>
    <xf numFmtId="49" fontId="8" fillId="2" borderId="81" applyNumberFormat="1" applyFont="1" applyFill="1" applyBorder="1" applyAlignment="1" applyProtection="0">
      <alignment vertical="center"/>
    </xf>
    <xf numFmtId="0" fontId="8" fillId="2" borderId="81" applyNumberFormat="0" applyFont="1" applyFill="1" applyBorder="1" applyAlignment="1" applyProtection="0">
      <alignment vertical="center"/>
    </xf>
    <xf numFmtId="0" fontId="8" fillId="2" borderId="81" applyNumberFormat="0" applyFont="1" applyFill="1" applyBorder="1" applyAlignment="1" applyProtection="0">
      <alignment horizontal="left" vertical="top"/>
    </xf>
    <xf numFmtId="62" fontId="8" fillId="2" borderId="81" applyNumberFormat="1" applyFont="1" applyFill="1" applyBorder="1" applyAlignment="1" applyProtection="0">
      <alignment vertical="center"/>
    </xf>
    <xf numFmtId="10" fontId="8" fillId="2" borderId="81" applyNumberFormat="1" applyFont="1" applyFill="1" applyBorder="1" applyAlignment="1" applyProtection="0">
      <alignment vertical="center"/>
    </xf>
    <xf numFmtId="0" fontId="8" fillId="2" borderId="81" applyNumberFormat="1" applyFont="1" applyFill="1" applyBorder="1" applyAlignment="1" applyProtection="0">
      <alignment vertical="center"/>
    </xf>
    <xf numFmtId="49" fontId="8" fillId="2" borderId="91" applyNumberFormat="1" applyFont="1" applyFill="1" applyBorder="1" applyAlignment="1" applyProtection="0">
      <alignment horizontal="left" vertical="top"/>
    </xf>
    <xf numFmtId="49" fontId="8" fillId="2" borderId="91" applyNumberFormat="1" applyFont="1" applyFill="1" applyBorder="1" applyAlignment="1" applyProtection="0">
      <alignment vertical="center"/>
    </xf>
    <xf numFmtId="0" fontId="0" fillId="2" borderId="92" applyNumberFormat="0" applyFont="1" applyFill="1" applyBorder="1" applyAlignment="1" applyProtection="0">
      <alignment vertical="center"/>
    </xf>
    <xf numFmtId="0" fontId="0" fillId="2" borderId="93" applyNumberFormat="0" applyFont="1" applyFill="1" applyBorder="1" applyAlignment="1" applyProtection="0">
      <alignment vertical="center"/>
    </xf>
    <xf numFmtId="0" fontId="0" fillId="2" borderId="94" applyNumberFormat="0" applyFont="1" applyFill="1" applyBorder="1" applyAlignment="1" applyProtection="0">
      <alignment vertical="center"/>
    </xf>
    <xf numFmtId="0" fontId="0" fillId="2" borderId="95" applyNumberFormat="0" applyFont="1" applyFill="1" applyBorder="1" applyAlignment="1" applyProtection="0">
      <alignment vertical="center"/>
    </xf>
    <xf numFmtId="0" fontId="0" fillId="2" borderId="96" applyNumberFormat="0" applyFont="1" applyFill="1" applyBorder="1" applyAlignment="1" applyProtection="0">
      <alignment vertical="center"/>
    </xf>
    <xf numFmtId="0" fontId="0" fillId="2" borderId="97" applyNumberFormat="0" applyFont="1" applyFill="1" applyBorder="1" applyAlignment="1" applyProtection="0">
      <alignment vertical="center"/>
    </xf>
    <xf numFmtId="0" fontId="0" fillId="2" borderId="98" applyNumberFormat="0" applyFont="1" applyFill="1" applyBorder="1" applyAlignment="1" applyProtection="0">
      <alignment vertical="center"/>
    </xf>
    <xf numFmtId="0" fontId="0" fillId="2" borderId="99" applyNumberFormat="0" applyFont="1" applyFill="1" applyBorder="1" applyAlignment="1" applyProtection="0">
      <alignment vertical="center"/>
    </xf>
    <xf numFmtId="0" fontId="0" fillId="2" borderId="100" applyNumberFormat="0" applyFont="1" applyFill="1" applyBorder="1" applyAlignment="1" applyProtection="0">
      <alignment vertical="center"/>
    </xf>
    <xf numFmtId="0" fontId="0" applyNumberFormat="1" applyFont="1" applyFill="0" applyBorder="0" applyAlignment="1" applyProtection="0">
      <alignment vertical="center"/>
    </xf>
    <xf numFmtId="0" fontId="0" fillId="2" borderId="101" applyNumberFormat="0" applyFont="1" applyFill="1" applyBorder="1" applyAlignment="1" applyProtection="0">
      <alignment vertical="center"/>
    </xf>
    <xf numFmtId="49" fontId="0" fillId="2" borderId="101" applyNumberFormat="1" applyFont="1" applyFill="1" applyBorder="1" applyAlignment="1" applyProtection="0">
      <alignment vertical="center"/>
    </xf>
    <xf numFmtId="63" fontId="0" fillId="2" borderId="101" applyNumberFormat="1" applyFont="1" applyFill="1" applyBorder="1" applyAlignment="1" applyProtection="0">
      <alignment vertical="center"/>
    </xf>
    <xf numFmtId="0" fontId="0" applyNumberFormat="1" applyFont="1" applyFill="0" applyBorder="0" applyAlignment="1" applyProtection="0">
      <alignment vertical="center"/>
    </xf>
    <xf numFmtId="49" fontId="0" fillId="9" borderId="102" applyNumberFormat="1" applyFont="1" applyFill="1" applyBorder="1" applyAlignment="1" applyProtection="0">
      <alignment vertical="center"/>
    </xf>
    <xf numFmtId="49" fontId="0" fillId="9" borderId="103" applyNumberFormat="1" applyFont="1" applyFill="1" applyBorder="1" applyAlignment="1" applyProtection="0">
      <alignment vertical="center"/>
    </xf>
    <xf numFmtId="49" fontId="10" fillId="9" borderId="103" applyNumberFormat="1" applyFont="1" applyFill="1" applyBorder="1" applyAlignment="1" applyProtection="0">
      <alignment horizontal="left" vertical="center"/>
    </xf>
    <xf numFmtId="49" fontId="11" fillId="5" borderId="5" applyNumberFormat="1" applyFont="1" applyFill="1" applyBorder="1" applyAlignment="1" applyProtection="0">
      <alignment vertical="center"/>
    </xf>
    <xf numFmtId="49" fontId="11" fillId="10" borderId="5" applyNumberFormat="1" applyFont="1" applyFill="1" applyBorder="1" applyAlignment="1" applyProtection="0">
      <alignment vertical="center"/>
    </xf>
    <xf numFmtId="49" fontId="11" fillId="10" borderId="104" applyNumberFormat="1" applyFont="1" applyFill="1" applyBorder="1" applyAlignment="1" applyProtection="0">
      <alignment vertical="center"/>
    </xf>
    <xf numFmtId="49" fontId="0" fillId="11" borderId="105" applyNumberFormat="1" applyFont="1" applyFill="1" applyBorder="1" applyAlignment="1" applyProtection="0">
      <alignment vertical="center"/>
    </xf>
    <xf numFmtId="49" fontId="0" fillId="11" borderId="26" applyNumberFormat="1" applyFont="1" applyFill="1" applyBorder="1" applyAlignment="1" applyProtection="0">
      <alignment vertical="center"/>
    </xf>
    <xf numFmtId="64" fontId="10" fillId="11" borderId="26" applyNumberFormat="1" applyFont="1" applyFill="1" applyBorder="1" applyAlignment="1" applyProtection="0">
      <alignment horizontal="left" vertical="center"/>
    </xf>
    <xf numFmtId="60" fontId="0" fillId="2" borderId="41" applyNumberFormat="1" applyFont="1" applyFill="1" applyBorder="1" applyAlignment="1" applyProtection="0">
      <alignment vertical="center"/>
    </xf>
    <xf numFmtId="60" fontId="0" fillId="2" borderId="106" applyNumberFormat="1" applyFont="1" applyFill="1" applyBorder="1" applyAlignment="1" applyProtection="0">
      <alignment vertical="center"/>
    </xf>
    <xf numFmtId="65" fontId="0" fillId="2" borderId="106" applyNumberFormat="1" applyFont="1" applyFill="1" applyBorder="1" applyAlignment="1" applyProtection="0">
      <alignment vertical="center"/>
    </xf>
    <xf numFmtId="65" fontId="0" fillId="2" borderId="107" applyNumberFormat="1" applyFont="1" applyFill="1" applyBorder="1" applyAlignment="1" applyProtection="0">
      <alignment vertical="center"/>
    </xf>
    <xf numFmtId="60" fontId="0" fillId="2" borderId="108" applyNumberFormat="1" applyFont="1" applyFill="1" applyBorder="1" applyAlignment="1" applyProtection="0">
      <alignment vertical="center"/>
    </xf>
    <xf numFmtId="60" fontId="0" fillId="2" borderId="101" applyNumberFormat="1" applyFont="1" applyFill="1" applyBorder="1" applyAlignment="1" applyProtection="0">
      <alignment vertical="center"/>
    </xf>
    <xf numFmtId="65" fontId="0" fillId="2" borderId="101" applyNumberFormat="1" applyFont="1" applyFill="1" applyBorder="1" applyAlignment="1" applyProtection="0">
      <alignment vertical="center"/>
    </xf>
    <xf numFmtId="0" fontId="0" fillId="2" borderId="109" applyNumberFormat="0" applyFont="1" applyFill="1" applyBorder="1" applyAlignment="1" applyProtection="0">
      <alignment vertical="center"/>
    </xf>
    <xf numFmtId="0" fontId="0" fillId="2" borderId="110" applyNumberFormat="0" applyFont="1" applyFill="1" applyBorder="1" applyAlignment="1" applyProtection="0">
      <alignment vertical="center"/>
    </xf>
    <xf numFmtId="0" fontId="0" fillId="2" borderId="108" applyNumberFormat="0" applyFont="1" applyFill="1" applyBorder="1" applyAlignment="1" applyProtection="0">
      <alignment vertical="center"/>
    </xf>
    <xf numFmtId="0" fontId="0" applyNumberFormat="1" applyFont="1" applyFill="0" applyBorder="0" applyAlignment="1" applyProtection="0">
      <alignment vertical="center"/>
    </xf>
    <xf numFmtId="0" fontId="0" fillId="2" borderId="111" applyNumberFormat="0" applyFont="1" applyFill="1" applyBorder="1" applyAlignment="1" applyProtection="0">
      <alignment vertical="center"/>
    </xf>
    <xf numFmtId="49" fontId="0" fillId="12" borderId="112" applyNumberFormat="1" applyFont="1" applyFill="1" applyBorder="1" applyAlignment="1" applyProtection="0">
      <alignment vertical="center"/>
    </xf>
    <xf numFmtId="59" fontId="0" fillId="2" borderId="113" applyNumberFormat="1" applyFont="1" applyFill="1" applyBorder="1" applyAlignment="1" applyProtection="0">
      <alignment vertical="center"/>
    </xf>
    <xf numFmtId="0" fontId="0" fillId="13" borderId="103" applyNumberFormat="0" applyFont="1" applyFill="1" applyBorder="1" applyAlignment="1" applyProtection="0">
      <alignment vertical="center"/>
    </xf>
    <xf numFmtId="49" fontId="0" fillId="2" borderId="108" applyNumberFormat="1" applyFont="1" applyFill="1" applyBorder="1" applyAlignment="1" applyProtection="0">
      <alignment vertical="center"/>
    </xf>
    <xf numFmtId="14" fontId="0" fillId="2" borderId="101" applyNumberFormat="1" applyFont="1" applyFill="1" applyBorder="1" applyAlignment="1" applyProtection="0">
      <alignment vertical="center"/>
    </xf>
    <xf numFmtId="0" fontId="0" fillId="2" borderId="101" applyNumberFormat="1" applyFont="1" applyFill="1" applyBorder="1" applyAlignment="1" applyProtection="0">
      <alignment vertical="center"/>
    </xf>
    <xf numFmtId="10" fontId="0" fillId="2" borderId="101" applyNumberFormat="1" applyFont="1" applyFill="1" applyBorder="1" applyAlignment="1" applyProtection="0">
      <alignment vertical="center"/>
    </xf>
    <xf numFmtId="49" fontId="8" fillId="2" borderId="107" applyNumberFormat="1" applyFont="1" applyFill="1" applyBorder="1" applyAlignment="1" applyProtection="0">
      <alignment horizontal="left" vertical="center"/>
    </xf>
    <xf numFmtId="0" fontId="0" fillId="2" borderId="107" applyNumberFormat="1" applyFont="1" applyFill="1" applyBorder="1" applyAlignment="1" applyProtection="0">
      <alignment vertical="center"/>
    </xf>
    <xf numFmtId="59" fontId="0" fillId="2" borderId="111" applyNumberFormat="1" applyFont="1" applyFill="1" applyBorder="1" applyAlignment="1" applyProtection="0">
      <alignment vertical="center"/>
    </xf>
    <xf numFmtId="0" fontId="0" fillId="14" borderId="26" applyNumberFormat="0" applyFont="1" applyFill="1" applyBorder="1" applyAlignment="1" applyProtection="0">
      <alignment vertical="center"/>
    </xf>
    <xf numFmtId="14" fontId="8" fillId="2" borderId="101" applyNumberFormat="1" applyFont="1" applyFill="1" applyBorder="1" applyAlignment="1" applyProtection="0">
      <alignment horizontal="left" vertical="center"/>
    </xf>
    <xf numFmtId="59" fontId="0" fillId="2" borderId="101" applyNumberFormat="1" applyFont="1" applyFill="1" applyBorder="1" applyAlignment="1" applyProtection="0">
      <alignment vertical="center"/>
    </xf>
    <xf numFmtId="0" fontId="0" fillId="2" borderId="107" applyNumberFormat="0" applyFont="1" applyFill="1" applyBorder="1" applyAlignment="1" applyProtection="0">
      <alignment vertical="center"/>
    </xf>
    <xf numFmtId="0" fontId="0" fillId="2" borderId="114" applyNumberFormat="1" applyFont="1" applyFill="1" applyBorder="1" applyAlignment="1" applyProtection="0">
      <alignment vertical="center"/>
    </xf>
    <xf numFmtId="14" fontId="8" fillId="2" borderId="111" applyNumberFormat="1" applyFont="1" applyFill="1" applyBorder="1" applyAlignment="1" applyProtection="0">
      <alignment horizontal="left" vertical="center"/>
    </xf>
    <xf numFmtId="0" fontId="0" fillId="14" borderId="26" applyNumberFormat="1" applyFont="1" applyFill="1" applyBorder="1" applyAlignment="1" applyProtection="0">
      <alignment vertical="center"/>
    </xf>
    <xf numFmtId="59" fontId="0" fillId="2" borderId="108" applyNumberFormat="1" applyFont="1" applyFill="1" applyBorder="1" applyAlignment="1" applyProtection="0">
      <alignment vertical="center"/>
    </xf>
    <xf numFmtId="49" fontId="8" fillId="2" borderId="101" applyNumberFormat="1" applyFont="1" applyFill="1" applyBorder="1" applyAlignment="1" applyProtection="0">
      <alignment horizontal="left" vertical="center"/>
    </xf>
    <xf numFmtId="0" fontId="0" fillId="2" borderId="26" applyNumberFormat="1" applyFont="1" applyFill="1" applyBorder="1" applyAlignment="1" applyProtection="0">
      <alignment vertical="center"/>
    </xf>
    <xf numFmtId="14" fontId="8" fillId="2" borderId="114" applyNumberFormat="1" applyFont="1" applyFill="1" applyBorder="1" applyAlignment="1" applyProtection="0">
      <alignment horizontal="left" vertical="center"/>
    </xf>
    <xf numFmtId="49" fontId="8" fillId="15" borderId="26" applyNumberFormat="1" applyFont="1" applyFill="1" applyBorder="1" applyAlignment="1" applyProtection="0">
      <alignment horizontal="left" vertical="center"/>
    </xf>
    <xf numFmtId="0" fontId="0" fillId="15" borderId="26" applyNumberFormat="1" applyFont="1" applyFill="1" applyBorder="1" applyAlignment="1" applyProtection="0">
      <alignment vertical="center"/>
    </xf>
    <xf numFmtId="0" fontId="0" applyNumberFormat="1" applyFont="1" applyFill="0" applyBorder="0" applyAlignment="1" applyProtection="0">
      <alignment vertical="center"/>
    </xf>
    <xf numFmtId="0" fontId="0" fillId="2" borderId="103" applyNumberFormat="0" applyFont="1" applyFill="1" applyBorder="1" applyAlignment="1" applyProtection="0">
      <alignment vertical="center"/>
    </xf>
    <xf numFmtId="14" fontId="8" fillId="16" borderId="103" applyNumberFormat="1" applyFont="1" applyFill="1" applyBorder="1" applyAlignment="1" applyProtection="0">
      <alignment horizontal="left" vertical="center"/>
    </xf>
    <xf numFmtId="49" fontId="8" fillId="2" borderId="105" applyNumberFormat="1" applyFont="1" applyFill="1" applyBorder="1" applyAlignment="1" applyProtection="0">
      <alignment horizontal="left" vertical="center"/>
    </xf>
    <xf numFmtId="0" fontId="0" fillId="13" borderId="26" applyNumberFormat="0" applyFont="1" applyFill="1" applyBorder="1" applyAlignment="1" applyProtection="0">
      <alignment vertical="center"/>
    </xf>
    <xf numFmtId="14" fontId="8" fillId="2" borderId="26" applyNumberFormat="1" applyFont="1" applyFill="1" applyBorder="1" applyAlignment="1" applyProtection="0">
      <alignment horizontal="left" vertical="center"/>
    </xf>
    <xf numFmtId="0" fontId="0" fillId="2" borderId="110" applyNumberFormat="1" applyFont="1" applyFill="1" applyBorder="1" applyAlignment="1" applyProtection="0">
      <alignment vertical="center"/>
    </xf>
    <xf numFmtId="0" fontId="0" fillId="10" borderId="26" applyNumberFormat="0" applyFont="1" applyFill="1" applyBorder="1" applyAlignment="1" applyProtection="0">
      <alignment vertical="center"/>
    </xf>
    <xf numFmtId="0" fontId="0" fillId="2" borderId="113" applyNumberFormat="1" applyFont="1" applyFill="1" applyBorder="1" applyAlignment="1" applyProtection="0">
      <alignment vertical="center"/>
    </xf>
    <xf numFmtId="0" fontId="0" fillId="2" borderId="115" applyNumberFormat="0" applyFont="1" applyFill="1" applyBorder="1" applyAlignment="1" applyProtection="0">
      <alignment vertical="center"/>
    </xf>
    <xf numFmtId="0" fontId="0" fillId="2" borderId="103" applyNumberFormat="1" applyFont="1" applyFill="1" applyBorder="1" applyAlignment="1" applyProtection="0">
      <alignment vertical="center"/>
    </xf>
    <xf numFmtId="0" fontId="0" fillId="10" borderId="26" applyNumberFormat="1" applyFont="1" applyFill="1" applyBorder="1" applyAlignment="1" applyProtection="0">
      <alignment vertical="center"/>
    </xf>
  </cellXfs>
  <cellStyles count="1">
    <cellStyle name="Normal" xfId="0" builtinId="0"/>
  </cellStyles>
  <dxfs count="15">
    <dxf>
      <font>
        <color rgb="ff9c0006"/>
      </font>
      <fill>
        <patternFill patternType="solid">
          <fgColor indexed="12"/>
          <bgColor indexed="13"/>
        </patternFill>
      </fill>
    </dxf>
    <dxf>
      <font>
        <color rgb="ff9c0006"/>
      </font>
      <fill>
        <patternFill patternType="solid">
          <fgColor indexed="12"/>
          <bgColor indexed="13"/>
        </patternFill>
      </fill>
    </dxf>
    <dxf>
      <font>
        <color rgb="ff9c0006"/>
      </font>
      <fill>
        <patternFill patternType="solid">
          <fgColor indexed="12"/>
          <bgColor indexed="13"/>
        </patternFill>
      </fill>
    </dxf>
    <dxf>
      <font>
        <color rgb="ff9c0006"/>
      </font>
      <fill>
        <patternFill patternType="solid">
          <fgColor indexed="12"/>
          <bgColor indexed="13"/>
        </patternFill>
      </fill>
    </dxf>
    <dxf>
      <font>
        <color rgb="ff9c0006"/>
      </font>
      <fill>
        <patternFill patternType="solid">
          <fgColor indexed="12"/>
          <bgColor indexed="13"/>
        </patternFill>
      </fill>
    </dxf>
    <dxf>
      <font>
        <color rgb="ff9c0006"/>
      </font>
      <fill>
        <patternFill patternType="solid">
          <fgColor indexed="12"/>
          <bgColor indexed="13"/>
        </patternFill>
      </fill>
    </dxf>
    <dxf>
      <font>
        <color rgb="ff9c0006"/>
      </font>
      <fill>
        <patternFill patternType="solid">
          <fgColor indexed="12"/>
          <bgColor indexed="13"/>
        </patternFill>
      </fill>
    </dxf>
    <dxf>
      <font>
        <color rgb="ffff0000"/>
      </font>
    </dxf>
    <dxf>
      <font>
        <color rgb="ffff0000"/>
      </font>
    </dxf>
    <dxf>
      <font>
        <color rgb="ff9c0006"/>
      </font>
      <fill>
        <patternFill patternType="solid">
          <fgColor indexed="12"/>
          <bgColor indexed="13"/>
        </patternFill>
      </fill>
    </dxf>
    <dxf>
      <font>
        <color rgb="ff9c0006"/>
      </font>
      <fill>
        <patternFill patternType="solid">
          <fgColor indexed="12"/>
          <bgColor indexed="13"/>
        </patternFill>
      </fill>
    </dxf>
    <dxf>
      <font>
        <color rgb="ff9c6500"/>
      </font>
      <fill>
        <patternFill patternType="solid">
          <fgColor indexed="12"/>
          <bgColor indexed="35"/>
        </patternFill>
      </fill>
    </dxf>
    <dxf>
      <font>
        <color rgb="ff9c0006"/>
      </font>
      <fill>
        <patternFill patternType="solid">
          <fgColor indexed="12"/>
          <bgColor indexed="13"/>
        </patternFill>
      </fill>
    </dxf>
    <dxf>
      <font>
        <color rgb="ff9c6500"/>
      </font>
      <fill>
        <patternFill patternType="solid">
          <fgColor indexed="12"/>
          <bgColor indexed="35"/>
        </patternFill>
      </fill>
    </dxf>
    <dxf>
      <font>
        <color rgb="ff9c0006"/>
      </font>
      <fill>
        <patternFill patternType="solid">
          <fgColor indexed="12"/>
          <bgColor indexed="13"/>
        </patternFill>
      </fill>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7891b0"/>
      <rgbColor rgb="00000000"/>
      <rgbColor rgb="ffffc7ce"/>
      <rgbColor rgb="ff9c0006"/>
      <rgbColor rgb="ffa5a5a5"/>
      <rgbColor rgb="ffd2dae4"/>
      <rgbColor rgb="ff595959"/>
      <rgbColor rgb="ff17365d"/>
      <rgbColor rgb="ffccecff"/>
      <rgbColor rgb="ffffff00"/>
      <rgbColor rgb="ffffc000"/>
      <rgbColor rgb="ffb6dde8"/>
      <rgbColor rgb="fff2dbdb"/>
      <rgbColor rgb="ffff0000"/>
      <rgbColor rgb="ffff00ff"/>
      <rgbColor rgb="ff00b0f0"/>
      <rgbColor rgb="ff92d050"/>
      <rgbColor rgb="ffdaeef3"/>
      <rgbColor rgb="ffdbe5f1"/>
      <rgbColor rgb="ff95b3d7"/>
      <rgbColor rgb="ffe5b8b7"/>
      <rgbColor rgb="ffd6e3bc"/>
      <rgbColor rgb="ffd8d8d8"/>
      <rgbColor rgb="ffffff99"/>
      <rgbColor rgb="ffffeb9c"/>
      <rgbColor rgb="ff9c6500"/>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AC192"/>
  <sheetViews>
    <sheetView workbookViewId="0" showGridLines="0" defaultGridColor="1"/>
  </sheetViews>
  <sheetFormatPr defaultColWidth="9" defaultRowHeight="11.65" customHeight="1" outlineLevelRow="0" outlineLevelCol="0"/>
  <cols>
    <col min="1" max="1" width="7.5" style="1" customWidth="1"/>
    <col min="2" max="2" width="7.85156" style="1" customWidth="1"/>
    <col min="3" max="3" width="16.8516" style="1" customWidth="1"/>
    <col min="4" max="4" width="16" style="1" customWidth="1"/>
    <col min="5" max="5" hidden="1" width="9" style="1" customWidth="1"/>
    <col min="6" max="6" width="9" style="1" customWidth="1"/>
    <col min="7" max="7" width="9" style="1" customWidth="1"/>
    <col min="8" max="8" width="9" style="1" customWidth="1"/>
    <col min="9" max="9" width="9" style="1" customWidth="1"/>
    <col min="10" max="10" width="9" style="1" customWidth="1"/>
    <col min="11" max="11" width="9" style="1" customWidth="1"/>
    <col min="12" max="12" width="9" style="1" customWidth="1"/>
    <col min="13" max="13" width="9" style="1" customWidth="1"/>
    <col min="14" max="14" width="9" style="1" customWidth="1"/>
    <col min="15" max="15" width="9" style="1" customWidth="1"/>
    <col min="16" max="16" width="9" style="1" customWidth="1"/>
    <col min="17" max="17" width="9" style="1" customWidth="1"/>
    <col min="18" max="18" width="9" style="1" customWidth="1"/>
    <col min="19" max="19" width="9" style="1" customWidth="1"/>
    <col min="20" max="20" width="9" style="1" customWidth="1"/>
    <col min="21" max="21" width="9" style="1" customWidth="1"/>
    <col min="22" max="22" width="9" style="1" customWidth="1"/>
    <col min="23" max="23" width="9" style="1" customWidth="1"/>
    <col min="24" max="24" width="9" style="1" customWidth="1"/>
    <col min="25" max="25" width="9" style="1" customWidth="1"/>
    <col min="26" max="26" width="9" style="1" customWidth="1"/>
    <col min="27" max="27" width="9" style="1" customWidth="1"/>
    <col min="28" max="28" width="9" style="1" customWidth="1"/>
    <col min="29" max="29" width="9" style="1" customWidth="1"/>
    <col min="30" max="256" width="9" style="1" customWidth="1"/>
  </cols>
  <sheetData>
    <row r="1" ht="12" customHeight="1">
      <c r="A1" t="s" s="2">
        <v>0</v>
      </c>
      <c r="B1" s="3"/>
      <c r="C1" t="s" s="4">
        <v>1</v>
      </c>
      <c r="D1" s="5"/>
      <c r="E1" s="5"/>
      <c r="F1" t="s" s="6">
        <v>2</v>
      </c>
      <c r="G1" s="3"/>
      <c r="H1" s="3"/>
      <c r="I1" s="3"/>
      <c r="J1" s="3"/>
      <c r="K1" s="3"/>
      <c r="L1" s="3"/>
      <c r="M1" s="3"/>
      <c r="N1" s="3"/>
      <c r="O1" s="3"/>
      <c r="P1" s="3"/>
      <c r="Q1" s="3"/>
      <c r="R1" t="s" s="6">
        <v>3</v>
      </c>
      <c r="S1" s="3"/>
      <c r="T1" s="3"/>
      <c r="U1" s="3"/>
      <c r="V1" s="3"/>
      <c r="W1" s="3"/>
      <c r="X1" s="3"/>
      <c r="Y1" s="3"/>
      <c r="Z1" s="3"/>
      <c r="AA1" s="3"/>
      <c r="AB1" s="3"/>
      <c r="AC1" s="7"/>
    </row>
    <row r="2" ht="13.5" customHeight="1">
      <c r="A2" t="s" s="8">
        <v>4</v>
      </c>
      <c r="B2" t="s" s="9">
        <v>5</v>
      </c>
      <c r="C2" t="s" s="9">
        <v>6</v>
      </c>
      <c r="D2" t="s" s="9">
        <v>7</v>
      </c>
      <c r="E2" s="10"/>
      <c r="F2" t="s" s="9">
        <v>8</v>
      </c>
      <c r="G2" t="s" s="9">
        <v>9</v>
      </c>
      <c r="H2" t="s" s="9">
        <v>10</v>
      </c>
      <c r="I2" t="s" s="9">
        <v>11</v>
      </c>
      <c r="J2" t="s" s="9">
        <v>1</v>
      </c>
      <c r="K2" t="s" s="9">
        <v>12</v>
      </c>
      <c r="L2" t="s" s="9">
        <v>13</v>
      </c>
      <c r="M2" t="s" s="9">
        <v>14</v>
      </c>
      <c r="N2" t="s" s="9">
        <v>15</v>
      </c>
      <c r="O2" t="s" s="9">
        <v>16</v>
      </c>
      <c r="P2" t="s" s="9">
        <v>17</v>
      </c>
      <c r="Q2" t="s" s="9">
        <v>18</v>
      </c>
      <c r="R2" t="s" s="9">
        <v>8</v>
      </c>
      <c r="S2" t="s" s="9">
        <v>9</v>
      </c>
      <c r="T2" t="s" s="9">
        <v>10</v>
      </c>
      <c r="U2" t="s" s="9">
        <v>11</v>
      </c>
      <c r="V2" t="s" s="9">
        <v>1</v>
      </c>
      <c r="W2" t="s" s="9">
        <v>12</v>
      </c>
      <c r="X2" t="s" s="9">
        <v>13</v>
      </c>
      <c r="Y2" t="s" s="9">
        <v>14</v>
      </c>
      <c r="Z2" t="s" s="9">
        <v>15</v>
      </c>
      <c r="AA2" t="s" s="9">
        <v>16</v>
      </c>
      <c r="AB2" t="s" s="9">
        <v>17</v>
      </c>
      <c r="AC2" t="s" s="11">
        <v>18</v>
      </c>
    </row>
    <row r="3" ht="12.7" customHeight="1">
      <c r="A3" t="s" s="12">
        <v>19</v>
      </c>
      <c r="B3" s="13">
        <v>400009</v>
      </c>
      <c r="C3" t="s" s="14">
        <v>20</v>
      </c>
      <c r="D3" t="s" s="15">
        <v>21</v>
      </c>
      <c r="E3" t="s" s="16">
        <f>A3&amp;D3</f>
        <v>22</v>
      </c>
      <c r="F3" s="17">
        <f>INDEX('Sales Forecast'!$B$5:$B$72,MATCH($A3,'Sales Forecast'!$A$5:$A$72,0))</f>
        <v>45300</v>
      </c>
      <c r="G3" s="17">
        <f>INDEX('Sales Forecast'!$D$5:$D$72,MATCH($A3,'Sales Forecast'!$C$5:$C$72,0))</f>
        <v>30240</v>
      </c>
      <c r="H3" s="17">
        <f>INDEX('Sales Forecast'!$F$5:$F$72,MATCH($A3,'Sales Forecast'!$E$5:$E$72,0))</f>
        <v>12000</v>
      </c>
      <c r="I3" s="17">
        <f>INDEX('Sales Forecast'!$H$5:$H$72,MATCH($A3,'Sales Forecast'!$G$5:$G$72,0))</f>
        <v>13237</v>
      </c>
      <c r="J3" s="17">
        <f>INDEX('Sales Forecast'!$J$5:$J$72,MATCH($A3,'Sales Forecast'!$I$5:$I$72,0))</f>
        <v>12655</v>
      </c>
      <c r="K3" s="17">
        <f>INDEX('Sales Forecast'!$L$5:$L$72,MATCH($A3,'Sales Forecast'!$K$5:$K$72,0))</f>
        <v>8000</v>
      </c>
      <c r="L3" s="17">
        <f>INDEX('Sales Forecast'!$N$5:$N$72,MATCH($A3,'Sales Forecast'!$M$5:$M$72,0))</f>
        <v>11494</v>
      </c>
      <c r="M3" s="17">
        <f>INDEX('Sales Forecast'!$P$5:$P$72,MATCH($A3,'Sales Forecast'!$O$5:$O$72,0))</f>
        <v>32546</v>
      </c>
      <c r="N3" s="17">
        <f>INDEX('Sales Forecast'!$R$5:$R$72,MATCH($A3,'Sales Forecast'!$Q$5:$Q$72,0))</f>
        <v>34552</v>
      </c>
      <c r="O3" s="17">
        <f>INDEX('Sales Forecast'!$T$5:$T$72,MATCH($A3,'Sales Forecast'!$S$5:$S$72,0))</f>
        <v>39714</v>
      </c>
      <c r="P3" s="17">
        <f>INDEX('Sales Forecast'!$V$5:$V$72,MATCH($A3,'Sales Forecast'!$U$5:$U$72,0))</f>
        <v>27097</v>
      </c>
      <c r="Q3" s="17">
        <f>INDEX('Sales Forecast'!$X$5:$X$72,MATCH($A3,'Sales Forecast'!$W$5:$W$72,0))</f>
        <v>31317</v>
      </c>
      <c r="R3" s="17">
        <v>32883.0768</v>
      </c>
      <c r="S3" s="17"/>
      <c r="T3" s="17"/>
      <c r="U3" s="17"/>
      <c r="V3" s="17"/>
      <c r="W3" s="17"/>
      <c r="X3" s="17"/>
      <c r="Y3" s="17"/>
      <c r="Z3" s="17"/>
      <c r="AA3" s="17"/>
      <c r="AB3" s="17"/>
      <c r="AC3" s="17"/>
    </row>
    <row r="4" ht="12.7" customHeight="1">
      <c r="A4" t="s" s="18">
        <v>19</v>
      </c>
      <c r="B4" s="19">
        <v>400009</v>
      </c>
      <c r="C4" t="s" s="20">
        <v>20</v>
      </c>
      <c r="D4" t="s" s="21">
        <v>23</v>
      </c>
      <c r="E4" t="s" s="16">
        <f>A4&amp;D4</f>
        <v>24</v>
      </c>
      <c r="F4" s="22">
        <f>INDEX('Sales Actual'!$B$5:$B$70,MATCH($A4,'Sales Actual'!$A$5:$A$70,0))</f>
        <v>28422</v>
      </c>
      <c r="G4" s="22">
        <f>INDEX('Sales Actual'!$D$5:$D$70,MATCH($A4,'Sales Actual'!$C$5:$C$70,0))</f>
        <v>17459</v>
      </c>
      <c r="H4" s="22">
        <f>INDEX('Sales Actual'!$F$5:$F$70,MATCH($A4,'Sales Actual'!$E$5:$E$70,0))</f>
        <v>18042</v>
      </c>
      <c r="I4" s="22">
        <f>INDEX('Sales Actual'!$H$5:$H$70,MATCH($A4,'Sales Actual'!$G$5:$G$70,0))</f>
        <v>0</v>
      </c>
      <c r="J4" s="22">
        <f>INDEX('Sales Actual'!$J$5:$J$70,MATCH($A4,'Sales Actual'!$I$5:$I$70,0))</f>
        <v>0</v>
      </c>
      <c r="K4" s="22">
        <f>INDEX('Sales Actual'!$L$5:$L$70,MATCH($A4,'Sales Actual'!$K$5:$K$70,0))</f>
        <v>0</v>
      </c>
      <c r="L4" s="22">
        <f>INDEX('Sales Actual'!$N$5:$N$70,MATCH($A4,'Sales Actual'!$M$5:$M$70,0))</f>
        <v>0</v>
      </c>
      <c r="M4" s="22">
        <f>INDEX('Sales Actual'!P5:P70,MATCH($A4,'Sales Actual'!$O$5:$O$70,0))</f>
        <v>0</v>
      </c>
      <c r="N4" s="22">
        <f>INDEX('Sales Actual'!$R$5:$R$70,MATCH($A4,'Sales Actual'!$Q$5:$Q$70,0))</f>
        <v>0</v>
      </c>
      <c r="O4" s="22">
        <f>INDEX('Sales Actual'!$T$5:$T$70,MATCH($A4,'Sales Actual'!$S$5:$S$70,0))</f>
        <v>0</v>
      </c>
      <c r="P4" s="22">
        <f>INDEX('Sales Actual'!$V$5:$V$70,MATCH($A4,'Sales Actual'!$U$5:$U$70,0))</f>
        <v>0</v>
      </c>
      <c r="Q4" s="22">
        <f>INDEX('Sales Actual'!$X$5:$X$70,MATCH($A4,'Sales Actual'!$W$5:$W$70,0))</f>
        <v>0</v>
      </c>
      <c r="R4" s="22"/>
      <c r="S4" s="22"/>
      <c r="T4" s="22"/>
      <c r="U4" s="22"/>
      <c r="V4" s="22"/>
      <c r="W4" s="22"/>
      <c r="X4" s="22"/>
      <c r="Y4" s="22"/>
      <c r="Z4" s="22"/>
      <c r="AA4" s="22"/>
      <c r="AB4" s="22"/>
      <c r="AC4" s="22"/>
    </row>
    <row r="5" ht="12.7" customHeight="1">
      <c r="A5" t="s" s="18">
        <v>19</v>
      </c>
      <c r="B5" s="19">
        <v>400009</v>
      </c>
      <c r="C5" t="s" s="20">
        <v>20</v>
      </c>
      <c r="D5" t="s" s="21">
        <v>25</v>
      </c>
      <c r="E5" t="s" s="23">
        <f>A5&amp;D5</f>
        <v>26</v>
      </c>
      <c r="F5" s="22">
        <v>8640</v>
      </c>
      <c r="G5" s="22">
        <v>7776</v>
      </c>
      <c r="H5" s="22">
        <v>8640</v>
      </c>
      <c r="I5" s="22">
        <v>11520</v>
      </c>
      <c r="J5" s="22">
        <v>7776</v>
      </c>
      <c r="K5" s="22">
        <v>0</v>
      </c>
      <c r="L5" s="22">
        <v>11520</v>
      </c>
      <c r="M5" s="22">
        <v>0</v>
      </c>
      <c r="N5" s="22">
        <f>144*420</f>
        <v>60480</v>
      </c>
      <c r="O5" s="22">
        <f t="shared" si="28" ref="O5:Q53">144*280</f>
        <v>40320</v>
      </c>
      <c r="P5" s="22">
        <f>144*100</f>
        <v>14400</v>
      </c>
      <c r="Q5" s="22">
        <f>144*270</f>
        <v>38880</v>
      </c>
      <c r="R5" s="24">
        <v>0</v>
      </c>
      <c r="S5" s="24"/>
      <c r="T5" s="24"/>
      <c r="U5" s="24"/>
      <c r="V5" s="24"/>
      <c r="W5" s="24"/>
      <c r="X5" s="24"/>
      <c r="Y5" s="24"/>
      <c r="Z5" s="24"/>
      <c r="AA5" s="24"/>
      <c r="AB5" s="24"/>
      <c r="AC5" s="24"/>
    </row>
    <row r="6" ht="12.7" customHeight="1">
      <c r="A6" t="s" s="18">
        <v>19</v>
      </c>
      <c r="B6" s="19">
        <v>400009</v>
      </c>
      <c r="C6" t="s" s="20">
        <v>20</v>
      </c>
      <c r="D6" t="s" s="21">
        <v>27</v>
      </c>
      <c r="E6" t="s" s="23">
        <f>A6&amp;D6</f>
        <v>28</v>
      </c>
      <c r="F6" s="22">
        <v>7776</v>
      </c>
      <c r="G6" s="22">
        <v>7488</v>
      </c>
      <c r="H6" s="22">
        <v>10512</v>
      </c>
      <c r="I6" s="22">
        <v>11520</v>
      </c>
      <c r="J6" s="22">
        <v>10080</v>
      </c>
      <c r="K6" s="22">
        <v>0</v>
      </c>
      <c r="L6" s="22">
        <v>14400</v>
      </c>
      <c r="M6" s="22">
        <v>0</v>
      </c>
      <c r="N6" s="22">
        <f>144*416</f>
        <v>59904</v>
      </c>
      <c r="O6" s="22">
        <f>144*291</f>
        <v>41904</v>
      </c>
      <c r="P6" s="22">
        <f>P5</f>
        <v>14400</v>
      </c>
      <c r="Q6" s="22">
        <f>Q5</f>
        <v>38880</v>
      </c>
      <c r="R6" s="24"/>
      <c r="S6" s="24"/>
      <c r="T6" s="24"/>
      <c r="U6" s="24"/>
      <c r="V6" s="24"/>
      <c r="W6" s="24"/>
      <c r="X6" s="24"/>
      <c r="Y6" s="24"/>
      <c r="Z6" s="24"/>
      <c r="AA6" s="24"/>
      <c r="AB6" s="24"/>
      <c r="AC6" s="24"/>
    </row>
    <row r="7" ht="12.7" customHeight="1">
      <c r="A7" t="s" s="18">
        <v>19</v>
      </c>
      <c r="B7" s="19">
        <v>400009</v>
      </c>
      <c r="C7" t="s" s="20">
        <v>20</v>
      </c>
      <c r="D7" t="s" s="21">
        <v>29</v>
      </c>
      <c r="E7" t="s" s="16">
        <f>A7&amp;D7</f>
        <v>30</v>
      </c>
      <c r="F7" s="22">
        <v>119544</v>
      </c>
      <c r="G7" s="22">
        <v>128539</v>
      </c>
      <c r="H7" s="22">
        <f>G8+H6-(H3-H4)-H11</f>
        <v>126281</v>
      </c>
      <c r="I7" s="22">
        <f>IF((H8+I6-I3-I11)&lt;0,0,(H8+I6-I3-I11))</f>
        <v>79906</v>
      </c>
      <c r="J7" s="22">
        <f>IF((I7+J6-(J3-J4)-J11)&lt;0,0,(I7+J6-(J3-J4)-J11))</f>
        <v>34512</v>
      </c>
      <c r="K7" s="22">
        <f>IF((J7+K6-(K3-K4)-K11)&lt;0,0,(J7+K6-(K3-K4)-K11))</f>
        <v>26512</v>
      </c>
      <c r="L7" s="22">
        <f>IF((K7+L6-(L3-L4)-L11)&lt;0,0,(K7+L6-(L3-L4)-L11))</f>
        <v>29418</v>
      </c>
      <c r="M7" s="22">
        <f>IF((L7+M6-(M3-M4)-M11)&lt;0,0,(L7+M6-(M3-M4)-M11))</f>
        <v>0</v>
      </c>
      <c r="N7" s="22">
        <f>IF((M7+N6-(N3-N4)-N11)&lt;0,0,(M7+N6-(N3-N4)-N11))</f>
        <v>25352</v>
      </c>
      <c r="O7" s="22">
        <f>IF((N7+O6-(O3-O4)-O11)&lt;0,0,(N7+O6-(O3-O4)-O11))</f>
        <v>27542</v>
      </c>
      <c r="P7" s="22">
        <f>IF((O7+P6-(P3-P4)-P11)&lt;0,0,(O7+P6-(P3-P4)-P11))</f>
        <v>14845</v>
      </c>
      <c r="Q7" s="22">
        <f>IF((P7+Q6-(Q3-Q4)-Q11)&lt;0,0,(P7+Q6-(Q3-Q4)-Q11))</f>
        <v>22408</v>
      </c>
      <c r="R7" s="22"/>
      <c r="S7" s="22"/>
      <c r="T7" s="22"/>
      <c r="U7" s="22"/>
      <c r="V7" s="22"/>
      <c r="W7" s="22"/>
      <c r="X7" s="22"/>
      <c r="Y7" s="22"/>
      <c r="Z7" s="22"/>
      <c r="AA7" s="22"/>
      <c r="AB7" s="22"/>
      <c r="AC7" s="22"/>
    </row>
    <row r="8" ht="12.7" customHeight="1">
      <c r="A8" t="s" s="18">
        <v>19</v>
      </c>
      <c r="B8" s="19">
        <v>400009</v>
      </c>
      <c r="C8" t="s" s="20">
        <v>20</v>
      </c>
      <c r="D8" t="s" s="21">
        <v>31</v>
      </c>
      <c r="E8" t="s" s="16">
        <f>A8&amp;D8</f>
        <v>32</v>
      </c>
      <c r="F8" s="22">
        <f>INDEX('Actual Stock'!$B$5:$B$70,MATCH($A8,'Actual Stock'!$A$5:$A$70,0))</f>
        <v>141283</v>
      </c>
      <c r="G8" s="22">
        <f>INDEX('Actual Stock'!$D$5:$D$70,MATCH($A8,'Actual Stock'!$C$5:$C$70,0))</f>
        <v>121803</v>
      </c>
      <c r="H8" s="22">
        <f>INDEX('Actual Stock'!$F$5:$F$70,MATCH($A8,'Actual Stock'!$E$5:$E$70,0))</f>
        <v>119791</v>
      </c>
      <c r="I8" s="22">
        <f>INDEX('Actual Stock'!$H$5:$H$70,MATCH($A8,'Actual Stock'!$G$5:$G$70,0))</f>
        <v>0</v>
      </c>
      <c r="J8" s="22">
        <f>INDEX('Actual Stock'!$J$5:$J$70,MATCH($A8,'Actual Stock'!$I$5:$I$70,0))</f>
        <v>0</v>
      </c>
      <c r="K8" s="22">
        <f>INDEX('Actual Stock'!$L$5:$L$70,MATCH($A8,'Actual Stock'!$K$5:$K$70,0))</f>
        <v>0</v>
      </c>
      <c r="L8" s="22">
        <f>INDEX('Actual Stock'!$N$5:$N$70,MATCH($A8,'Actual Stock'!$M$5:$M$70,0))</f>
        <v>0</v>
      </c>
      <c r="M8" s="22">
        <f>INDEX('Actual Stock'!$P$5:$P$70,MATCH($A8,'Actual Stock'!$O$5:$O$70,0))</f>
        <v>0</v>
      </c>
      <c r="N8" s="22">
        <f>INDEX('Actual Stock'!$R$5:$R$70,MATCH($A8,'Actual Stock'!$Q$5:$Q$70,0))</f>
        <v>0</v>
      </c>
      <c r="O8" s="22">
        <f>INDEX('Actual Stock'!$T$5:$T$70,MATCH($A8,'Actual Stock'!$S$5:$S$70,0))</f>
        <v>0</v>
      </c>
      <c r="P8" s="22">
        <f>INDEX('Actual Stock'!$V$5:$V$70,MATCH($A8,'Actual Stock'!$U$5:$U$70,0))</f>
        <v>0</v>
      </c>
      <c r="Q8" s="22">
        <f>INDEX('Actual Stock'!$X$5:$X$70,MATCH($A8,'Actual Stock'!$W$5:$W$70,0))</f>
        <v>0</v>
      </c>
      <c r="R8" s="22"/>
      <c r="S8" s="22"/>
      <c r="T8" s="22"/>
      <c r="U8" s="22"/>
      <c r="V8" s="22"/>
      <c r="W8" s="22"/>
      <c r="X8" s="22"/>
      <c r="Y8" s="22"/>
      <c r="Z8" s="22"/>
      <c r="AA8" s="22"/>
      <c r="AB8" s="22"/>
      <c r="AC8" s="22"/>
    </row>
    <row r="9" ht="12.7" customHeight="1">
      <c r="A9" t="s" s="18">
        <v>19</v>
      </c>
      <c r="B9" s="19">
        <v>400009</v>
      </c>
      <c r="C9" t="s" s="20">
        <v>20</v>
      </c>
      <c r="D9" t="s" s="21">
        <v>33</v>
      </c>
      <c r="E9" t="s" s="23">
        <f>A9&amp;D9</f>
        <v>34</v>
      </c>
      <c r="F9" s="22">
        <v>0</v>
      </c>
      <c r="G9" s="22">
        <v>0</v>
      </c>
      <c r="H9" s="22">
        <v>0</v>
      </c>
      <c r="I9" s="22">
        <f>IF((H7+I6-(I3-I4)-I11)&gt;0,0,(H7+I6-(I3-I4)-I11))</f>
        <v>0</v>
      </c>
      <c r="J9" s="22">
        <f>IF((I7+J6-(J3-J4)-J11)&gt;0,0,(I7+J6-(J3-J4)-J11))</f>
        <v>0</v>
      </c>
      <c r="K9" s="22">
        <f>IF((J7+K6-(K3-K4)-K11)&gt;0,0,(J7+K6-(K3-K4)-K11))</f>
        <v>0</v>
      </c>
      <c r="L9" s="22">
        <f>IF((K7+L6-(L3-L4)-L11)&gt;0,0,(K7+L6-(L3-L4)-L11))</f>
        <v>0</v>
      </c>
      <c r="M9" s="22">
        <f>IF((L7+M6-(M3-M4)-M11)&gt;0,0,(L7+M6-(M3-M4)-M11))</f>
        <v>-3128</v>
      </c>
      <c r="N9" s="22">
        <f>IF((M7+N6-(N3-N4)-N11)&gt;0,0,(M7+N6-(N3-N4)-N11))</f>
        <v>0</v>
      </c>
      <c r="O9" s="22">
        <f>IF((N7+O6-(O3-O4)-O11)&gt;0,0,(N7+O6-(O3-O4)-O11))</f>
        <v>0</v>
      </c>
      <c r="P9" s="22">
        <f>IF((O7+P6-(P3-P4)-P11)&gt;0,0,(O7+P6-(P3-P4)-P11))</f>
        <v>0</v>
      </c>
      <c r="Q9" s="22">
        <f>IF((P7+Q6-(Q3-Q4)-Q11)&gt;0,0,(P7+Q6-(Q3-Q4)-Q11))</f>
        <v>0</v>
      </c>
      <c r="R9" s="24">
        <f>IF((Q7+R6-(R3-R4)-R11)&gt;0,0,(Q7+R6-(R3-R4)-R11))</f>
        <v>-10475.0768</v>
      </c>
      <c r="S9" s="24"/>
      <c r="T9" s="24"/>
      <c r="U9" s="24"/>
      <c r="V9" s="24"/>
      <c r="W9" s="24"/>
      <c r="X9" s="24"/>
      <c r="Y9" s="24"/>
      <c r="Z9" s="24"/>
      <c r="AA9" s="24"/>
      <c r="AB9" s="24"/>
      <c r="AC9" s="24"/>
    </row>
    <row r="10" ht="12.7" customHeight="1">
      <c r="A10" t="s" s="18">
        <v>19</v>
      </c>
      <c r="B10" s="19">
        <v>400009</v>
      </c>
      <c r="C10" t="s" s="20">
        <v>20</v>
      </c>
      <c r="D10" t="s" s="21">
        <v>35</v>
      </c>
      <c r="E10" t="s" s="23">
        <f>A10&amp;D10</f>
        <v>36</v>
      </c>
      <c r="F10" s="25">
        <f>INDEX('Issued by date'!$B$5:$B$70,MATCH($A10,'Issued by date'!$A$5:$A$70,0))</f>
        <v>0</v>
      </c>
      <c r="G10" s="26">
        <f>INDEX('Issued by date'!$D$5:$D$70,MATCH($A10,'Issued by date'!$C$5:$C$70,0))</f>
        <v>0</v>
      </c>
      <c r="H10" s="22">
        <f t="shared" si="74" ref="H10:O10">INDEX('Issued by date'!$F$5:$F$70,MATCH($A10,'Issued by date'!$E$5:$E$70,0))</f>
        <v>6034</v>
      </c>
      <c r="I10" s="22">
        <f>INDEX('Issued by date'!$H$5:$H$70,MATCH($A10,'Issued by date'!$G$5:$G$70,0))</f>
        <v>51405</v>
      </c>
      <c r="J10" s="22">
        <f>INDEX('Issued by date'!$J$5:$J$70,MATCH($A10,'Issued by date'!$I$5:$I$70,0))</f>
        <v>55474</v>
      </c>
      <c r="K10" s="22">
        <f>INDEX('Issued by date'!$L$5:$L$70,MATCH($A10,'Issued by date'!$K$5:$K$70,0))</f>
        <v>6528</v>
      </c>
      <c r="L10" s="22">
        <f>INDEX('Issued by date'!$N$5:$N$70,MATCH($A10,'Issued by date'!$M$5:$M$70,0))</f>
        <v>0</v>
      </c>
      <c r="M10" s="22">
        <f>INDEX('Issued by date'!$P$5:$P$70,MATCH($A10,'Issued by date'!$O$5:$O$70,0))</f>
        <v>6384</v>
      </c>
      <c r="N10" s="27">
        <f>INDEX('Issued by date'!$R$5:$R$70,MATCH($A10,'Issued by date'!$Q$5:$Q$70,0))</f>
        <v>0</v>
      </c>
      <c r="O10" s="28">
        <f t="shared" si="74"/>
        <v>6034</v>
      </c>
      <c r="P10" s="28">
        <f>INDEX('Issued by date'!$V$5:$V$70,MATCH($A10,'Issued by date'!$U$5:$U$70,0))</f>
        <v>0</v>
      </c>
      <c r="Q10" s="29">
        <f>INDEX('Issued by date'!$X$5:$X$70,MATCH($A10,'Issued by date'!$W$5:$W$70,0))</f>
        <v>0</v>
      </c>
      <c r="R10" s="24"/>
      <c r="S10" s="24"/>
      <c r="T10" s="24"/>
      <c r="U10" s="24"/>
      <c r="V10" s="24"/>
      <c r="W10" s="24"/>
      <c r="X10" s="24"/>
      <c r="Y10" s="24"/>
      <c r="Z10" s="24"/>
      <c r="AA10" s="24"/>
      <c r="AB10" s="24"/>
      <c r="AC10" s="24"/>
    </row>
    <row r="11" ht="12.7" customHeight="1">
      <c r="A11" t="s" s="18">
        <v>19</v>
      </c>
      <c r="B11" s="19">
        <v>400009</v>
      </c>
      <c r="C11" t="s" s="20">
        <v>20</v>
      </c>
      <c r="D11" t="s" s="21">
        <v>37</v>
      </c>
      <c r="E11" t="s" s="23">
        <f>A11&amp;D11</f>
        <v>38</v>
      </c>
      <c r="F11" s="22">
        <v>0</v>
      </c>
      <c r="G11" s="30">
        <v>0</v>
      </c>
      <c r="H11" s="22">
        <f>IF(H10&gt;0,IF(H10-(H3-H4)&gt;0,(H10-(H3-H4)),0),0)</f>
        <v>12076</v>
      </c>
      <c r="I11" s="22">
        <v>38168</v>
      </c>
      <c r="J11" s="22">
        <f>J10-J3</f>
        <v>42819</v>
      </c>
      <c r="K11" s="22">
        <v>0</v>
      </c>
      <c r="L11" s="22">
        <v>0</v>
      </c>
      <c r="M11" s="22">
        <v>0</v>
      </c>
      <c r="N11" s="31"/>
      <c r="O11" s="32"/>
      <c r="P11" s="32"/>
      <c r="Q11" s="33"/>
      <c r="R11" s="24"/>
      <c r="S11" s="24"/>
      <c r="T11" s="24"/>
      <c r="U11" s="24"/>
      <c r="V11" s="24"/>
      <c r="W11" s="24"/>
      <c r="X11" s="24"/>
      <c r="Y11" s="24"/>
      <c r="Z11" s="24"/>
      <c r="AA11" s="24"/>
      <c r="AB11" s="24"/>
      <c r="AC11" s="24"/>
    </row>
    <row r="12" ht="12.7" customHeight="1">
      <c r="A12" t="s" s="34">
        <v>19</v>
      </c>
      <c r="B12" s="35">
        <v>400009</v>
      </c>
      <c r="C12" t="s" s="36">
        <v>20</v>
      </c>
      <c r="D12" t="s" s="37">
        <v>39</v>
      </c>
      <c r="E12" t="s" s="16">
        <f>A12&amp;D12</f>
        <v>40</v>
      </c>
      <c r="F12" s="38">
        <f>IFERROR(F8/AVERAGE(G3:H3)*30,0)</f>
        <v>200.6860795454545</v>
      </c>
      <c r="G12" s="38">
        <f>IFERROR(G7/AVERAGE(H3:I3)*30,0)</f>
        <v>305.5965447557159</v>
      </c>
      <c r="H12" s="38">
        <f>IFERROR(H7/AVERAGE(I3:J3)*30,0)</f>
        <v>292.6332457902055</v>
      </c>
      <c r="I12" s="38">
        <f>IFERROR(I7/AVERAGE(J3:K3)*30,0)</f>
        <v>232.1161946259986</v>
      </c>
      <c r="J12" s="38">
        <f>IFERROR(J7/AVERAGE(K3:L3)*30,0)</f>
        <v>106.2234533702678</v>
      </c>
      <c r="K12" s="38">
        <f>IFERROR(K7/AVERAGE(L3:M3)*30,0)</f>
        <v>36.11989100817438</v>
      </c>
      <c r="L12" s="38">
        <f>IFERROR(L7/AVERAGE(M3:N3)*30,0)</f>
        <v>26.30600017884289</v>
      </c>
      <c r="M12" s="38">
        <f>IFERROR(M7/M3*30,0)</f>
        <v>0</v>
      </c>
      <c r="N12" s="38">
        <f>IFERROR(N7/AVERAGE(O3:P3)*30,0)</f>
        <v>22.7675083444343</v>
      </c>
      <c r="O12" s="38">
        <f>IFERROR(O7/AVERAGE(P3:Q3)*30,0)</f>
        <v>28.28979354264389</v>
      </c>
      <c r="P12" s="38">
        <f>IFERROR(P7/AVERAGE(Q3:R3)*30,0)</f>
        <v>13.87381517898745</v>
      </c>
      <c r="Q12" s="38">
        <f>IFERROR(Q7/AVERAGE(R3:S3)*30,0)</f>
        <v>20.44334245510748</v>
      </c>
      <c r="R12" s="38">
        <f>IFERROR(R7/AVERAGE(S3:T3)*30,0)</f>
        <v>0</v>
      </c>
      <c r="S12" s="38"/>
      <c r="T12" s="38"/>
      <c r="U12" s="38"/>
      <c r="V12" s="38"/>
      <c r="W12" s="38"/>
      <c r="X12" s="38"/>
      <c r="Y12" s="38"/>
      <c r="Z12" s="38"/>
      <c r="AA12" s="38"/>
      <c r="AB12" s="38"/>
      <c r="AC12" s="38"/>
    </row>
    <row r="13" ht="12" customHeight="1">
      <c r="A13" s="39"/>
      <c r="B13" s="40"/>
      <c r="C13" s="40"/>
      <c r="D13" s="41"/>
      <c r="E13" t="s" s="23">
        <f>A13&amp;D13</f>
      </c>
      <c r="F13" s="42"/>
      <c r="G13" s="40"/>
      <c r="H13" s="40"/>
      <c r="I13" s="40"/>
      <c r="J13" s="40"/>
      <c r="K13" s="40"/>
      <c r="L13" s="40"/>
      <c r="M13" s="40"/>
      <c r="N13" s="40"/>
      <c r="O13" s="40"/>
      <c r="P13" s="40"/>
      <c r="Q13" s="40"/>
      <c r="R13" s="40"/>
      <c r="S13" s="40"/>
      <c r="T13" s="40"/>
      <c r="U13" s="40"/>
      <c r="V13" s="40"/>
      <c r="W13" s="40"/>
      <c r="X13" s="40"/>
      <c r="Y13" s="40"/>
      <c r="Z13" s="40"/>
      <c r="AA13" s="40"/>
      <c r="AB13" s="40"/>
      <c r="AC13" s="43"/>
    </row>
    <row r="14" ht="13.5" customHeight="1">
      <c r="A14" t="s" s="8">
        <v>4</v>
      </c>
      <c r="B14" t="s" s="9">
        <v>5</v>
      </c>
      <c r="C14" t="s" s="9">
        <v>6</v>
      </c>
      <c r="D14" t="s" s="44">
        <v>7</v>
      </c>
      <c r="E14" t="s" s="23">
        <f>A14&amp;D14</f>
        <v>41</v>
      </c>
      <c r="F14" t="s" s="45">
        <v>8</v>
      </c>
      <c r="G14" t="s" s="9">
        <v>9</v>
      </c>
      <c r="H14" t="s" s="9">
        <v>10</v>
      </c>
      <c r="I14" t="s" s="9">
        <v>11</v>
      </c>
      <c r="J14" t="s" s="9">
        <v>1</v>
      </c>
      <c r="K14" t="s" s="9">
        <v>12</v>
      </c>
      <c r="L14" t="s" s="9">
        <v>13</v>
      </c>
      <c r="M14" t="s" s="9">
        <v>14</v>
      </c>
      <c r="N14" t="s" s="9">
        <v>15</v>
      </c>
      <c r="O14" t="s" s="9">
        <v>16</v>
      </c>
      <c r="P14" t="s" s="9">
        <v>17</v>
      </c>
      <c r="Q14" t="s" s="9">
        <v>18</v>
      </c>
      <c r="R14" t="s" s="9">
        <v>8</v>
      </c>
      <c r="S14" t="s" s="9">
        <v>9</v>
      </c>
      <c r="T14" t="s" s="9">
        <v>10</v>
      </c>
      <c r="U14" t="s" s="9">
        <v>11</v>
      </c>
      <c r="V14" t="s" s="9">
        <v>1</v>
      </c>
      <c r="W14" t="s" s="9">
        <v>12</v>
      </c>
      <c r="X14" t="s" s="9">
        <v>13</v>
      </c>
      <c r="Y14" t="s" s="9">
        <v>14</v>
      </c>
      <c r="Z14" t="s" s="9">
        <v>15</v>
      </c>
      <c r="AA14" t="s" s="9">
        <v>16</v>
      </c>
      <c r="AB14" t="s" s="9">
        <v>17</v>
      </c>
      <c r="AC14" t="s" s="11">
        <v>18</v>
      </c>
    </row>
    <row r="15" ht="12.7" customHeight="1">
      <c r="A15" t="s" s="12">
        <v>42</v>
      </c>
      <c r="B15" s="13">
        <v>400010</v>
      </c>
      <c r="C15" t="s" s="14">
        <v>43</v>
      </c>
      <c r="D15" t="s" s="15">
        <v>21</v>
      </c>
      <c r="E15" t="s" s="16">
        <f>A15&amp;D15</f>
        <v>44</v>
      </c>
      <c r="F15" s="17">
        <f>INDEX('Sales Forecast'!$B$5:$B$72,MATCH($A15,'Sales Forecast'!$A$5:$A$72,0))</f>
        <v>15300</v>
      </c>
      <c r="G15" s="17">
        <f>INDEX('Sales Forecast'!$D$5:$D$72,MATCH($A15,'Sales Forecast'!$C$5:$C$72,0))</f>
        <v>5264</v>
      </c>
      <c r="H15" s="17">
        <f>INDEX('Sales Forecast'!$F$5:$F$72,MATCH($A15,'Sales Forecast'!$E$5:$E$72,0))</f>
        <v>6000</v>
      </c>
      <c r="I15" s="17">
        <f>INDEX('Sales Forecast'!$H$5:$H$72,MATCH($A15,'Sales Forecast'!$G$5:$G$72,0))</f>
        <v>6001</v>
      </c>
      <c r="J15" s="17">
        <f>INDEX('Sales Forecast'!$J$5:$J$72,MATCH($A15,'Sales Forecast'!$I$5:$I$72,0))</f>
        <v>6001</v>
      </c>
      <c r="K15" s="17">
        <f>INDEX('Sales Forecast'!$L$5:$L$72,MATCH($A15,'Sales Forecast'!$K$5:$K$72,0))</f>
        <v>6000</v>
      </c>
      <c r="L15" s="17">
        <f>INDEX('Sales Forecast'!$N$5:$N$72,MATCH($A15,'Sales Forecast'!$M$5:$M$72,0))</f>
        <v>6000</v>
      </c>
      <c r="M15" s="17">
        <f>INDEX('Sales Forecast'!$P$5:$P$72,MATCH($A15,'Sales Forecast'!$O$5:$O$72,0))</f>
        <v>14382</v>
      </c>
      <c r="N15" s="17">
        <f>INDEX('Sales Forecast'!$R$5:$R$72,MATCH($A15,'Sales Forecast'!$Q$5:$Q$72,0))</f>
        <v>14176</v>
      </c>
      <c r="O15" s="17">
        <f>INDEX('Sales Forecast'!$T$5:$T$72,MATCH($A15,'Sales Forecast'!$S$5:$S$72,0))</f>
        <v>17981</v>
      </c>
      <c r="P15" s="17">
        <f>INDEX('Sales Forecast'!$V$5:$V$72,MATCH($A15,'Sales Forecast'!$U$5:$U$72,0))</f>
        <v>21453</v>
      </c>
      <c r="Q15" s="17">
        <f>INDEX('Sales Forecast'!$X$5:$X$72,MATCH($A15,'Sales Forecast'!$W$5:$W$72,0))</f>
        <v>24753</v>
      </c>
      <c r="R15" s="17">
        <v>25990.6584</v>
      </c>
      <c r="S15" s="17"/>
      <c r="T15" s="17"/>
      <c r="U15" s="17"/>
      <c r="V15" s="17"/>
      <c r="W15" s="17"/>
      <c r="X15" s="17"/>
      <c r="Y15" s="17"/>
      <c r="Z15" s="17"/>
      <c r="AA15" s="17"/>
      <c r="AB15" s="17"/>
      <c r="AC15" s="17"/>
    </row>
    <row r="16" ht="12.7" customHeight="1">
      <c r="A16" t="s" s="18">
        <v>42</v>
      </c>
      <c r="B16" s="19">
        <v>400010</v>
      </c>
      <c r="C16" t="s" s="20">
        <v>43</v>
      </c>
      <c r="D16" t="s" s="21">
        <v>23</v>
      </c>
      <c r="E16" t="s" s="16">
        <f>A16&amp;D16</f>
        <v>45</v>
      </c>
      <c r="F16" s="22">
        <f>INDEX('Sales Actual'!$B$5:$B$70,MATCH($A16,'Sales Actual'!$A$5:$A$70,0))</f>
        <v>14095</v>
      </c>
      <c r="G16" s="22">
        <f>INDEX('Sales Actual'!$D$5:$D$70,MATCH($A16,'Sales Actual'!$C$5:$C$70,0))</f>
        <v>6146</v>
      </c>
      <c r="H16" s="22">
        <f>INDEX('Sales Actual'!$F$5:$F$70,MATCH($A16,'Sales Actual'!$E$5:$E$70,0))</f>
        <v>6555</v>
      </c>
      <c r="I16" s="22">
        <f>INDEX('Sales Actual'!$H$5:$H$70,MATCH($A16,'Sales Actual'!$G$5:$G$70,0))</f>
        <v>0</v>
      </c>
      <c r="J16" s="22">
        <f>INDEX('Sales Actual'!$J$5:$J$70,MATCH($A16,'Sales Actual'!$I$5:$I$70,0))</f>
        <v>0</v>
      </c>
      <c r="K16" s="22">
        <f>INDEX('Sales Actual'!$L$5:$L$70,MATCH($A16,'Sales Actual'!$K$5:$K$70,0))</f>
        <v>0</v>
      </c>
      <c r="L16" s="22">
        <f>INDEX('Sales Actual'!$N$5:$N$70,MATCH($A16,'Sales Actual'!$M$5:$M$70,0))</f>
        <v>0</v>
      </c>
      <c r="M16" s="22">
        <f>INDEX('Sales Actual'!$P$5:$P$70,MATCH($A16,'Sales Actual'!$O$5:$O$70,0))</f>
        <v>0</v>
      </c>
      <c r="N16" s="22">
        <f>INDEX('Sales Actual'!$R$5:$R$70,MATCH($A16,'Sales Actual'!$Q$5:$Q$70,0))</f>
        <v>0</v>
      </c>
      <c r="O16" s="22">
        <f>INDEX('Sales Actual'!$T$5:$T$70,MATCH($A16,'Sales Actual'!$S$5:$S$70,0))</f>
        <v>0</v>
      </c>
      <c r="P16" s="22">
        <f>INDEX('Sales Actual'!$V$5:$V$70,MATCH($A16,'Sales Actual'!$U$5:$U$70,0))</f>
        <v>0</v>
      </c>
      <c r="Q16" s="22">
        <f>INDEX('Sales Actual'!$X$5:$X$70,MATCH($A16,'Sales Actual'!$W$5:$W$70,0))</f>
        <v>0</v>
      </c>
      <c r="R16" s="22"/>
      <c r="S16" s="22"/>
      <c r="T16" s="22"/>
      <c r="U16" s="22"/>
      <c r="V16" s="22"/>
      <c r="W16" s="22"/>
      <c r="X16" s="22"/>
      <c r="Y16" s="22"/>
      <c r="Z16" s="22"/>
      <c r="AA16" s="22"/>
      <c r="AB16" s="22"/>
      <c r="AC16" s="22"/>
    </row>
    <row r="17" ht="12.7" customHeight="1">
      <c r="A17" t="s" s="18">
        <v>42</v>
      </c>
      <c r="B17" s="19">
        <v>400010</v>
      </c>
      <c r="C17" t="s" s="20">
        <v>43</v>
      </c>
      <c r="D17" t="s" s="21">
        <v>25</v>
      </c>
      <c r="E17" t="s" s="23">
        <f>A17&amp;D17</f>
        <v>46</v>
      </c>
      <c r="F17" s="22">
        <v>6912</v>
      </c>
      <c r="G17" s="22">
        <v>6912</v>
      </c>
      <c r="H17" s="22">
        <v>6912</v>
      </c>
      <c r="I17" s="22">
        <v>11520</v>
      </c>
      <c r="J17" s="22">
        <v>7776</v>
      </c>
      <c r="K17" s="22">
        <v>6480</v>
      </c>
      <c r="L17" s="22">
        <v>6480</v>
      </c>
      <c r="M17" s="22">
        <v>0</v>
      </c>
      <c r="N17" s="22">
        <f t="shared" si="130" ref="N17:N42">144*110</f>
        <v>15840</v>
      </c>
      <c r="O17" s="22">
        <f t="shared" si="131" ref="O17:Q17">144*200</f>
        <v>28800</v>
      </c>
      <c r="P17" s="22">
        <f>144*150</f>
        <v>21600</v>
      </c>
      <c r="Q17" s="22">
        <f t="shared" si="131"/>
        <v>28800</v>
      </c>
      <c r="R17" s="24">
        <v>0</v>
      </c>
      <c r="S17" s="24"/>
      <c r="T17" s="24"/>
      <c r="U17" s="24"/>
      <c r="V17" s="24"/>
      <c r="W17" s="24"/>
      <c r="X17" s="24"/>
      <c r="Y17" s="24"/>
      <c r="Z17" s="24"/>
      <c r="AA17" s="24"/>
      <c r="AB17" s="24"/>
      <c r="AC17" s="24"/>
    </row>
    <row r="18" ht="12.7" customHeight="1">
      <c r="A18" t="s" s="18">
        <v>42</v>
      </c>
      <c r="B18" s="19">
        <v>400010</v>
      </c>
      <c r="C18" t="s" s="20">
        <v>43</v>
      </c>
      <c r="D18" t="s" s="21">
        <v>27</v>
      </c>
      <c r="E18" t="s" s="23">
        <f>A18&amp;D18</f>
        <v>47</v>
      </c>
      <c r="F18" s="22">
        <v>6912</v>
      </c>
      <c r="G18" s="22">
        <v>6912</v>
      </c>
      <c r="H18" s="22">
        <v>6480</v>
      </c>
      <c r="I18" s="22">
        <v>13392</v>
      </c>
      <c r="J18" s="22">
        <v>6192</v>
      </c>
      <c r="K18" s="22">
        <v>6192</v>
      </c>
      <c r="L18" s="22">
        <v>6480</v>
      </c>
      <c r="M18" s="22">
        <v>0</v>
      </c>
      <c r="N18" s="22">
        <f>144*111</f>
        <v>15984</v>
      </c>
      <c r="O18" s="22">
        <f>O17</f>
        <v>28800</v>
      </c>
      <c r="P18" s="22">
        <f>P17</f>
        <v>21600</v>
      </c>
      <c r="Q18" s="22">
        <f>Q17</f>
        <v>28800</v>
      </c>
      <c r="R18" s="24">
        <f>R17</f>
        <v>0</v>
      </c>
      <c r="S18" s="24"/>
      <c r="T18" s="24"/>
      <c r="U18" s="24"/>
      <c r="V18" s="24"/>
      <c r="W18" s="24"/>
      <c r="X18" s="24"/>
      <c r="Y18" s="24"/>
      <c r="Z18" s="24"/>
      <c r="AA18" s="24"/>
      <c r="AB18" s="24"/>
      <c r="AC18" s="24"/>
    </row>
    <row r="19" ht="12.7" customHeight="1">
      <c r="A19" t="s" s="18">
        <v>42</v>
      </c>
      <c r="B19" s="19">
        <v>400010</v>
      </c>
      <c r="C19" t="s" s="20">
        <v>43</v>
      </c>
      <c r="D19" t="s" s="21">
        <v>29</v>
      </c>
      <c r="E19" t="s" s="16">
        <f>A19&amp;D19</f>
        <v>48</v>
      </c>
      <c r="F19" s="22">
        <v>1368</v>
      </c>
      <c r="G19" s="22">
        <v>21097</v>
      </c>
      <c r="H19" s="22">
        <f>G20+H18-(H15-H16)-H23</f>
        <v>10983</v>
      </c>
      <c r="I19" s="22">
        <f>IF((H20+I18-I15-I23)&lt;0,0,(H20+I18-I15-I23))</f>
        <v>13410</v>
      </c>
      <c r="J19" s="22">
        <f>IF((I19+J18-(J15-J16)-J23)&lt;0,0,(I19+J18-(J15-J16)-J23))</f>
        <v>13601</v>
      </c>
      <c r="K19" s="22">
        <f>IF((J19+K18-(K15-K16)-K23)&lt;0,0,(J19+K18-(K15-K16)-K23))</f>
        <v>13793</v>
      </c>
      <c r="L19" s="22">
        <f>IF((K19+L18-(L15-L16)-L23)&lt;0,0,(K19+L18-(L15-L16)-L23))</f>
        <v>14273</v>
      </c>
      <c r="M19" s="22">
        <f>IF((L19+M18-(M15-M16)-M23)&lt;0,0,(L19+M18-(M15-M16)-M23))</f>
        <v>0</v>
      </c>
      <c r="N19" s="22">
        <f>IF((M19+N18-(N15-N16)-N23)&lt;0,0,(M19+N18-(N15-N16)-N23))</f>
        <v>1808</v>
      </c>
      <c r="O19" s="22">
        <f>IF((N19+O18-(O15-O16)-O23)&lt;0,0,(N19+O18-(O15-O16)-O23))</f>
        <v>12627</v>
      </c>
      <c r="P19" s="22">
        <f>IF((O19+P18-(P15-P16)-P23)&lt;0,0,(O19+P18-(P15-P16)-P23))</f>
        <v>12774</v>
      </c>
      <c r="Q19" s="22">
        <f>IF((P19+Q18-(Q15-Q16)-Q23)&lt;0,0,(P19+Q18-(Q15-Q16)-Q23))</f>
        <v>16821</v>
      </c>
      <c r="R19" s="22">
        <f>IF((Q19+R18-(R15-R16)-R23)&lt;0,0,(Q19+R18-(R15-R16)-R23))</f>
        <v>0</v>
      </c>
      <c r="S19" s="22"/>
      <c r="T19" s="22"/>
      <c r="U19" s="22"/>
      <c r="V19" s="22"/>
      <c r="W19" s="22"/>
      <c r="X19" s="22"/>
      <c r="Y19" s="22"/>
      <c r="Z19" s="22"/>
      <c r="AA19" s="22"/>
      <c r="AB19" s="22"/>
      <c r="AC19" s="22"/>
    </row>
    <row r="20" ht="12.7" customHeight="1">
      <c r="A20" t="s" s="18">
        <v>42</v>
      </c>
      <c r="B20" s="19">
        <v>400010</v>
      </c>
      <c r="C20" t="s" s="20">
        <v>43</v>
      </c>
      <c r="D20" t="s" s="21">
        <v>31</v>
      </c>
      <c r="E20" t="s" s="16">
        <f>A20&amp;D20</f>
        <v>49</v>
      </c>
      <c r="F20" s="22">
        <f>INDEX('Actual Stock'!$B$5:$B$70,MATCH($A20,'Actual Stock'!$A$5:$A$70,0))</f>
        <v>13651</v>
      </c>
      <c r="G20" s="22">
        <f>INDEX('Actual Stock'!$D$5:$D$70,MATCH($A20,'Actual Stock'!$C$5:$C$70,0))</f>
        <v>3948</v>
      </c>
      <c r="H20" s="22">
        <f>INDEX('Actual Stock'!$F$5:$F$70,MATCH($A20,'Actual Stock'!$E$5:$E$70,0))</f>
        <v>6019</v>
      </c>
      <c r="I20" s="22">
        <f>INDEX('Actual Stock'!$H$5:$H$70,MATCH($A20,'Actual Stock'!$G$5:$G$70,0))</f>
        <v>0</v>
      </c>
      <c r="J20" s="22">
        <f>INDEX('Actual Stock'!$J$5:$J$70,MATCH($A20,'Actual Stock'!$I$5:$I$70,0))</f>
        <v>0</v>
      </c>
      <c r="K20" s="22">
        <f>INDEX('Actual Stock'!$L$5:$L$70,MATCH($A20,'Actual Stock'!$K$5:$K$70,0))</f>
        <v>0</v>
      </c>
      <c r="L20" s="22">
        <f>INDEX('Actual Stock'!$N$5:$N$70,MATCH($A20,'Actual Stock'!$M$5:$M$70,0))</f>
        <v>0</v>
      </c>
      <c r="M20" s="22">
        <f>INDEX('Actual Stock'!$P$5:$P$70,MATCH($A20,'Actual Stock'!$O$5:$O$70,0))</f>
        <v>0</v>
      </c>
      <c r="N20" s="22">
        <f>INDEX('Actual Stock'!$R$5:$R$70,MATCH($A20,'Actual Stock'!$Q$5:$Q$70,0))</f>
        <v>0</v>
      </c>
      <c r="O20" s="22">
        <f>INDEX('Actual Stock'!$T$5:$T$70,MATCH($A20,'Actual Stock'!$S$5:$S$70,0))</f>
        <v>0</v>
      </c>
      <c r="P20" s="22">
        <f>INDEX('Actual Stock'!$V$5:$V$70,MATCH($A20,'Actual Stock'!$U$5:$U$70,0))</f>
        <v>0</v>
      </c>
      <c r="Q20" s="22">
        <f>INDEX('Actual Stock'!$X$5:$X$70,MATCH($A20,'Actual Stock'!$W$5:$W$70,0))</f>
        <v>0</v>
      </c>
      <c r="R20" s="22"/>
      <c r="S20" s="22"/>
      <c r="T20" s="22"/>
      <c r="U20" s="22"/>
      <c r="V20" s="22"/>
      <c r="W20" s="22"/>
      <c r="X20" s="22"/>
      <c r="Y20" s="22"/>
      <c r="Z20" s="22"/>
      <c r="AA20" s="22"/>
      <c r="AB20" s="22"/>
      <c r="AC20" s="22"/>
    </row>
    <row r="21" ht="12.7" customHeight="1">
      <c r="A21" t="s" s="18">
        <v>42</v>
      </c>
      <c r="B21" s="19">
        <v>400010</v>
      </c>
      <c r="C21" t="s" s="20">
        <v>43</v>
      </c>
      <c r="D21" t="s" s="21">
        <v>33</v>
      </c>
      <c r="E21" t="s" s="23">
        <f>A21&amp;D21</f>
        <v>50</v>
      </c>
      <c r="F21" s="22">
        <v>0</v>
      </c>
      <c r="G21" s="22">
        <v>0</v>
      </c>
      <c r="H21" s="22">
        <v>0</v>
      </c>
      <c r="I21" s="22">
        <f>IF((H19+I18-(I15-I16)-I23)&gt;0,0,(H19+I18-(I15-I16)-I23))</f>
        <v>0</v>
      </c>
      <c r="J21" s="22">
        <f>IF((I19+J18-(J15-J16)-J23)&gt;0,0,(I19+J18-(J15-J16)-J23))</f>
        <v>0</v>
      </c>
      <c r="K21" s="22">
        <f>IF((J19+K18-(K15-K16)-K23)&gt;0,0,(J19+K18-(K15-K16)-K23))</f>
        <v>0</v>
      </c>
      <c r="L21" s="22">
        <f>IF((K19+L18-(L15-L16)-L23)&gt;0,0,(K19+L18-(L15-L16)-L23))</f>
        <v>0</v>
      </c>
      <c r="M21" s="22">
        <f>IF((L19+M18-(M15-M16)-M23)&gt;0,0,(L19+M18-(M15-M16)-M23))</f>
        <v>-109</v>
      </c>
      <c r="N21" s="22">
        <f>IF((M19+N18-(N15-N16)-N23)&gt;0,0,(M19+N18-(N15-N16)-N23))</f>
        <v>0</v>
      </c>
      <c r="O21" s="22">
        <f>IF((N19+O18-(O15-O16)-O23)&gt;0,0,(N19+O18-(O15-O16)-O23))</f>
        <v>0</v>
      </c>
      <c r="P21" s="46"/>
      <c r="Q21" s="47"/>
      <c r="R21" s="24">
        <f>IF((Q19+R18-(R15-R16)-R23)&gt;0,0,(Q19+R18-(R15-R16)-R23))</f>
        <v>-9169.6584</v>
      </c>
      <c r="S21" s="24"/>
      <c r="T21" s="24"/>
      <c r="U21" s="24"/>
      <c r="V21" s="24"/>
      <c r="W21" s="24"/>
      <c r="X21" s="24"/>
      <c r="Y21" s="24"/>
      <c r="Z21" s="24"/>
      <c r="AA21" s="24"/>
      <c r="AB21" s="24"/>
      <c r="AC21" s="24"/>
    </row>
    <row r="22" ht="12.7" customHeight="1">
      <c r="A22" t="s" s="18">
        <v>42</v>
      </c>
      <c r="B22" s="19">
        <v>400010</v>
      </c>
      <c r="C22" t="s" s="20">
        <v>43</v>
      </c>
      <c r="D22" t="s" s="21">
        <v>35</v>
      </c>
      <c r="E22" t="s" s="23">
        <f>A22&amp;D22</f>
        <v>51</v>
      </c>
      <c r="F22" s="25">
        <f>INDEX('Issued by date'!$B$5:$B$70,MATCH($A22,'Issued by date'!$A$5:$A$70,0))</f>
        <v>0</v>
      </c>
      <c r="G22" s="26">
        <f>INDEX('Issued by date'!$D$5:$D$70,MATCH($A22,'Issued by date'!$C$5:$C$70,0))</f>
        <v>0</v>
      </c>
      <c r="H22" s="22">
        <f>INDEX('Issued by date'!$F$5:$F$70,MATCH($A22,'Issued by date'!$E$5:$E$70,0))</f>
        <v>0</v>
      </c>
      <c r="I22" s="22">
        <f>INDEX('Issued by date'!$H$5:$H$70,MATCH($A22,'Issued by date'!$G$5:$G$70,0))</f>
        <v>0</v>
      </c>
      <c r="J22" s="22">
        <f>INDEX('Issued by date'!$J$5:$J$70,MATCH($A22,'Issued by date'!$I$5:$I$70,0))</f>
        <v>3492</v>
      </c>
      <c r="K22" s="22">
        <f>INDEX('Issued by date'!$L$5:$L$70,MATCH($A22,'Issued by date'!$K$5:$K$70,0))</f>
        <v>0</v>
      </c>
      <c r="L22" s="22">
        <f>INDEX('Issued by date'!$N$5:$N$70,MATCH($A22,'Issued by date'!$M$5:$M$70,0))</f>
        <v>0</v>
      </c>
      <c r="M22" s="22">
        <f>INDEX('Issued by date'!$P$5:$P$70,MATCH($A22,'Issued by date'!$O$5:$O$70,0))</f>
        <v>0</v>
      </c>
      <c r="N22" s="27">
        <f>INDEX('Issued by date'!$R$5:$R$70,MATCH($A22,'Issued by date'!$Q$5:$Q$70,0))</f>
        <v>0</v>
      </c>
      <c r="O22" s="28">
        <f>INDEX('Issued by date'!$F$5:$F$70,MATCH($A22,'Issued by date'!$E$5:$E$70,0))</f>
        <v>0</v>
      </c>
      <c r="P22" s="28">
        <f>INDEX('Issued by date'!$V$5:$V$70,MATCH($A22,'Issued by date'!$U$5:$U$70,0))</f>
        <v>0</v>
      </c>
      <c r="Q22" s="29">
        <f>INDEX('Issued by date'!$X$5:$X$70,MATCH($A22,'Issued by date'!$W$5:$W$70,0))</f>
        <v>0</v>
      </c>
      <c r="R22" s="24"/>
      <c r="S22" s="24"/>
      <c r="T22" s="24"/>
      <c r="U22" s="24"/>
      <c r="V22" s="24"/>
      <c r="W22" s="24"/>
      <c r="X22" s="24"/>
      <c r="Y22" s="24"/>
      <c r="Z22" s="24"/>
      <c r="AA22" s="24"/>
      <c r="AB22" s="24"/>
      <c r="AC22" s="24"/>
    </row>
    <row r="23" ht="12.7" customHeight="1">
      <c r="A23" t="s" s="18">
        <v>42</v>
      </c>
      <c r="B23" s="19">
        <v>400010</v>
      </c>
      <c r="C23" t="s" s="20">
        <v>43</v>
      </c>
      <c r="D23" t="s" s="21">
        <v>37</v>
      </c>
      <c r="E23" t="s" s="23">
        <f>A23&amp;D23</f>
        <v>52</v>
      </c>
      <c r="F23" s="48"/>
      <c r="G23" s="30">
        <v>6556</v>
      </c>
      <c r="H23" s="22">
        <f>IF(H22&gt;0,IF((H22-H15)&gt;0,(H22-H15),0),0)</f>
        <v>0</v>
      </c>
      <c r="I23" s="22">
        <f>IF(I22&gt;0,IF((I22-I15)&gt;0,(I22-I15),0),0)</f>
        <v>0</v>
      </c>
      <c r="J23" s="22">
        <f>IF(J22&gt;0,IF((J22-J15)&gt;0,(J22-J15),0),0)</f>
        <v>0</v>
      </c>
      <c r="K23" s="22">
        <v>0</v>
      </c>
      <c r="L23" s="46"/>
      <c r="M23" s="49"/>
      <c r="N23" s="32"/>
      <c r="O23" s="32"/>
      <c r="P23" s="32"/>
      <c r="Q23" s="33"/>
      <c r="R23" s="24"/>
      <c r="S23" s="24"/>
      <c r="T23" s="24"/>
      <c r="U23" s="24"/>
      <c r="V23" s="24"/>
      <c r="W23" s="24"/>
      <c r="X23" s="24"/>
      <c r="Y23" s="24"/>
      <c r="Z23" s="24"/>
      <c r="AA23" s="24"/>
      <c r="AB23" s="24"/>
      <c r="AC23" s="24"/>
    </row>
    <row r="24" ht="12.7" customHeight="1">
      <c r="A24" t="s" s="34">
        <v>42</v>
      </c>
      <c r="B24" s="35">
        <v>400010</v>
      </c>
      <c r="C24" t="s" s="36">
        <v>43</v>
      </c>
      <c r="D24" t="s" s="37">
        <v>39</v>
      </c>
      <c r="E24" t="s" s="16">
        <f>A24&amp;D24</f>
        <v>53</v>
      </c>
      <c r="F24" s="38">
        <f>IFERROR(F20/AVERAGE(G15:H15)*30,0)</f>
        <v>72.71484375</v>
      </c>
      <c r="G24" s="38">
        <f>IFERROR(G20/AVERAGE(H15:I15)*30,0)</f>
        <v>19.73835513707191</v>
      </c>
      <c r="H24" s="38">
        <f>IFERROR(H19/AVERAGE(I15:J15)*30,0)</f>
        <v>54.90584902516247</v>
      </c>
      <c r="I24" s="38">
        <f>IFERROR(I19/AVERAGE(J15:K15)*30,0)</f>
        <v>67.0444129655862</v>
      </c>
      <c r="J24" s="38">
        <f>IFERROR(J19/AVERAGE(K15:L15)*30,0)</f>
        <v>68.00500000000001</v>
      </c>
      <c r="K24" s="38">
        <f>IFERROR(K19/AVERAGE(L15:M15)*30,0)</f>
        <v>40.60347365322343</v>
      </c>
      <c r="L24" s="38">
        <f>IFERROR(L19/AVERAGE(M15:N15)*30,0)</f>
        <v>29.98739407521535</v>
      </c>
      <c r="M24" s="38">
        <f>IFERROR(M19/AVERAGE(N15:O15)*30,0)</f>
        <v>0</v>
      </c>
      <c r="N24" s="38">
        <f>IFERROR(N19/AVERAGE(O15:P15)*30,0)</f>
        <v>2.750925597200386</v>
      </c>
      <c r="O24" s="38">
        <f>IFERROR(O19/AVERAGE(P15:Q15)*30,0)</f>
        <v>16.39657187378263</v>
      </c>
      <c r="P24" s="38">
        <f>IFERROR(P19/AVERAGE(Q15:R15)*30,0)</f>
        <v>15.10415338914547</v>
      </c>
      <c r="Q24" s="38">
        <f>IFERROR(Q19/AVERAGE(R15:S15)*30,0)</f>
        <v>19.41582210937757</v>
      </c>
      <c r="R24" s="38">
        <f>IFERROR(R19/AVERAGE(S15:T15)*30,0)</f>
        <v>0</v>
      </c>
      <c r="S24" s="38"/>
      <c r="T24" s="38"/>
      <c r="U24" s="38"/>
      <c r="V24" s="38"/>
      <c r="W24" s="38"/>
      <c r="X24" s="38"/>
      <c r="Y24" s="38"/>
      <c r="Z24" s="38"/>
      <c r="AA24" s="38"/>
      <c r="AB24" s="38"/>
      <c r="AC24" s="38"/>
    </row>
    <row r="25" ht="12" customHeight="1">
      <c r="A25" s="39"/>
      <c r="B25" s="40"/>
      <c r="C25" s="40"/>
      <c r="D25" s="41"/>
      <c r="E25" t="s" s="23">
        <f>A25&amp;D25</f>
      </c>
      <c r="F25" s="42"/>
      <c r="G25" s="40"/>
      <c r="H25" s="40"/>
      <c r="I25" s="40"/>
      <c r="J25" s="40"/>
      <c r="K25" s="40"/>
      <c r="L25" s="40"/>
      <c r="M25" s="40"/>
      <c r="N25" s="40"/>
      <c r="O25" s="40"/>
      <c r="P25" s="40"/>
      <c r="Q25" s="40"/>
      <c r="R25" s="40"/>
      <c r="S25" s="40"/>
      <c r="T25" s="40"/>
      <c r="U25" s="40"/>
      <c r="V25" s="40"/>
      <c r="W25" s="40"/>
      <c r="X25" s="40"/>
      <c r="Y25" s="40"/>
      <c r="Z25" s="40"/>
      <c r="AA25" s="40"/>
      <c r="AB25" s="40"/>
      <c r="AC25" s="43"/>
    </row>
    <row r="26" ht="13.5" customHeight="1">
      <c r="A26" t="s" s="8">
        <v>4</v>
      </c>
      <c r="B26" t="s" s="9">
        <v>5</v>
      </c>
      <c r="C26" t="s" s="9">
        <v>6</v>
      </c>
      <c r="D26" t="s" s="44">
        <v>7</v>
      </c>
      <c r="E26" t="s" s="23">
        <f>A26&amp;D26</f>
        <v>41</v>
      </c>
      <c r="F26" t="s" s="45">
        <v>8</v>
      </c>
      <c r="G26" t="s" s="9">
        <v>9</v>
      </c>
      <c r="H26" t="s" s="9">
        <v>10</v>
      </c>
      <c r="I26" t="s" s="9">
        <v>11</v>
      </c>
      <c r="J26" t="s" s="9">
        <v>1</v>
      </c>
      <c r="K26" t="s" s="9">
        <v>12</v>
      </c>
      <c r="L26" t="s" s="9">
        <v>13</v>
      </c>
      <c r="M26" t="s" s="9">
        <v>14</v>
      </c>
      <c r="N26" t="s" s="9">
        <v>15</v>
      </c>
      <c r="O26" t="s" s="9">
        <v>16</v>
      </c>
      <c r="P26" t="s" s="9">
        <v>17</v>
      </c>
      <c r="Q26" t="s" s="9">
        <v>18</v>
      </c>
      <c r="R26" t="s" s="9">
        <v>8</v>
      </c>
      <c r="S26" t="s" s="9">
        <v>9</v>
      </c>
      <c r="T26" t="s" s="9">
        <v>10</v>
      </c>
      <c r="U26" t="s" s="9">
        <v>11</v>
      </c>
      <c r="V26" t="s" s="9">
        <v>1</v>
      </c>
      <c r="W26" t="s" s="9">
        <v>12</v>
      </c>
      <c r="X26" t="s" s="9">
        <v>13</v>
      </c>
      <c r="Y26" t="s" s="9">
        <v>14</v>
      </c>
      <c r="Z26" t="s" s="9">
        <v>15</v>
      </c>
      <c r="AA26" t="s" s="9">
        <v>16</v>
      </c>
      <c r="AB26" t="s" s="9">
        <v>17</v>
      </c>
      <c r="AC26" t="s" s="11">
        <v>18</v>
      </c>
    </row>
    <row r="27" ht="12.7" customHeight="1">
      <c r="A27" t="s" s="12">
        <v>54</v>
      </c>
      <c r="B27" s="13">
        <v>400011</v>
      </c>
      <c r="C27" t="s" s="14">
        <v>55</v>
      </c>
      <c r="D27" t="s" s="15">
        <v>21</v>
      </c>
      <c r="E27" t="s" s="16">
        <f>A27&amp;D27</f>
        <v>56</v>
      </c>
      <c r="F27" s="17">
        <f>INDEX('Sales Forecast'!$B$5:$B$72,MATCH($A27,'Sales Forecast'!$A$5:$A$72,0))</f>
        <v>20300</v>
      </c>
      <c r="G27" s="17">
        <f>INDEX('Sales Forecast'!$D$5:$D$72,MATCH($A27,'Sales Forecast'!$C$5:$C$72,0))</f>
        <v>5264</v>
      </c>
      <c r="H27" s="17">
        <f>INDEX('Sales Forecast'!$F$5:$F$72,MATCH($A27,'Sales Forecast'!$E$5:$E$72,0))</f>
        <v>8345</v>
      </c>
      <c r="I27" s="17">
        <f>INDEX('Sales Forecast'!$H$5:$H$72,MATCH($A27,'Sales Forecast'!$G$5:$G$72,0))</f>
        <v>6775</v>
      </c>
      <c r="J27" s="17">
        <f>INDEX('Sales Forecast'!$J$5:$J$72,MATCH($A27,'Sales Forecast'!$I$5:$I$72,0))</f>
        <v>7390</v>
      </c>
      <c r="K27" s="17">
        <f>INDEX('Sales Forecast'!$L$5:$L$72,MATCH($A27,'Sales Forecast'!$K$5:$K$72,0))</f>
        <v>5000</v>
      </c>
      <c r="L27" s="17">
        <f>INDEX('Sales Forecast'!$N$5:$N$72,MATCH($A27,'Sales Forecast'!$M$5:$M$72,0))</f>
        <v>6724</v>
      </c>
      <c r="M27" s="17">
        <f>INDEX('Sales Forecast'!$P$5:$P$72,MATCH($A27,'Sales Forecast'!$O$5:$O$72,0))</f>
        <v>14358</v>
      </c>
      <c r="N27" s="17">
        <f>INDEX('Sales Forecast'!$R$5:$R$72,MATCH($A27,'Sales Forecast'!$Q$5:$Q$72,0))</f>
        <v>10055</v>
      </c>
      <c r="O27" s="17">
        <f>INDEX('Sales Forecast'!$T$5:$T$72,MATCH($A27,'Sales Forecast'!$S$5:$S$72,0))</f>
        <v>9746</v>
      </c>
      <c r="P27" s="17">
        <f>INDEX('Sales Forecast'!$V$5:$V$72,MATCH($A27,'Sales Forecast'!$U$5:$U$72,0))</f>
        <v>15186</v>
      </c>
      <c r="Q27" s="17">
        <f>INDEX('Sales Forecast'!$X$5:$X$72,MATCH($A27,'Sales Forecast'!$W$5:$W$72,0))</f>
        <v>21553</v>
      </c>
      <c r="R27" s="17">
        <v>22630.5618</v>
      </c>
      <c r="S27" s="17"/>
      <c r="T27" s="17"/>
      <c r="U27" s="17"/>
      <c r="V27" s="17"/>
      <c r="W27" s="17"/>
      <c r="X27" s="17"/>
      <c r="Y27" s="17"/>
      <c r="Z27" s="17"/>
      <c r="AA27" s="17"/>
      <c r="AB27" s="17"/>
      <c r="AC27" s="17"/>
    </row>
    <row r="28" ht="12.7" customHeight="1">
      <c r="A28" t="s" s="18">
        <v>54</v>
      </c>
      <c r="B28" s="19">
        <v>400011</v>
      </c>
      <c r="C28" t="s" s="20">
        <v>55</v>
      </c>
      <c r="D28" t="s" s="21">
        <v>23</v>
      </c>
      <c r="E28" t="s" s="16">
        <f>A28&amp;D28</f>
        <v>57</v>
      </c>
      <c r="F28" s="22">
        <f>INDEX('Sales Actual'!$B$5:$B$70,MATCH($A28,'Sales Actual'!$A$5:$A$70,0))</f>
        <v>13858</v>
      </c>
      <c r="G28" s="22">
        <f>INDEX('Sales Actual'!$D$5:$D$70,MATCH($A28,'Sales Actual'!$C$5:$C$70,0))</f>
        <v>18209</v>
      </c>
      <c r="H28" s="22">
        <f>INDEX('Sales Actual'!$F$5:$F$70,MATCH($A28,'Sales Actual'!$E$5:$E$70,0))</f>
        <v>9530</v>
      </c>
      <c r="I28" s="22">
        <f>INDEX('Sales Actual'!$H$5:$H$70,MATCH($A28,'Sales Actual'!$G$5:$G$70,0))</f>
        <v>0</v>
      </c>
      <c r="J28" s="22">
        <f>INDEX('Sales Actual'!$J$5:$J$70,MATCH($A28,'Sales Actual'!$I$5:$I$70,0))</f>
        <v>0</v>
      </c>
      <c r="K28" s="22">
        <f>INDEX('Sales Actual'!$L$5:$L$70,MATCH($A28,'Sales Actual'!$K$5:$K$70,0))</f>
        <v>0</v>
      </c>
      <c r="L28" s="22">
        <f>INDEX('Sales Actual'!$N$5:$N$70,MATCH($A28,'Sales Actual'!$M$5:$M$70,0))</f>
        <v>0</v>
      </c>
      <c r="M28" s="22">
        <f>INDEX('Sales Actual'!$P$5:$P$70,MATCH($A28,'Sales Actual'!$O$5:$O$70,0))</f>
        <v>0</v>
      </c>
      <c r="N28" s="22">
        <f>INDEX('Sales Actual'!$R$5:$R$70,MATCH($A28,'Sales Actual'!$Q$5:$Q$70,0))</f>
        <v>0</v>
      </c>
      <c r="O28" s="22">
        <f>INDEX('Sales Actual'!$T$5:$T$70,MATCH($A28,'Sales Actual'!$S$5:$S$70,0))</f>
        <v>0</v>
      </c>
      <c r="P28" s="22">
        <f>INDEX('Sales Actual'!$V$5:$V$70,MATCH($A28,'Sales Actual'!$U$5:$U$70,0))</f>
        <v>0</v>
      </c>
      <c r="Q28" s="22">
        <f>INDEX('Sales Actual'!$X$5:$X$70,MATCH($A28,'Sales Actual'!$W$5:$W$70,0))</f>
        <v>0</v>
      </c>
      <c r="R28" s="22"/>
      <c r="S28" s="22"/>
      <c r="T28" s="22"/>
      <c r="U28" s="22"/>
      <c r="V28" s="22"/>
      <c r="W28" s="22"/>
      <c r="X28" s="22"/>
      <c r="Y28" s="22"/>
      <c r="Z28" s="22"/>
      <c r="AA28" s="22"/>
      <c r="AB28" s="22"/>
      <c r="AC28" s="22"/>
    </row>
    <row r="29" ht="12.7" customHeight="1">
      <c r="A29" t="s" s="18">
        <v>54</v>
      </c>
      <c r="B29" s="19">
        <v>400011</v>
      </c>
      <c r="C29" t="s" s="20">
        <v>55</v>
      </c>
      <c r="D29" t="s" s="21">
        <v>25</v>
      </c>
      <c r="E29" t="s" s="23">
        <f>A29&amp;D29</f>
        <v>58</v>
      </c>
      <c r="F29" s="22">
        <v>7776</v>
      </c>
      <c r="G29" s="22">
        <v>7776</v>
      </c>
      <c r="H29" s="22">
        <v>7776</v>
      </c>
      <c r="I29" s="22">
        <v>9360</v>
      </c>
      <c r="J29" s="22">
        <v>7776</v>
      </c>
      <c r="K29" s="22">
        <v>7200</v>
      </c>
      <c r="L29" s="22">
        <v>6480</v>
      </c>
      <c r="M29" s="22">
        <v>4000</v>
      </c>
      <c r="N29" s="22">
        <f t="shared" si="234" ref="N29:P29">144*120</f>
        <v>17280</v>
      </c>
      <c r="O29" s="22">
        <f>144*70</f>
        <v>10080</v>
      </c>
      <c r="P29" s="22">
        <f t="shared" si="234"/>
        <v>17280</v>
      </c>
      <c r="Q29" s="22">
        <f>144*180</f>
        <v>25920</v>
      </c>
      <c r="R29" s="24">
        <v>0</v>
      </c>
      <c r="S29" s="24"/>
      <c r="T29" s="24"/>
      <c r="U29" s="24"/>
      <c r="V29" s="24"/>
      <c r="W29" s="24"/>
      <c r="X29" s="24"/>
      <c r="Y29" s="24"/>
      <c r="Z29" s="24"/>
      <c r="AA29" s="24"/>
      <c r="AB29" s="24"/>
      <c r="AC29" s="24"/>
    </row>
    <row r="30" ht="12.7" customHeight="1">
      <c r="A30" t="s" s="18">
        <v>54</v>
      </c>
      <c r="B30" s="19">
        <v>400011</v>
      </c>
      <c r="C30" t="s" s="20">
        <v>55</v>
      </c>
      <c r="D30" t="s" s="21">
        <v>27</v>
      </c>
      <c r="E30" t="s" s="23">
        <f>A30&amp;D30</f>
        <v>59</v>
      </c>
      <c r="F30" s="22">
        <v>7776</v>
      </c>
      <c r="G30" s="22">
        <v>7776</v>
      </c>
      <c r="H30" s="22">
        <v>7344</v>
      </c>
      <c r="I30" s="22">
        <v>7056</v>
      </c>
      <c r="J30" s="22">
        <v>7056</v>
      </c>
      <c r="K30" s="22">
        <v>6912</v>
      </c>
      <c r="L30" s="22">
        <v>6480</v>
      </c>
      <c r="M30" s="22">
        <v>0</v>
      </c>
      <c r="N30" s="22">
        <f>144*128</f>
        <v>18432</v>
      </c>
      <c r="O30" s="22">
        <f>O29</f>
        <v>10080</v>
      </c>
      <c r="P30" s="22">
        <f>P29</f>
        <v>17280</v>
      </c>
      <c r="Q30" s="22">
        <f>Q29</f>
        <v>25920</v>
      </c>
      <c r="R30" s="24">
        <f>R29</f>
        <v>0</v>
      </c>
      <c r="S30" s="24"/>
      <c r="T30" s="24"/>
      <c r="U30" s="24"/>
      <c r="V30" s="24"/>
      <c r="W30" s="24"/>
      <c r="X30" s="24"/>
      <c r="Y30" s="24"/>
      <c r="Z30" s="24"/>
      <c r="AA30" s="24"/>
      <c r="AB30" s="24"/>
      <c r="AC30" s="24"/>
    </row>
    <row r="31" ht="12.7" customHeight="1">
      <c r="A31" t="s" s="18">
        <v>54</v>
      </c>
      <c r="B31" s="19">
        <v>400011</v>
      </c>
      <c r="C31" t="s" s="20">
        <v>55</v>
      </c>
      <c r="D31" t="s" s="21">
        <v>29</v>
      </c>
      <c r="E31" t="s" s="16">
        <f>A31&amp;D31</f>
        <v>60</v>
      </c>
      <c r="F31" s="22">
        <v>140</v>
      </c>
      <c r="G31" s="22">
        <v>29092</v>
      </c>
      <c r="H31" s="22">
        <f>G32+H30-(H27-H28)-H35</f>
        <v>12933</v>
      </c>
      <c r="I31" s="22">
        <f>IF((H32+I30-I27-I35)&lt;0,0,(H32+I30-I27-I35))</f>
        <v>6143</v>
      </c>
      <c r="J31" s="22">
        <f>IF((I31+J30-(J27-J28)-J35)&lt;0,0,(I31+J30-(J27-J28)-J35))</f>
        <v>5809</v>
      </c>
      <c r="K31" s="22">
        <f>IF((J31+K30-(K27-K28)-K35)&lt;0,0,(J31+K30-(K27-K28)-K35))</f>
        <v>7721</v>
      </c>
      <c r="L31" s="22">
        <f>IF((K31+L30-(L27-L28)-L35)&lt;0,0,(K31+L30-(L27-L28)-L35))</f>
        <v>7477</v>
      </c>
      <c r="M31" s="22">
        <f>IF((L31+M30-(M27-M28)-M35)&lt;0,0,(L31+M30-(M27-M28)-M35))</f>
        <v>0</v>
      </c>
      <c r="N31" s="22">
        <f>IF((M31+N30-(N27-N28)-N35)&lt;0,0,(M31+N30-(N27-N28)-N35))</f>
        <v>8377</v>
      </c>
      <c r="O31" s="22">
        <f>IF((N31+O30-(O27-O28)-O35)&lt;0,0,(N31+O30-(O27-O28)-O35))</f>
        <v>8711</v>
      </c>
      <c r="P31" s="22">
        <f>IF((O31+P30-(P27-P28)-P35)&lt;0,0,(O31+P30-(P27-P28)-P35))</f>
        <v>10805</v>
      </c>
      <c r="Q31" s="22">
        <f>IF((P31+Q30-(Q27-Q28)-Q35)&lt;0,0,(P31+Q30-(Q27-Q28)-Q35))</f>
        <v>15172</v>
      </c>
      <c r="R31" s="22">
        <f>IF((Q31+R30-(R27-R28)-R35)&lt;0,0,(Q31+R30-(R27-R28)-R35))</f>
        <v>0</v>
      </c>
      <c r="S31" s="22"/>
      <c r="T31" s="22"/>
      <c r="U31" s="22"/>
      <c r="V31" s="22"/>
      <c r="W31" s="22"/>
      <c r="X31" s="22"/>
      <c r="Y31" s="22"/>
      <c r="Z31" s="22"/>
      <c r="AA31" s="22"/>
      <c r="AB31" s="22"/>
      <c r="AC31" s="22"/>
    </row>
    <row r="32" ht="12.7" customHeight="1">
      <c r="A32" t="s" s="18">
        <v>54</v>
      </c>
      <c r="B32" s="19">
        <v>400011</v>
      </c>
      <c r="C32" t="s" s="20">
        <v>55</v>
      </c>
      <c r="D32" t="s" s="21">
        <v>31</v>
      </c>
      <c r="E32" t="s" s="16">
        <f>A32&amp;D32</f>
        <v>61</v>
      </c>
      <c r="F32" s="22">
        <f>INDEX('Actual Stock'!$B$5:$B$70,MATCH($A32,'Actual Stock'!$A$5:$A$70,0))</f>
        <v>26580</v>
      </c>
      <c r="G32" s="22">
        <f>INDEX('Actual Stock'!$D$5:$D$70,MATCH($A32,'Actual Stock'!$C$5:$C$70,0))</f>
        <v>4404</v>
      </c>
      <c r="H32" s="22">
        <f>INDEX('Actual Stock'!$F$5:$F$70,MATCH($A32,'Actual Stock'!$E$5:$E$70,0))</f>
        <v>5862</v>
      </c>
      <c r="I32" s="22">
        <f>INDEX('Actual Stock'!$H$5:$H$70,MATCH($A32,'Actual Stock'!$G$5:$G$70,0))</f>
        <v>0</v>
      </c>
      <c r="J32" s="22">
        <f>INDEX('Actual Stock'!$J$5:$J$70,MATCH($A32,'Actual Stock'!$I$5:$I$70,0))</f>
        <v>0</v>
      </c>
      <c r="K32" s="22">
        <f>INDEX('Actual Stock'!$L$5:$L$70,MATCH($A32,'Actual Stock'!$K$5:$K$70,0))</f>
        <v>0</v>
      </c>
      <c r="L32" s="22">
        <f>INDEX('Actual Stock'!$N$5:$N$70,MATCH($A32,'Actual Stock'!$M$5:$M$70,0))</f>
        <v>0</v>
      </c>
      <c r="M32" s="22">
        <f>INDEX('Actual Stock'!$P$5:$P$70,MATCH($A32,'Actual Stock'!$O$5:$O$70,0))</f>
        <v>0</v>
      </c>
      <c r="N32" s="22">
        <f>INDEX('Actual Stock'!$R$5:$R$70,MATCH($A32,'Actual Stock'!$Q$5:$Q$70,0))</f>
        <v>0</v>
      </c>
      <c r="O32" s="22">
        <f>INDEX('Actual Stock'!$T$5:$T$70,MATCH($A32,'Actual Stock'!$S$5:$S$70,0))</f>
        <v>0</v>
      </c>
      <c r="P32" s="22">
        <f>INDEX('Actual Stock'!$V$5:$V$70,MATCH($A32,'Actual Stock'!$U$5:$U$70,0))</f>
        <v>0</v>
      </c>
      <c r="Q32" s="22">
        <f>INDEX('Actual Stock'!$X$5:$X$70,MATCH($A32,'Actual Stock'!$W$5:$W$70,0))</f>
        <v>0</v>
      </c>
      <c r="R32" s="22"/>
      <c r="S32" s="22"/>
      <c r="T32" s="22"/>
      <c r="U32" s="22"/>
      <c r="V32" s="22"/>
      <c r="W32" s="22"/>
      <c r="X32" s="22"/>
      <c r="Y32" s="22"/>
      <c r="Z32" s="22"/>
      <c r="AA32" s="22"/>
      <c r="AB32" s="22"/>
      <c r="AC32" s="22"/>
    </row>
    <row r="33" ht="12.7" customHeight="1">
      <c r="A33" t="s" s="18">
        <v>54</v>
      </c>
      <c r="B33" s="19">
        <v>400011</v>
      </c>
      <c r="C33" t="s" s="20">
        <v>55</v>
      </c>
      <c r="D33" t="s" s="21">
        <v>33</v>
      </c>
      <c r="E33" t="s" s="23">
        <f>A33&amp;D33</f>
        <v>62</v>
      </c>
      <c r="F33" s="22">
        <v>0</v>
      </c>
      <c r="G33" s="22">
        <v>0</v>
      </c>
      <c r="H33" s="22">
        <v>0</v>
      </c>
      <c r="I33" s="22">
        <f>IF((H31+I30-(I27-I28)-I35)&gt;0,0,(H31+I30-(I27-I28)-I35))</f>
        <v>0</v>
      </c>
      <c r="J33" s="22">
        <f>IF((I31+J30-(J27-J28)-J35)&gt;0,0,(I31+J30-(J27-J28)-J35))</f>
        <v>0</v>
      </c>
      <c r="K33" s="22">
        <f>IF((J31+K30-(K27-K28)-K35)&gt;0,0,(J31+K30-(K27-K28)-K35))</f>
        <v>0</v>
      </c>
      <c r="L33" s="22">
        <f>IF((K31+L30-(L27-L28)-L35)&gt;0,0,(K31+L30-(L27-L28)-L35))</f>
        <v>0</v>
      </c>
      <c r="M33" s="22">
        <f>IF((L31+M30-(M27-M28)-M35)&gt;0,0,(L31+M30-(M27-M28)-M35))</f>
        <v>-6881</v>
      </c>
      <c r="N33" s="22">
        <f>IF((M31+N30-(N27-N28)-N35)&gt;0,0,(M31+N30-(N27-N28)-N35))</f>
        <v>0</v>
      </c>
      <c r="O33" s="22">
        <f>IF((N31+O30-(O27-O28)-O35)&gt;0,0,(N31+O30-(O27-O28)-O35))</f>
        <v>0</v>
      </c>
      <c r="P33" s="46"/>
      <c r="Q33" s="47"/>
      <c r="R33" s="24">
        <f>IF((Q31+R30-(R27-R28)-R35)&gt;0,0,(Q31+R30-(R27-R28)-R35))</f>
        <v>-7458.561799999999</v>
      </c>
      <c r="S33" s="24"/>
      <c r="T33" s="24"/>
      <c r="U33" s="24"/>
      <c r="V33" s="24"/>
      <c r="W33" s="24"/>
      <c r="X33" s="24"/>
      <c r="Y33" s="24"/>
      <c r="Z33" s="24"/>
      <c r="AA33" s="24"/>
      <c r="AB33" s="24"/>
      <c r="AC33" s="24"/>
    </row>
    <row r="34" ht="12.7" customHeight="1">
      <c r="A34" t="s" s="18">
        <v>54</v>
      </c>
      <c r="B34" s="19">
        <v>400011</v>
      </c>
      <c r="C34" t="s" s="20">
        <v>55</v>
      </c>
      <c r="D34" t="s" s="21">
        <v>35</v>
      </c>
      <c r="E34" t="s" s="23">
        <f>A34&amp;D34</f>
        <v>63</v>
      </c>
      <c r="F34" s="25">
        <f>INDEX('Issued by date'!$B$5:$B$70,MATCH($A34,'Issued by date'!$A$5:$A$70,0))</f>
        <v>0</v>
      </c>
      <c r="G34" s="26">
        <f>INDEX('Issued by date'!$D$5:$D$70,MATCH($A34,'Issued by date'!$C$5:$C$70,0))</f>
        <v>4953</v>
      </c>
      <c r="H34" s="22">
        <f>INDEX('Issued by date'!$F$5:$F$70,MATCH($A34,'Issued by date'!$E$5:$E$70,0))</f>
        <v>0</v>
      </c>
      <c r="I34" s="22">
        <f>INDEX('Issued by date'!$H$5:$H$70,MATCH($A34,'Issued by date'!$G$5:$G$70,0))</f>
        <v>2238</v>
      </c>
      <c r="J34" s="22">
        <f>INDEX('Issued by date'!$J$5:$J$70,MATCH($A34,'Issued by date'!$I$5:$I$70,0))</f>
        <v>0</v>
      </c>
      <c r="K34" s="22">
        <f>INDEX('Issued by date'!$L$5:$L$70,MATCH($A34,'Issued by date'!$K$5:$K$70,0))</f>
        <v>3624</v>
      </c>
      <c r="L34" s="22">
        <f>INDEX('Issued by date'!$N$5:$N$70,MATCH($A34,'Issued by date'!$M$5:$M$70,0))</f>
        <v>0</v>
      </c>
      <c r="M34" s="22">
        <f>INDEX('Issued by date'!$P$5:$P$70,MATCH($A34,'Issued by date'!$O$5:$O$70,0))</f>
        <v>0</v>
      </c>
      <c r="N34" s="27">
        <f>INDEX('Issued by date'!$R$5:$R$70,MATCH($A34,'Issued by date'!$Q$5:$Q$70,0))</f>
        <v>0</v>
      </c>
      <c r="O34" s="28">
        <f>INDEX('Issued by date'!$F$5:$F$70,MATCH($A34,'Issued by date'!$E$5:$E$70,0))</f>
        <v>0</v>
      </c>
      <c r="P34" s="28">
        <f>INDEX('Issued by date'!$V$5:$V$70,MATCH($A34,'Issued by date'!$U$5:$U$70,0))</f>
        <v>0</v>
      </c>
      <c r="Q34" s="29">
        <f>INDEX('Issued by date'!$X$5:$X$70,MATCH($A34,'Issued by date'!$W$5:$W$70,0))</f>
        <v>0</v>
      </c>
      <c r="R34" s="24"/>
      <c r="S34" s="24"/>
      <c r="T34" s="24"/>
      <c r="U34" s="24"/>
      <c r="V34" s="24"/>
      <c r="W34" s="24"/>
      <c r="X34" s="24"/>
      <c r="Y34" s="24"/>
      <c r="Z34" s="24"/>
      <c r="AA34" s="24"/>
      <c r="AB34" s="24"/>
      <c r="AC34" s="24"/>
    </row>
    <row r="35" ht="12.7" customHeight="1">
      <c r="A35" t="s" s="18">
        <v>54</v>
      </c>
      <c r="B35" s="19">
        <v>400011</v>
      </c>
      <c r="C35" t="s" s="20">
        <v>55</v>
      </c>
      <c r="D35" t="s" s="21">
        <v>37</v>
      </c>
      <c r="E35" t="s" s="23">
        <f>A35&amp;D35</f>
        <v>64</v>
      </c>
      <c r="F35" s="22">
        <v>0</v>
      </c>
      <c r="G35" s="30">
        <v>0</v>
      </c>
      <c r="H35" s="22">
        <f>IF(H34&gt;0,IF((H34-H27)&gt;0,(H34-H27),0),0)</f>
        <v>0</v>
      </c>
      <c r="I35" s="22">
        <v>0</v>
      </c>
      <c r="J35" s="22">
        <f>IF(J34&gt;0,IF((J34-J27)&gt;0,(J34-J27),0),0)</f>
        <v>0</v>
      </c>
      <c r="K35" s="22">
        <v>0</v>
      </c>
      <c r="L35" s="22">
        <v>0</v>
      </c>
      <c r="M35" s="22">
        <v>0</v>
      </c>
      <c r="N35" s="31"/>
      <c r="O35" s="32"/>
      <c r="P35" s="32"/>
      <c r="Q35" s="33"/>
      <c r="R35" s="24"/>
      <c r="S35" s="24"/>
      <c r="T35" s="24"/>
      <c r="U35" s="24"/>
      <c r="V35" s="24"/>
      <c r="W35" s="24"/>
      <c r="X35" s="24"/>
      <c r="Y35" s="24"/>
      <c r="Z35" s="24"/>
      <c r="AA35" s="24"/>
      <c r="AB35" s="24"/>
      <c r="AC35" s="24"/>
    </row>
    <row r="36" ht="12.7" customHeight="1">
      <c r="A36" t="s" s="34">
        <v>54</v>
      </c>
      <c r="B36" s="35">
        <v>400011</v>
      </c>
      <c r="C36" t="s" s="36">
        <v>55</v>
      </c>
      <c r="D36" t="s" s="37">
        <v>39</v>
      </c>
      <c r="E36" t="s" s="16">
        <f>A36&amp;D36</f>
        <v>65</v>
      </c>
      <c r="F36" s="38">
        <f>IFERROR(F32/AVERAGE(G27:H27)*30,0)</f>
        <v>117.1871555588214</v>
      </c>
      <c r="G36" s="38">
        <f>IFERROR(G32/AVERAGE(H27:I27)*30,0)</f>
        <v>17.47619047619048</v>
      </c>
      <c r="H36" s="38">
        <f>IFERROR(H31/AVERAGE(I27:J27)*30,0)</f>
        <v>54.78150370631839</v>
      </c>
      <c r="I36" s="38">
        <f>IFERROR(I31/AVERAGE(J27:K27)*30,0)</f>
        <v>29.74818401937046</v>
      </c>
      <c r="J36" s="38">
        <f>IFERROR(J31/AVERAGE(K27:L27)*30,0)</f>
        <v>29.72876151484135</v>
      </c>
      <c r="K36" s="38">
        <f>IFERROR(K31/AVERAGE(L27:M27)*30,0)</f>
        <v>21.97419599658476</v>
      </c>
      <c r="L36" s="38">
        <f>IFERROR(L31/AVERAGE(M27:N27)*30,0)</f>
        <v>18.37627493548519</v>
      </c>
      <c r="M36" s="38">
        <f>IFERROR(M31/AVERAGE(N27:O27)*30,0)</f>
        <v>0</v>
      </c>
      <c r="N36" s="38">
        <f>IFERROR(N31/AVERAGE(O27:P27)*30,0)</f>
        <v>20.1596342050377</v>
      </c>
      <c r="O36" s="38">
        <f>IFERROR(O31/AVERAGE(P27:Q27)*30,0)</f>
        <v>14.22629902828057</v>
      </c>
      <c r="P36" s="38">
        <f>IFERROR(P31/AVERAGE(Q27:R27)*30,0)</f>
        <v>14.67287773074012</v>
      </c>
      <c r="Q36" s="38">
        <f>IFERROR(Q31/AVERAGE(R27:S27)*30,0)</f>
        <v>20.11262486643173</v>
      </c>
      <c r="R36" s="38">
        <f>IFERROR(R31/AVERAGE(S27:T27)*30,0)</f>
        <v>0</v>
      </c>
      <c r="S36" s="38"/>
      <c r="T36" s="38"/>
      <c r="U36" s="38"/>
      <c r="V36" s="38"/>
      <c r="W36" s="38"/>
      <c r="X36" s="38"/>
      <c r="Y36" s="38"/>
      <c r="Z36" s="38"/>
      <c r="AA36" s="38"/>
      <c r="AB36" s="38"/>
      <c r="AC36" s="38"/>
    </row>
    <row r="37" ht="12" customHeight="1">
      <c r="A37" s="39"/>
      <c r="B37" s="40"/>
      <c r="C37" s="40"/>
      <c r="D37" s="41"/>
      <c r="E37" t="s" s="23">
        <f>A37&amp;D37</f>
      </c>
      <c r="F37" s="42"/>
      <c r="G37" s="40"/>
      <c r="H37" s="40"/>
      <c r="I37" s="40"/>
      <c r="J37" s="40"/>
      <c r="K37" s="40"/>
      <c r="L37" s="40"/>
      <c r="M37" s="40"/>
      <c r="N37" s="40"/>
      <c r="O37" s="40"/>
      <c r="P37" s="40"/>
      <c r="Q37" s="40"/>
      <c r="R37" s="40"/>
      <c r="S37" s="40"/>
      <c r="T37" s="40"/>
      <c r="U37" s="40"/>
      <c r="V37" s="40"/>
      <c r="W37" s="40"/>
      <c r="X37" s="40"/>
      <c r="Y37" s="40"/>
      <c r="Z37" s="40"/>
      <c r="AA37" s="40"/>
      <c r="AB37" s="40"/>
      <c r="AC37" s="43"/>
    </row>
    <row r="38" ht="13.5" customHeight="1">
      <c r="A38" t="s" s="8">
        <v>4</v>
      </c>
      <c r="B38" t="s" s="9">
        <v>5</v>
      </c>
      <c r="C38" t="s" s="9">
        <v>6</v>
      </c>
      <c r="D38" t="s" s="44">
        <v>7</v>
      </c>
      <c r="E38" t="s" s="23">
        <f>A38&amp;D38</f>
        <v>41</v>
      </c>
      <c r="F38" t="s" s="45">
        <v>8</v>
      </c>
      <c r="G38" t="s" s="9">
        <v>9</v>
      </c>
      <c r="H38" t="s" s="9">
        <v>10</v>
      </c>
      <c r="I38" t="s" s="9">
        <v>11</v>
      </c>
      <c r="J38" t="s" s="9">
        <v>1</v>
      </c>
      <c r="K38" t="s" s="9">
        <v>12</v>
      </c>
      <c r="L38" t="s" s="9">
        <v>13</v>
      </c>
      <c r="M38" t="s" s="9">
        <v>14</v>
      </c>
      <c r="N38" t="s" s="9">
        <v>15</v>
      </c>
      <c r="O38" t="s" s="9">
        <v>16</v>
      </c>
      <c r="P38" t="s" s="9">
        <v>17</v>
      </c>
      <c r="Q38" t="s" s="9">
        <v>18</v>
      </c>
      <c r="R38" t="s" s="9">
        <v>8</v>
      </c>
      <c r="S38" t="s" s="9">
        <v>9</v>
      </c>
      <c r="T38" t="s" s="9">
        <v>10</v>
      </c>
      <c r="U38" t="s" s="9">
        <v>11</v>
      </c>
      <c r="V38" t="s" s="9">
        <v>1</v>
      </c>
      <c r="W38" t="s" s="9">
        <v>12</v>
      </c>
      <c r="X38" t="s" s="9">
        <v>13</v>
      </c>
      <c r="Y38" t="s" s="9">
        <v>14</v>
      </c>
      <c r="Z38" t="s" s="9">
        <v>15</v>
      </c>
      <c r="AA38" t="s" s="9">
        <v>16</v>
      </c>
      <c r="AB38" t="s" s="9">
        <v>17</v>
      </c>
      <c r="AC38" t="s" s="11">
        <v>18</v>
      </c>
    </row>
    <row r="39" ht="12.7" customHeight="1">
      <c r="A39" t="s" s="12">
        <v>66</v>
      </c>
      <c r="B39" s="50">
        <v>400012</v>
      </c>
      <c r="C39" t="s" s="14">
        <v>67</v>
      </c>
      <c r="D39" t="s" s="15">
        <v>21</v>
      </c>
      <c r="E39" t="s" s="16">
        <f>A39&amp;D39</f>
        <v>68</v>
      </c>
      <c r="F39" s="17">
        <f>INDEX('Sales Forecast'!$B$5:$B$72,MATCH($A39,'Sales Forecast'!$A$5:$A$72,0))</f>
        <v>7300</v>
      </c>
      <c r="G39" s="17">
        <f>INDEX('Sales Forecast'!$D$5:$D$72,MATCH($A39,'Sales Forecast'!$C$5:$C$72,0))</f>
        <v>6424</v>
      </c>
      <c r="H39" s="17">
        <f>INDEX('Sales Forecast'!$F$5:$F$72,MATCH($A39,'Sales Forecast'!$E$5:$E$72,0))</f>
        <v>7853</v>
      </c>
      <c r="I39" s="17">
        <f>INDEX('Sales Forecast'!$H$5:$H$72,MATCH($A39,'Sales Forecast'!$G$5:$G$72,0))</f>
        <v>7235</v>
      </c>
      <c r="J39" s="17">
        <f>INDEX('Sales Forecast'!$J$5:$J$72,MATCH($A39,'Sales Forecast'!$I$5:$I$72,0))</f>
        <v>7290</v>
      </c>
      <c r="K39" s="17">
        <f>INDEX('Sales Forecast'!$L$5:$L$72,MATCH($A39,'Sales Forecast'!$K$5:$K$72,0))</f>
        <v>4800</v>
      </c>
      <c r="L39" s="17">
        <f>INDEX('Sales Forecast'!$N$5:$N$72,MATCH($A39,'Sales Forecast'!$M$5:$M$72,0))</f>
        <v>7944</v>
      </c>
      <c r="M39" s="17">
        <f>INDEX('Sales Forecast'!$P$5:$P$72,MATCH($A39,'Sales Forecast'!$O$5:$O$72,0))</f>
        <v>11109</v>
      </c>
      <c r="N39" s="17">
        <f>INDEX('Sales Forecast'!$R$5:$R$72,MATCH($A39,'Sales Forecast'!$Q$5:$Q$72,0))</f>
        <v>14022</v>
      </c>
      <c r="O39" s="17">
        <f>INDEX('Sales Forecast'!$T$5:$T$72,MATCH($A39,'Sales Forecast'!$S$5:$S$72,0))</f>
        <v>19168</v>
      </c>
      <c r="P39" s="17">
        <f>INDEX('Sales Forecast'!$V$5:$V$72,MATCH($A39,'Sales Forecast'!$U$5:$U$72,0))</f>
        <v>18445</v>
      </c>
      <c r="Q39" s="17">
        <f>INDEX('Sales Forecast'!$X$5:$X$72,MATCH($A39,'Sales Forecast'!$W$5:$W$72,0))</f>
        <v>16338</v>
      </c>
      <c r="R39" s="17">
        <v>17155.1646</v>
      </c>
      <c r="S39" s="17"/>
      <c r="T39" s="17"/>
      <c r="U39" s="17"/>
      <c r="V39" s="17"/>
      <c r="W39" s="17"/>
      <c r="X39" s="17"/>
      <c r="Y39" s="17"/>
      <c r="Z39" s="17"/>
      <c r="AA39" s="17"/>
      <c r="AB39" s="17"/>
      <c r="AC39" s="17"/>
    </row>
    <row r="40" ht="12.7" customHeight="1">
      <c r="A40" t="s" s="18">
        <v>66</v>
      </c>
      <c r="B40" s="19">
        <v>400012</v>
      </c>
      <c r="C40" t="s" s="20">
        <v>67</v>
      </c>
      <c r="D40" t="s" s="21">
        <v>23</v>
      </c>
      <c r="E40" t="s" s="16">
        <f>A40&amp;D40</f>
        <v>69</v>
      </c>
      <c r="F40" s="22">
        <f>INDEX('Sales Actual'!$B$5:$B$70,MATCH($A40,'Sales Actual'!$A$5:$A$70,0))</f>
        <v>8355</v>
      </c>
      <c r="G40" s="22">
        <f>INDEX('Sales Actual'!$D$5:$D$70,MATCH($A40,'Sales Actual'!$C$5:$C$70,0))</f>
        <v>1696</v>
      </c>
      <c r="H40" s="22">
        <f>INDEX('Sales Actual'!$F$5:$F$70,MATCH($A40,'Sales Actual'!$E$5:$E$70,0))</f>
        <v>7300</v>
      </c>
      <c r="I40" s="22">
        <f>INDEX('Sales Actual'!$H$5:$H$70,MATCH($A40,'Sales Actual'!$G$5:$G$70,0))</f>
        <v>0</v>
      </c>
      <c r="J40" s="22">
        <f>INDEX('Sales Actual'!$J$5:$J$70,MATCH($A40,'Sales Actual'!$I$5:$I$70,0))</f>
        <v>0</v>
      </c>
      <c r="K40" s="22">
        <f>INDEX('Sales Actual'!$L$5:$L$70,MATCH($A40,'Sales Actual'!$K$5:$K$70,0))</f>
        <v>0</v>
      </c>
      <c r="L40" s="22">
        <f>INDEX('Sales Actual'!$N$5:$N$70,MATCH($A40,'Sales Actual'!$M$5:$M$70,0))</f>
        <v>0</v>
      </c>
      <c r="M40" s="22">
        <f>INDEX('Sales Actual'!$P$5:$P$70,MATCH($A40,'Sales Actual'!$O$5:$O$70,0))</f>
        <v>0</v>
      </c>
      <c r="N40" s="22">
        <f>INDEX('Sales Actual'!$R$5:$R$70,MATCH($A40,'Sales Actual'!$Q$5:$Q$70,0))</f>
        <v>0</v>
      </c>
      <c r="O40" s="22">
        <f>INDEX('Sales Actual'!$T$5:$T$70,MATCH($A40,'Sales Actual'!$S$5:$S$70,0))</f>
        <v>0</v>
      </c>
      <c r="P40" s="22">
        <f>INDEX('Sales Actual'!$V$5:$V$70,MATCH($A40,'Sales Actual'!$U$5:$U$70,0))</f>
        <v>0</v>
      </c>
      <c r="Q40" s="22">
        <f>INDEX('Sales Actual'!$X$5:$X$70,MATCH($A40,'Sales Actual'!$W$5:$W$70,0))</f>
        <v>0</v>
      </c>
      <c r="R40" s="22"/>
      <c r="S40" s="22"/>
      <c r="T40" s="22"/>
      <c r="U40" s="22"/>
      <c r="V40" s="22"/>
      <c r="W40" s="22"/>
      <c r="X40" s="22"/>
      <c r="Y40" s="22"/>
      <c r="Z40" s="22"/>
      <c r="AA40" s="22"/>
      <c r="AB40" s="22"/>
      <c r="AC40" s="22"/>
    </row>
    <row r="41" ht="12.7" customHeight="1">
      <c r="A41" t="s" s="18">
        <v>66</v>
      </c>
      <c r="B41" s="19">
        <v>400012</v>
      </c>
      <c r="C41" t="s" s="20">
        <v>67</v>
      </c>
      <c r="D41" t="s" s="21">
        <v>25</v>
      </c>
      <c r="E41" t="s" s="23">
        <f>A41&amp;D41</f>
        <v>70</v>
      </c>
      <c r="F41" s="22">
        <v>5184</v>
      </c>
      <c r="G41" s="22">
        <v>5184</v>
      </c>
      <c r="H41" s="22">
        <v>5184</v>
      </c>
      <c r="I41" s="22">
        <v>9360</v>
      </c>
      <c r="J41" s="22">
        <v>6048</v>
      </c>
      <c r="K41" s="22">
        <v>7200</v>
      </c>
      <c r="L41" s="22">
        <v>5040</v>
      </c>
      <c r="M41" s="22">
        <v>15000</v>
      </c>
      <c r="N41" s="22">
        <f t="shared" si="337" ref="N41:P41">144*130</f>
        <v>18720</v>
      </c>
      <c r="O41" s="22">
        <f t="shared" si="337"/>
        <v>18720</v>
      </c>
      <c r="P41" s="22">
        <f t="shared" si="337"/>
        <v>18720</v>
      </c>
      <c r="Q41" s="22">
        <f>144*140</f>
        <v>20160</v>
      </c>
      <c r="R41" s="24">
        <v>0</v>
      </c>
      <c r="S41" s="24"/>
      <c r="T41" s="24"/>
      <c r="U41" s="24"/>
      <c r="V41" s="24"/>
      <c r="W41" s="24"/>
      <c r="X41" s="24"/>
      <c r="Y41" s="24"/>
      <c r="Z41" s="24"/>
      <c r="AA41" s="24"/>
      <c r="AB41" s="24"/>
      <c r="AC41" s="24"/>
    </row>
    <row r="42" ht="12.7" customHeight="1">
      <c r="A42" t="s" s="18">
        <v>66</v>
      </c>
      <c r="B42" s="19">
        <v>400012</v>
      </c>
      <c r="C42" t="s" s="20">
        <v>67</v>
      </c>
      <c r="D42" t="s" s="21">
        <v>27</v>
      </c>
      <c r="E42" t="s" s="23">
        <f>A42&amp;D42</f>
        <v>71</v>
      </c>
      <c r="F42" s="22">
        <v>5184</v>
      </c>
      <c r="G42" s="22">
        <v>5184</v>
      </c>
      <c r="H42" s="22">
        <v>4752</v>
      </c>
      <c r="I42" s="22">
        <v>9648</v>
      </c>
      <c r="J42" s="22">
        <v>4464</v>
      </c>
      <c r="K42" s="22">
        <v>9360</v>
      </c>
      <c r="L42" s="22">
        <v>4608</v>
      </c>
      <c r="M42" s="22">
        <v>14976</v>
      </c>
      <c r="N42" s="22">
        <f t="shared" si="130"/>
        <v>15840</v>
      </c>
      <c r="O42" s="22">
        <f>O41</f>
        <v>18720</v>
      </c>
      <c r="P42" s="22">
        <f>P41</f>
        <v>18720</v>
      </c>
      <c r="Q42" s="22">
        <f>Q41</f>
        <v>20160</v>
      </c>
      <c r="R42" s="24">
        <f>R41</f>
        <v>0</v>
      </c>
      <c r="S42" s="24"/>
      <c r="T42" s="24"/>
      <c r="U42" s="24"/>
      <c r="V42" s="24"/>
      <c r="W42" s="24"/>
      <c r="X42" s="24"/>
      <c r="Y42" s="24"/>
      <c r="Z42" s="24"/>
      <c r="AA42" s="24"/>
      <c r="AB42" s="24"/>
      <c r="AC42" s="24"/>
    </row>
    <row r="43" ht="12.7" customHeight="1">
      <c r="A43" t="s" s="18">
        <v>66</v>
      </c>
      <c r="B43" s="19">
        <v>400012</v>
      </c>
      <c r="C43" t="s" s="20">
        <v>67</v>
      </c>
      <c r="D43" t="s" s="21">
        <v>29</v>
      </c>
      <c r="E43" t="s" s="16">
        <f>A43&amp;D43</f>
        <v>72</v>
      </c>
      <c r="F43" s="22">
        <v>0</v>
      </c>
      <c r="G43" s="22">
        <v>760</v>
      </c>
      <c r="H43" s="22">
        <f>IF((G44+H42-(H39-H40)-H47)&lt;0,0,(G44+H42-(H39-H40)-H47))</f>
        <v>6912</v>
      </c>
      <c r="I43" s="22">
        <f>IF((H44+I42-I39-I47)&lt;0,0,(H44+I42-I39-I47))</f>
        <v>4531</v>
      </c>
      <c r="J43" s="22">
        <f>IF((I43+J42-(J39-J40)-J47)&lt;0,0,(I43+J42-(J39-J40)-J47))</f>
        <v>1705</v>
      </c>
      <c r="K43" s="22">
        <f>IF((J43+K42-(K39-K40)-K47)&lt;0,0,(J43+K42-(K39-K40)-K47))</f>
        <v>6265</v>
      </c>
      <c r="L43" s="22">
        <f>IF((K43+L42-(L39-L40)-L47)&lt;0,0,(K43+L42-(L39-L40)-L47))</f>
        <v>2929</v>
      </c>
      <c r="M43" s="22">
        <f>IF((L43+M42-(M39-M40)-M47)&lt;0,0,(L43+M42-(M39-M40)-M47))</f>
        <v>6796</v>
      </c>
      <c r="N43" s="22">
        <f>IF((M43+N42-(N39-N40)-N47)&lt;0,0,(M43+N42-(N39-N40)-N47))</f>
        <v>8614</v>
      </c>
      <c r="O43" s="22">
        <f>IF((N43+O42-(O39-O40)-O47)&lt;0,0,(N43+O42-(O39-O40)-O47))</f>
        <v>8166</v>
      </c>
      <c r="P43" s="22">
        <f>IF((O43+P42-(P39-P40)-P47)&lt;0,0,(O43+P42-(P39-P40)-P47))</f>
        <v>8441</v>
      </c>
      <c r="Q43" s="22">
        <f>IF((P43+Q42-(Q39-Q40)-Q47)&lt;0,0,(P43+Q42-(Q39-Q40)-Q47))</f>
        <v>12263</v>
      </c>
      <c r="R43" s="22">
        <f>IF((Q43+R42-(R39-R40)-R47)&lt;0,0,(Q43+R42-(R39-R40)-R47))</f>
        <v>0</v>
      </c>
      <c r="S43" s="22"/>
      <c r="T43" s="22"/>
      <c r="U43" s="22"/>
      <c r="V43" s="22"/>
      <c r="W43" s="22"/>
      <c r="X43" s="22"/>
      <c r="Y43" s="22"/>
      <c r="Z43" s="22"/>
      <c r="AA43" s="22"/>
      <c r="AB43" s="22"/>
      <c r="AC43" s="22"/>
    </row>
    <row r="44" ht="12.7" customHeight="1">
      <c r="A44" t="s" s="18">
        <v>66</v>
      </c>
      <c r="B44" s="19">
        <v>400012</v>
      </c>
      <c r="C44" t="s" s="20">
        <v>67</v>
      </c>
      <c r="D44" t="s" s="21">
        <v>31</v>
      </c>
      <c r="E44" t="s" s="16">
        <f>A44&amp;D44</f>
        <v>73</v>
      </c>
      <c r="F44" s="22">
        <f>INDEX('Actual Stock'!$B$5:$B$70,MATCH($A44,'Actual Stock'!$A$5:$A$70,0))</f>
        <v>0</v>
      </c>
      <c r="G44" s="22">
        <f>INDEX('Actual Stock'!$D$5:$D$70,MATCH($A44,'Actual Stock'!$C$5:$C$70,0))</f>
        <v>2713</v>
      </c>
      <c r="H44" s="22">
        <f>INDEX('Actual Stock'!$F$5:$F$70,MATCH($A44,'Actual Stock'!$E$5:$E$70,0))</f>
        <v>2118</v>
      </c>
      <c r="I44" s="22">
        <f>INDEX('Actual Stock'!$H$5:$H$70,MATCH($A44,'Actual Stock'!$G$5:$G$70,0))</f>
        <v>0</v>
      </c>
      <c r="J44" s="22">
        <f>INDEX('Actual Stock'!$J$5:$J$70,MATCH($A44,'Actual Stock'!$I$5:$I$70,0))</f>
        <v>0</v>
      </c>
      <c r="K44" s="22">
        <f>INDEX('Actual Stock'!$L$5:$L$70,MATCH($A44,'Actual Stock'!$K$5:$K$70,0))</f>
        <v>0</v>
      </c>
      <c r="L44" s="22">
        <f>INDEX('Actual Stock'!$N$5:$N$70,MATCH($A44,'Actual Stock'!$M$5:$M$70,0))</f>
        <v>0</v>
      </c>
      <c r="M44" s="22">
        <f>INDEX('Actual Stock'!$P$5:$P$70,MATCH($A44,'Actual Stock'!$O$5:$O$70,0))</f>
        <v>0</v>
      </c>
      <c r="N44" s="22">
        <f>INDEX('Actual Stock'!$R$5:$R$70,MATCH($A44,'Actual Stock'!$Q$5:$Q$70,0))</f>
        <v>0</v>
      </c>
      <c r="O44" s="22">
        <f>INDEX('Actual Stock'!$T$5:$T$70,MATCH($A44,'Actual Stock'!$S$5:$S$70,0))</f>
        <v>0</v>
      </c>
      <c r="P44" s="22">
        <f>INDEX('Actual Stock'!$V$5:$V$70,MATCH($A44,'Actual Stock'!$U$5:$U$70,0))</f>
        <v>0</v>
      </c>
      <c r="Q44" s="22">
        <f>INDEX('Actual Stock'!$X$5:$X$70,MATCH($A44,'Actual Stock'!$W$5:$W$70,0))</f>
        <v>0</v>
      </c>
      <c r="R44" s="22"/>
      <c r="S44" s="22"/>
      <c r="T44" s="22"/>
      <c r="U44" s="22"/>
      <c r="V44" s="22"/>
      <c r="W44" s="22"/>
      <c r="X44" s="22"/>
      <c r="Y44" s="22"/>
      <c r="Z44" s="22"/>
      <c r="AA44" s="22"/>
      <c r="AB44" s="22"/>
      <c r="AC44" s="22"/>
    </row>
    <row r="45" ht="12.7" customHeight="1">
      <c r="A45" t="s" s="18">
        <v>66</v>
      </c>
      <c r="B45" s="19">
        <v>400012</v>
      </c>
      <c r="C45" t="s" s="20">
        <v>67</v>
      </c>
      <c r="D45" t="s" s="21">
        <v>33</v>
      </c>
      <c r="E45" t="s" s="23">
        <f>A45&amp;D45</f>
        <v>74</v>
      </c>
      <c r="F45" s="22"/>
      <c r="G45" s="22">
        <v>0</v>
      </c>
      <c r="H45" s="22">
        <v>0</v>
      </c>
      <c r="I45" s="22">
        <f>IF((H43+I42-(I39-I40)-I47)&gt;0,0,(H43+I42-(I39-I40)-I47))</f>
        <v>0</v>
      </c>
      <c r="J45" s="22">
        <f>IF((I43+J42-(J39-J40)-J47)&gt;0,0,(I43+J42-(J39-J40)-J47))</f>
        <v>0</v>
      </c>
      <c r="K45" s="22">
        <f>IF((J43+K42-(K39-K40)-K47)&gt;0,0,(J43+K42-(K39-K40)-K47))</f>
        <v>0</v>
      </c>
      <c r="L45" s="22">
        <f>IF((K43+L42-(L39-L40)-L47)&gt;0,0,(K43+L42-(L39-L40)-L47))</f>
        <v>0</v>
      </c>
      <c r="M45" s="22">
        <f>IF((L43+M42-(M39-M40)-M47)&gt;0,0,(L43+M42-(M39-M40)-M47))</f>
        <v>0</v>
      </c>
      <c r="N45" s="22">
        <f>IF((M43+N42-(N39-N40)-N47)&gt;0,0,(M43+N42-(N39-N40)-N47))</f>
        <v>0</v>
      </c>
      <c r="O45" s="22">
        <f>IF((N43+O42-(O39-O40)-O47)&gt;0,0,(N43+O42-(O39-O40)-O47))</f>
        <v>0</v>
      </c>
      <c r="P45" s="46"/>
      <c r="Q45" s="47"/>
      <c r="R45" s="24">
        <f>IF((Q43+R42-(R39-R40)-R47)&gt;0,0,(Q43+R42-(R39-R40)-R47))</f>
        <v>-4892.1646</v>
      </c>
      <c r="S45" s="24"/>
      <c r="T45" s="24"/>
      <c r="U45" s="24"/>
      <c r="V45" s="24"/>
      <c r="W45" s="24"/>
      <c r="X45" s="24"/>
      <c r="Y45" s="24"/>
      <c r="Z45" s="24"/>
      <c r="AA45" s="24"/>
      <c r="AB45" s="24"/>
      <c r="AC45" s="24"/>
    </row>
    <row r="46" ht="12.7" customHeight="1">
      <c r="A46" t="s" s="18">
        <v>66</v>
      </c>
      <c r="B46" s="19">
        <v>400012</v>
      </c>
      <c r="C46" t="s" s="20">
        <v>67</v>
      </c>
      <c r="D46" t="s" s="21">
        <v>35</v>
      </c>
      <c r="E46" t="s" s="23">
        <f>A46&amp;D46</f>
        <v>75</v>
      </c>
      <c r="F46" s="25">
        <f>INDEX('Issued by date'!$B$5:$B$70,MATCH($A46,'Issued by date'!$A$5:$A$70,0))</f>
        <v>0</v>
      </c>
      <c r="G46" s="26">
        <f>INDEX('Issued by date'!$D$5:$D$70,MATCH($A46,'Issued by date'!$C$5:$C$70,0))</f>
        <v>0</v>
      </c>
      <c r="H46" s="22">
        <f>INDEX('Issued by date'!$F$5:$F$70,MATCH($A46,'Issued by date'!$E$5:$E$70,0))</f>
        <v>78</v>
      </c>
      <c r="I46" s="22">
        <f>INDEX('Issued by date'!$H$5:$H$70,MATCH($A46,'Issued by date'!$G$5:$G$70,0))</f>
        <v>30</v>
      </c>
      <c r="J46" s="22">
        <f>INDEX('Issued by date'!$J$5:$J$70,MATCH($A46,'Issued by date'!$I$5:$I$70,0))</f>
        <v>2088</v>
      </c>
      <c r="K46" s="22">
        <f>INDEX('Issued by date'!$L$5:$L$70,MATCH($A46,'Issued by date'!$K$5:$K$70,0))</f>
        <v>0</v>
      </c>
      <c r="L46" s="22">
        <f>INDEX('Issued by date'!$N$5:$N$70,MATCH($A46,'Issued by date'!$M$5:$M$70,0))</f>
        <v>0</v>
      </c>
      <c r="M46" s="22">
        <f>INDEX('Issued by date'!$P$5:$P$70,MATCH($A46,'Issued by date'!$O$5:$O$70,0))</f>
        <v>0</v>
      </c>
      <c r="N46" s="27">
        <f>INDEX('Issued by date'!$R$5:$R$70,MATCH($A46,'Issued by date'!$Q$5:$Q$70,0))</f>
        <v>0</v>
      </c>
      <c r="O46" s="28">
        <f>INDEX('Issued by date'!$F$5:$F$70,MATCH($A46,'Issued by date'!$E$5:$E$70,0))</f>
        <v>78</v>
      </c>
      <c r="P46" s="28">
        <f>INDEX('Issued by date'!$V$5:$V$70,MATCH($A46,'Issued by date'!$U$5:$U$70,0))</f>
        <v>0</v>
      </c>
      <c r="Q46" s="29">
        <f>INDEX('Issued by date'!$X$5:$X$70,MATCH($A46,'Issued by date'!$W$5:$W$70,0))</f>
        <v>0</v>
      </c>
      <c r="R46" s="24"/>
      <c r="S46" s="24"/>
      <c r="T46" s="24"/>
      <c r="U46" s="24"/>
      <c r="V46" s="24"/>
      <c r="W46" s="24"/>
      <c r="X46" s="24"/>
      <c r="Y46" s="24"/>
      <c r="Z46" s="24"/>
      <c r="AA46" s="24"/>
      <c r="AB46" s="24"/>
      <c r="AC46" s="24"/>
    </row>
    <row r="47" ht="12.7" customHeight="1">
      <c r="A47" t="s" s="18">
        <v>66</v>
      </c>
      <c r="B47" s="19">
        <v>400012</v>
      </c>
      <c r="C47" t="s" s="20">
        <v>67</v>
      </c>
      <c r="D47" t="s" s="21">
        <v>37</v>
      </c>
      <c r="E47" t="s" s="23">
        <f>A47&amp;D47</f>
        <v>76</v>
      </c>
      <c r="F47" s="22">
        <v>0</v>
      </c>
      <c r="G47" s="30">
        <v>0</v>
      </c>
      <c r="H47" s="22">
        <v>0</v>
      </c>
      <c r="I47" s="22">
        <v>0</v>
      </c>
      <c r="J47" s="22">
        <v>0</v>
      </c>
      <c r="K47" s="22">
        <v>0</v>
      </c>
      <c r="L47" s="22">
        <v>0</v>
      </c>
      <c r="M47" s="22">
        <v>0</v>
      </c>
      <c r="N47" s="31"/>
      <c r="O47" s="32"/>
      <c r="P47" s="32"/>
      <c r="Q47" s="33"/>
      <c r="R47" s="24"/>
      <c r="S47" s="24"/>
      <c r="T47" s="24"/>
      <c r="U47" s="24"/>
      <c r="V47" s="24"/>
      <c r="W47" s="24"/>
      <c r="X47" s="24"/>
      <c r="Y47" s="24"/>
      <c r="Z47" s="24"/>
      <c r="AA47" s="24"/>
      <c r="AB47" s="24"/>
      <c r="AC47" s="24"/>
    </row>
    <row r="48" ht="12.7" customHeight="1">
      <c r="A48" t="s" s="34">
        <v>66</v>
      </c>
      <c r="B48" s="35">
        <v>400012</v>
      </c>
      <c r="C48" t="s" s="36">
        <v>67</v>
      </c>
      <c r="D48" t="s" s="37">
        <v>39</v>
      </c>
      <c r="E48" t="s" s="16">
        <f>A48&amp;D48</f>
        <v>77</v>
      </c>
      <c r="F48" s="38">
        <f>IFERROR(F44/AVERAGE(G39:H39)*30,0)</f>
        <v>0</v>
      </c>
      <c r="G48" s="38">
        <f>IFERROR(G44/AVERAGE(H39:I39)*30,0)</f>
        <v>10.78870625662778</v>
      </c>
      <c r="H48" s="38">
        <f>IFERROR(H43/AVERAGE(I39:J39)*30,0)</f>
        <v>28.55215146299484</v>
      </c>
      <c r="I48" s="38">
        <f>IFERROR(I43/AVERAGE(J39:K39)*30,0)</f>
        <v>22.4863523573201</v>
      </c>
      <c r="J48" s="38">
        <f>IFERROR(J43/AVERAGE(K39:L39)*30,0)</f>
        <v>8.027306967984934</v>
      </c>
      <c r="K48" s="38">
        <f>IFERROR(K43/AVERAGE(L39:M39)*30,0)</f>
        <v>19.72917650763659</v>
      </c>
      <c r="L48" s="38">
        <f>IFERROR(L43/AVERAGE(M39:N39)*30,0)</f>
        <v>6.992956905813537</v>
      </c>
      <c r="M48" s="38">
        <f>IFERROR(M43/AVERAGE(N39:O39)*30,0)</f>
        <v>12.28562820126544</v>
      </c>
      <c r="N48" s="38">
        <f>IFERROR(N43/AVERAGE(O39:P39)*30,0)</f>
        <v>13.74099380533326</v>
      </c>
      <c r="O48" s="38">
        <f>IFERROR(O43/AVERAGE(P39:Q39)*30,0)</f>
        <v>14.08619153034528</v>
      </c>
      <c r="P48" s="38">
        <f>IFERROR(P43/AVERAGE(Q39:R39)*30,0)</f>
        <v>15.12129433120213</v>
      </c>
      <c r="Q48" s="38">
        <f>IFERROR(Q43/AVERAGE(R39:S39)*30,0)</f>
        <v>21.44485398875159</v>
      </c>
      <c r="R48" s="38">
        <f>IFERROR(R43/AVERAGE(S39:T39)*30,0)</f>
        <v>0</v>
      </c>
      <c r="S48" s="38"/>
      <c r="T48" s="38"/>
      <c r="U48" s="38"/>
      <c r="V48" s="38"/>
      <c r="W48" s="38"/>
      <c r="X48" s="38"/>
      <c r="Y48" s="38"/>
      <c r="Z48" s="38"/>
      <c r="AA48" s="38"/>
      <c r="AB48" s="38"/>
      <c r="AC48" s="38"/>
    </row>
    <row r="49" ht="12" customHeight="1">
      <c r="A49" s="39"/>
      <c r="B49" s="40"/>
      <c r="C49" s="40"/>
      <c r="D49" s="41"/>
      <c r="E49" t="s" s="23">
        <f>A49&amp;D49</f>
      </c>
      <c r="F49" s="42"/>
      <c r="G49" s="40"/>
      <c r="H49" s="40"/>
      <c r="I49" s="40"/>
      <c r="J49" s="40"/>
      <c r="K49" s="40"/>
      <c r="L49" s="40"/>
      <c r="M49" s="40"/>
      <c r="N49" s="40"/>
      <c r="O49" s="40"/>
      <c r="P49" s="40"/>
      <c r="Q49" s="40"/>
      <c r="R49" s="40"/>
      <c r="S49" s="40"/>
      <c r="T49" s="40"/>
      <c r="U49" s="40"/>
      <c r="V49" s="40"/>
      <c r="W49" s="40"/>
      <c r="X49" s="40"/>
      <c r="Y49" s="40"/>
      <c r="Z49" s="40"/>
      <c r="AA49" s="40"/>
      <c r="AB49" s="40"/>
      <c r="AC49" s="43"/>
    </row>
    <row r="50" ht="13.5" customHeight="1">
      <c r="A50" t="s" s="8">
        <v>4</v>
      </c>
      <c r="B50" t="s" s="9">
        <v>5</v>
      </c>
      <c r="C50" t="s" s="9">
        <v>6</v>
      </c>
      <c r="D50" t="s" s="44">
        <v>7</v>
      </c>
      <c r="E50" t="s" s="23">
        <f>A50&amp;D50</f>
        <v>41</v>
      </c>
      <c r="F50" t="s" s="45">
        <v>8</v>
      </c>
      <c r="G50" t="s" s="9">
        <v>9</v>
      </c>
      <c r="H50" t="s" s="9">
        <v>10</v>
      </c>
      <c r="I50" t="s" s="9">
        <v>11</v>
      </c>
      <c r="J50" t="s" s="9">
        <v>1</v>
      </c>
      <c r="K50" t="s" s="9">
        <v>12</v>
      </c>
      <c r="L50" t="s" s="9">
        <v>13</v>
      </c>
      <c r="M50" t="s" s="9">
        <v>14</v>
      </c>
      <c r="N50" t="s" s="9">
        <v>15</v>
      </c>
      <c r="O50" t="s" s="9">
        <v>16</v>
      </c>
      <c r="P50" t="s" s="9">
        <v>17</v>
      </c>
      <c r="Q50" t="s" s="9">
        <v>18</v>
      </c>
      <c r="R50" t="s" s="9">
        <v>8</v>
      </c>
      <c r="S50" t="s" s="9">
        <v>9</v>
      </c>
      <c r="T50" t="s" s="9">
        <v>10</v>
      </c>
      <c r="U50" t="s" s="9">
        <v>11</v>
      </c>
      <c r="V50" t="s" s="9">
        <v>1</v>
      </c>
      <c r="W50" t="s" s="9">
        <v>12</v>
      </c>
      <c r="X50" t="s" s="9">
        <v>13</v>
      </c>
      <c r="Y50" t="s" s="9">
        <v>14</v>
      </c>
      <c r="Z50" t="s" s="9">
        <v>15</v>
      </c>
      <c r="AA50" t="s" s="9">
        <v>16</v>
      </c>
      <c r="AB50" t="s" s="9">
        <v>17</v>
      </c>
      <c r="AC50" t="s" s="11">
        <v>18</v>
      </c>
    </row>
    <row r="51" ht="12.7" customHeight="1">
      <c r="A51" t="s" s="12">
        <v>78</v>
      </c>
      <c r="B51" s="13">
        <v>400013</v>
      </c>
      <c r="C51" t="s" s="14">
        <v>79</v>
      </c>
      <c r="D51" t="s" s="15">
        <v>21</v>
      </c>
      <c r="E51" t="s" s="16">
        <f>A51&amp;D51</f>
        <v>80</v>
      </c>
      <c r="F51" s="17">
        <f>INDEX('Sales Forecast'!$B$5:$B$72,MATCH($A51,'Sales Forecast'!$A$5:$A$72,0))</f>
        <v>20300</v>
      </c>
      <c r="G51" s="17">
        <f>INDEX('Sales Forecast'!$D$5:$D$72,MATCH($A51,'Sales Forecast'!$C$5:$C$72,0))</f>
        <v>25240</v>
      </c>
      <c r="H51" s="17">
        <f>INDEX('Sales Forecast'!$F$5:$F$72,MATCH($A51,'Sales Forecast'!$E$5:$E$72,0))</f>
        <v>13000</v>
      </c>
      <c r="I51" s="17">
        <f>INDEX('Sales Forecast'!$H$5:$H$72,MATCH($A51,'Sales Forecast'!$G$5:$G$72,0))</f>
        <v>10264</v>
      </c>
      <c r="J51" s="17">
        <f>INDEX('Sales Forecast'!$J$5:$J$72,MATCH($A51,'Sales Forecast'!$I$5:$I$72,0))</f>
        <v>10042</v>
      </c>
      <c r="K51" s="17">
        <f>INDEX('Sales Forecast'!$L$5:$L$72,MATCH($A51,'Sales Forecast'!$K$5:$K$72,0))</f>
        <v>8000</v>
      </c>
      <c r="L51" s="17">
        <f>INDEX('Sales Forecast'!$N$5:$N$72,MATCH($A51,'Sales Forecast'!$M$5:$M$72,0))</f>
        <v>10318</v>
      </c>
      <c r="M51" s="17">
        <f>INDEX('Sales Forecast'!$P$5:$P$72,MATCH($A51,'Sales Forecast'!$O$5:$O$72,0))</f>
        <v>16672</v>
      </c>
      <c r="N51" s="17">
        <f>INDEX('Sales Forecast'!$R$5:$R$72,MATCH($A51,'Sales Forecast'!$Q$5:$Q$72,0))</f>
        <v>16919</v>
      </c>
      <c r="O51" s="17">
        <f>INDEX('Sales Forecast'!$T$5:$T$72,MATCH($A51,'Sales Forecast'!$S$5:$S$72,0))</f>
        <v>27259</v>
      </c>
      <c r="P51" s="17">
        <f>INDEX('Sales Forecast'!$V$5:$V$72,MATCH($A51,'Sales Forecast'!$U$5:$U$72,0))</f>
        <v>26184</v>
      </c>
      <c r="Q51" s="17">
        <f>INDEX('Sales Forecast'!$X$5:$X$72,MATCH($A51,'Sales Forecast'!$W$5:$W$72,0))</f>
        <v>33960</v>
      </c>
      <c r="R51" s="17">
        <v>35657.87568</v>
      </c>
      <c r="S51" s="17"/>
      <c r="T51" s="17"/>
      <c r="U51" s="17"/>
      <c r="V51" s="17"/>
      <c r="W51" s="17"/>
      <c r="X51" s="17"/>
      <c r="Y51" s="17"/>
      <c r="Z51" s="17"/>
      <c r="AA51" s="17"/>
      <c r="AB51" s="17"/>
      <c r="AC51" s="17"/>
    </row>
    <row r="52" ht="12.7" customHeight="1">
      <c r="A52" t="s" s="18">
        <v>78</v>
      </c>
      <c r="B52" s="19">
        <v>400013</v>
      </c>
      <c r="C52" t="s" s="20">
        <v>79</v>
      </c>
      <c r="D52" t="s" s="21">
        <v>23</v>
      </c>
      <c r="E52" t="s" s="16">
        <f>A52&amp;D52</f>
        <v>81</v>
      </c>
      <c r="F52" s="22">
        <f>INDEX('Sales Actual'!$B$5:$B$70,MATCH($A52,'Sales Actual'!$A$5:$A$70,0))</f>
        <v>24022</v>
      </c>
      <c r="G52" s="22">
        <f>INDEX('Sales Actual'!$D$5:$D$70,MATCH($A52,'Sales Actual'!$C$5:$C$70,0))</f>
        <v>15320</v>
      </c>
      <c r="H52" s="22">
        <f>INDEX('Sales Actual'!$F$5:$F$70,MATCH($A52,'Sales Actual'!$E$5:$E$70,0))</f>
        <v>16412</v>
      </c>
      <c r="I52" s="22">
        <f>INDEX('Sales Actual'!$H$5:$H$70,MATCH($A52,'Sales Actual'!$G$5:$G$70,0))</f>
        <v>0</v>
      </c>
      <c r="J52" s="22">
        <f>INDEX('Sales Actual'!$J$5:$J$70,MATCH($A52,'Sales Actual'!$I$5:$I$70,0))</f>
        <v>0</v>
      </c>
      <c r="K52" s="22">
        <f>INDEX('Sales Actual'!$L$5:$L$70,MATCH($A52,'Sales Actual'!$K$5:$K$70,0))</f>
        <v>0</v>
      </c>
      <c r="L52" s="22">
        <f>INDEX('Sales Actual'!$N$5:$N$70,MATCH($A52,'Sales Actual'!$M$5:$M$70,0))</f>
        <v>0</v>
      </c>
      <c r="M52" s="22">
        <f>INDEX('Sales Actual'!$P$5:$P$70,MATCH($A52,'Sales Actual'!$O$5:$O$70,0))</f>
        <v>0</v>
      </c>
      <c r="N52" s="22">
        <f>INDEX('Sales Actual'!$R$5:$R$70,MATCH($A52,'Sales Actual'!$Q$5:$Q$70,0))</f>
        <v>0</v>
      </c>
      <c r="O52" s="22">
        <f>INDEX('Sales Actual'!$T$5:$T$70,MATCH($A52,'Sales Actual'!$S$5:$S$70,0))</f>
        <v>0</v>
      </c>
      <c r="P52" s="22">
        <f>INDEX('Sales Actual'!$V$5:$V$70,MATCH($A52,'Sales Actual'!$U$5:$U$70,0))</f>
        <v>0</v>
      </c>
      <c r="Q52" s="22">
        <f>INDEX('Sales Actual'!$X$5:$X$70,MATCH($A52,'Sales Actual'!$W$5:$W$70,0))</f>
        <v>0</v>
      </c>
      <c r="R52" s="22"/>
      <c r="S52" s="22"/>
      <c r="T52" s="22"/>
      <c r="U52" s="22"/>
      <c r="V52" s="22"/>
      <c r="W52" s="22"/>
      <c r="X52" s="22"/>
      <c r="Y52" s="22"/>
      <c r="Z52" s="22"/>
      <c r="AA52" s="22"/>
      <c r="AB52" s="22"/>
      <c r="AC52" s="22"/>
    </row>
    <row r="53" ht="12.7" customHeight="1">
      <c r="A53" t="s" s="18">
        <v>78</v>
      </c>
      <c r="B53" s="19">
        <v>400013</v>
      </c>
      <c r="C53" t="s" s="20">
        <v>79</v>
      </c>
      <c r="D53" t="s" s="21">
        <v>25</v>
      </c>
      <c r="E53" t="s" s="23">
        <f>A53&amp;D53</f>
        <v>82</v>
      </c>
      <c r="F53" s="22">
        <v>9360</v>
      </c>
      <c r="G53" s="22">
        <v>7776</v>
      </c>
      <c r="H53" s="22">
        <v>8640</v>
      </c>
      <c r="I53" s="22">
        <v>10080</v>
      </c>
      <c r="J53" s="22">
        <v>7776</v>
      </c>
      <c r="K53" s="22">
        <v>7920</v>
      </c>
      <c r="L53" s="22">
        <v>0</v>
      </c>
      <c r="M53" s="22">
        <v>0</v>
      </c>
      <c r="N53" s="22">
        <f>144*180</f>
        <v>25920</v>
      </c>
      <c r="O53" s="22">
        <f>144*236</f>
        <v>33984</v>
      </c>
      <c r="P53" s="22">
        <f>144*170</f>
        <v>24480</v>
      </c>
      <c r="Q53" s="22">
        <f t="shared" si="28"/>
        <v>40320</v>
      </c>
      <c r="R53" s="24">
        <v>0</v>
      </c>
      <c r="S53" s="24"/>
      <c r="T53" s="24"/>
      <c r="U53" s="24"/>
      <c r="V53" s="24"/>
      <c r="W53" s="24"/>
      <c r="X53" s="24"/>
      <c r="Y53" s="24"/>
      <c r="Z53" s="24"/>
      <c r="AA53" s="24"/>
      <c r="AB53" s="24"/>
      <c r="AC53" s="24"/>
    </row>
    <row r="54" ht="12.7" customHeight="1">
      <c r="A54" t="s" s="18">
        <v>78</v>
      </c>
      <c r="B54" s="19">
        <v>400013</v>
      </c>
      <c r="C54" t="s" s="20">
        <v>79</v>
      </c>
      <c r="D54" t="s" s="21">
        <v>27</v>
      </c>
      <c r="E54" t="s" s="23">
        <f>A54&amp;D54</f>
        <v>83</v>
      </c>
      <c r="F54" s="22">
        <v>7776</v>
      </c>
      <c r="G54" s="22">
        <v>7632</v>
      </c>
      <c r="H54" s="22">
        <v>10512</v>
      </c>
      <c r="I54" s="22">
        <v>11520</v>
      </c>
      <c r="J54" s="22">
        <v>12672</v>
      </c>
      <c r="K54" s="22">
        <v>5760</v>
      </c>
      <c r="L54" s="22">
        <v>0</v>
      </c>
      <c r="M54" s="22">
        <v>0</v>
      </c>
      <c r="N54" s="22">
        <f>144*200</f>
        <v>28800</v>
      </c>
      <c r="O54" s="22">
        <f>144*237</f>
        <v>34128</v>
      </c>
      <c r="P54" s="22">
        <f>P53</f>
        <v>24480</v>
      </c>
      <c r="Q54" s="22">
        <f>Q53</f>
        <v>40320</v>
      </c>
      <c r="R54" s="24">
        <f>R53</f>
        <v>0</v>
      </c>
      <c r="S54" s="24"/>
      <c r="T54" s="24"/>
      <c r="U54" s="24"/>
      <c r="V54" s="24"/>
      <c r="W54" s="24"/>
      <c r="X54" s="24"/>
      <c r="Y54" s="24"/>
      <c r="Z54" s="24"/>
      <c r="AA54" s="24"/>
      <c r="AB54" s="24"/>
      <c r="AC54" s="24"/>
    </row>
    <row r="55" ht="12.7" customHeight="1">
      <c r="A55" t="s" s="18">
        <v>78</v>
      </c>
      <c r="B55" s="19">
        <v>400013</v>
      </c>
      <c r="C55" t="s" s="20">
        <v>79</v>
      </c>
      <c r="D55" t="s" s="21">
        <v>29</v>
      </c>
      <c r="E55" t="s" s="16">
        <f>A55&amp;D55</f>
        <v>84</v>
      </c>
      <c r="F55" s="22">
        <v>126632</v>
      </c>
      <c r="G55" s="22">
        <v>147983</v>
      </c>
      <c r="H55" s="22">
        <f>IF((G56+H54-(H51-H52)-H59)&lt;0,0,(G56+H54-(H51-H52)-H59))</f>
        <v>95662</v>
      </c>
      <c r="I55" s="22">
        <f>IF((H56+I54-I51-I59)&lt;0,0,(H56+I54-I51-I59))</f>
        <v>25092</v>
      </c>
      <c r="J55" s="22">
        <f>IF((I55+J54-(J51-J52)-J59)&lt;0,0,(I55+J54-(J51-J52)-J59))</f>
        <v>27722</v>
      </c>
      <c r="K55" s="22">
        <f>IF((J55+K54-(K51-K52)-K59)&lt;0,0,(J55+K54-(K51-K52)-K59))</f>
        <v>25482</v>
      </c>
      <c r="L55" s="22">
        <f>IF((K55+L54-(L51-L52)-L59)&lt;0,0,(K55+L54-(L51-L52)-L59))</f>
        <v>15164</v>
      </c>
      <c r="M55" s="22">
        <f>IF((L55+M54-(M51-M52)-M59)&lt;0,0,(L55+M54-(M51-M52)-M59))</f>
        <v>0</v>
      </c>
      <c r="N55" s="22">
        <f>IF((M55+N54-(N51-N52)-N59)&lt;0,0,(M55+N54-(N51-N52)-N59))</f>
        <v>11881</v>
      </c>
      <c r="O55" s="22">
        <f>IF((N55+O54-(O51-O52)-O59)&lt;0,0,(N55+O54-(O51-O52)-O59))</f>
        <v>18750</v>
      </c>
      <c r="P55" s="22">
        <f>IF((O55+P54-(P51-P52)-P59)&lt;0,0,(O55+P54-(P51-P52)-P59))</f>
        <v>17046</v>
      </c>
      <c r="Q55" s="22">
        <f>IF((P55+Q54-(Q51-Q52)-Q59)&lt;0,0,(P55+Q54-(Q51-Q52)-Q59))</f>
        <v>23406</v>
      </c>
      <c r="R55" s="22">
        <f>IF((Q55+R54-(R51-R52)-R59)&lt;0,0,(Q55+R54-(R51-R52)-R59))</f>
        <v>0</v>
      </c>
      <c r="S55" s="22"/>
      <c r="T55" s="22"/>
      <c r="U55" s="22"/>
      <c r="V55" s="22"/>
      <c r="W55" s="22"/>
      <c r="X55" s="22"/>
      <c r="Y55" s="22"/>
      <c r="Z55" s="22"/>
      <c r="AA55" s="22"/>
      <c r="AB55" s="22"/>
      <c r="AC55" s="22"/>
    </row>
    <row r="56" ht="12.7" customHeight="1">
      <c r="A56" t="s" s="18">
        <v>78</v>
      </c>
      <c r="B56" s="19">
        <v>400013</v>
      </c>
      <c r="C56" t="s" s="20">
        <v>79</v>
      </c>
      <c r="D56" t="s" s="21">
        <v>31</v>
      </c>
      <c r="E56" t="s" s="16">
        <f>A56&amp;D56</f>
        <v>85</v>
      </c>
      <c r="F56" s="22">
        <f>INDEX('Actual Stock'!$B$5:$B$70,MATCH($A56,'Actual Stock'!$A$5:$A$70,0))</f>
        <v>150838</v>
      </c>
      <c r="G56" s="22">
        <f>INDEX('Actual Stock'!$D$5:$D$70,MATCH($A56,'Actual Stock'!$C$5:$C$70,0))</f>
        <v>101622</v>
      </c>
      <c r="H56" s="22">
        <f>INDEX('Actual Stock'!$F$5:$F$70,MATCH($A56,'Actual Stock'!$E$5:$E$70,0))</f>
        <v>120154</v>
      </c>
      <c r="I56" s="22">
        <f>INDEX('Actual Stock'!$H$5:$H$70,MATCH($A56,'Actual Stock'!$G$5:$G$70,0))</f>
        <v>0</v>
      </c>
      <c r="J56" s="22">
        <f>INDEX('Actual Stock'!$J$5:$J$70,MATCH($A56,'Actual Stock'!$I$5:$I$70,0))</f>
        <v>0</v>
      </c>
      <c r="K56" s="22">
        <f>INDEX('Actual Stock'!$L$5:$L$70,MATCH($A56,'Actual Stock'!$K$5:$K$70,0))</f>
        <v>0</v>
      </c>
      <c r="L56" s="22">
        <f>INDEX('Actual Stock'!$N$5:$N$70,MATCH($A56,'Actual Stock'!$M$5:$M$70,0))</f>
        <v>0</v>
      </c>
      <c r="M56" s="22">
        <f>INDEX('Actual Stock'!$P$5:$P$70,MATCH($A56,'Actual Stock'!$O$5:$O$70,0))</f>
        <v>0</v>
      </c>
      <c r="N56" s="22">
        <f>INDEX('Actual Stock'!$R$5:$R$70,MATCH($A56,'Actual Stock'!$Q$5:$Q$70,0))</f>
        <v>0</v>
      </c>
      <c r="O56" s="22">
        <f>INDEX('Actual Stock'!$T$5:$T$70,MATCH($A56,'Actual Stock'!$S$5:$S$70,0))</f>
        <v>0</v>
      </c>
      <c r="P56" s="22">
        <f>INDEX('Actual Stock'!$V$5:$V$70,MATCH($A56,'Actual Stock'!$U$5:$U$70,0))</f>
        <v>0</v>
      </c>
      <c r="Q56" s="22">
        <f>INDEX('Actual Stock'!$X$5:$X$70,MATCH($A56,'Actual Stock'!$W$5:$W$70,0))</f>
        <v>0</v>
      </c>
      <c r="R56" s="22"/>
      <c r="S56" s="22"/>
      <c r="T56" s="22"/>
      <c r="U56" s="22"/>
      <c r="V56" s="22"/>
      <c r="W56" s="22"/>
      <c r="X56" s="22"/>
      <c r="Y56" s="22"/>
      <c r="Z56" s="22"/>
      <c r="AA56" s="22"/>
      <c r="AB56" s="22"/>
      <c r="AC56" s="22"/>
    </row>
    <row r="57" ht="12.7" customHeight="1">
      <c r="A57" t="s" s="18">
        <v>78</v>
      </c>
      <c r="B57" s="19">
        <v>400013</v>
      </c>
      <c r="C57" t="s" s="20">
        <v>79</v>
      </c>
      <c r="D57" t="s" s="21">
        <v>33</v>
      </c>
      <c r="E57" t="s" s="23">
        <f>A57&amp;D57</f>
        <v>86</v>
      </c>
      <c r="F57" s="22">
        <v>0</v>
      </c>
      <c r="G57" s="22">
        <v>0</v>
      </c>
      <c r="H57" s="22">
        <v>0</v>
      </c>
      <c r="I57" s="22">
        <f>IF((H55+I54-(I51-I52)-I59)&lt;0,(H55+I54-(I51-I52)-I59),0)</f>
        <v>0</v>
      </c>
      <c r="J57" s="22">
        <f>IF((I55+J54-(J51-J52)-J59)&lt;0,(I55+J54-(J51-J52)-J59),0)</f>
        <v>0</v>
      </c>
      <c r="K57" s="22">
        <f>IF((J55+K54-(K51-K52)-K59)&lt;0,(J55+K54-(K51-K52)-K59),0)</f>
        <v>0</v>
      </c>
      <c r="L57" s="22">
        <f>IF((K55+L54-(L51-L52)-L59)&lt;0,(K55+L54-(L51-L52)-L59),0)</f>
        <v>0</v>
      </c>
      <c r="M57" s="22">
        <f>IF((L55+M54-(M51-M52)-M59)&lt;0,(L55+M54-(M51-M52)-M59),0)</f>
        <v>-1508</v>
      </c>
      <c r="N57" s="22">
        <f>IF((M55+N54-(N51-N52)-N59)&lt;0,(M55+N54-(N51-N52)-N59),0)</f>
        <v>0</v>
      </c>
      <c r="O57" s="22">
        <f>IF((N55+O54-(O51-O52)-O59)&lt;0,(N55+O54-(O51-O52)-O59),0)</f>
        <v>0</v>
      </c>
      <c r="P57" s="46"/>
      <c r="Q57" s="47"/>
      <c r="R57" s="24">
        <f>IF((Q55+R54-(R51-R52)-R59)&gt;0,0,(Q55+R54-(R51-R52)-R59))</f>
        <v>-12251.87568</v>
      </c>
      <c r="S57" s="24"/>
      <c r="T57" s="24"/>
      <c r="U57" s="24"/>
      <c r="V57" s="24"/>
      <c r="W57" s="24"/>
      <c r="X57" s="24"/>
      <c r="Y57" s="24"/>
      <c r="Z57" s="24"/>
      <c r="AA57" s="24"/>
      <c r="AB57" s="24"/>
      <c r="AC57" s="24"/>
    </row>
    <row r="58" ht="12.7" customHeight="1">
      <c r="A58" t="s" s="18">
        <v>78</v>
      </c>
      <c r="B58" s="19">
        <v>400013</v>
      </c>
      <c r="C58" t="s" s="20">
        <v>79</v>
      </c>
      <c r="D58" t="s" s="21">
        <v>35</v>
      </c>
      <c r="E58" t="s" s="23">
        <f>A58&amp;D58</f>
        <v>87</v>
      </c>
      <c r="F58" s="25">
        <f>INDEX('Issued by date'!$B$5:$B$70,MATCH($A58,'Issued by date'!$A$5:$A$70,0))</f>
        <v>0</v>
      </c>
      <c r="G58" s="26">
        <f>INDEX('Issued by date'!$D$5:$D$70,MATCH($A58,'Issued by date'!$C$5:$C$70,0))</f>
        <v>31252</v>
      </c>
      <c r="H58" s="22">
        <f>INDEX('Issued by date'!$F$5:$F$70,MATCH($A58,'Issued by date'!$E$5:$E$70,0))</f>
        <v>16472</v>
      </c>
      <c r="I58" s="22">
        <f>INDEX('Issued by date'!$H$5:$H$70,MATCH($A58,'Issued by date'!$G$5:$G$70,0))</f>
        <v>106582</v>
      </c>
      <c r="J58" s="22">
        <f>INDEX('Issued by date'!$J$5:$J$70,MATCH($A58,'Issued by date'!$I$5:$I$70,0))</f>
        <v>2832</v>
      </c>
      <c r="K58" s="22">
        <f>INDEX('Issued by date'!$L$5:$L$70,MATCH($A58,'Issued by date'!$K$5:$K$70,0))</f>
        <v>2964</v>
      </c>
      <c r="L58" s="22">
        <f>INDEX('Issued by date'!$N$5:$N$70,MATCH($A58,'Issued by date'!$M$5:$M$70,0))</f>
        <v>0</v>
      </c>
      <c r="M58" s="22">
        <f>INDEX('Issued by date'!$P$5:$P$70,MATCH($A58,'Issued by date'!$O$5:$O$70,0))</f>
        <v>7776</v>
      </c>
      <c r="N58" s="27">
        <f>INDEX('Issued by date'!$R$5:$R$70,MATCH($A58,'Issued by date'!$Q$5:$Q$70,0))</f>
        <v>0</v>
      </c>
      <c r="O58" s="28">
        <f>INDEX('Issued by date'!$F$5:$F$70,MATCH($A58,'Issued by date'!$E$5:$E$70,0))</f>
        <v>16472</v>
      </c>
      <c r="P58" s="28">
        <f>INDEX('Issued by date'!$V$5:$V$70,MATCH($A58,'Issued by date'!$U$5:$U$70,0))</f>
        <v>0</v>
      </c>
      <c r="Q58" s="29">
        <f>INDEX('Issued by date'!$X$5:$X$70,MATCH($A58,'Issued by date'!$W$5:$W$70,0))</f>
        <v>0</v>
      </c>
      <c r="R58" s="24"/>
      <c r="S58" s="24"/>
      <c r="T58" s="24"/>
      <c r="U58" s="24"/>
      <c r="V58" s="24"/>
      <c r="W58" s="24"/>
      <c r="X58" s="24"/>
      <c r="Y58" s="24"/>
      <c r="Z58" s="24"/>
      <c r="AA58" s="24"/>
      <c r="AB58" s="24"/>
      <c r="AC58" s="24"/>
    </row>
    <row r="59" ht="12.7" customHeight="1">
      <c r="A59" t="s" s="18">
        <v>78</v>
      </c>
      <c r="B59" s="19">
        <v>400013</v>
      </c>
      <c r="C59" t="s" s="20">
        <v>79</v>
      </c>
      <c r="D59" t="s" s="21">
        <v>37</v>
      </c>
      <c r="E59" t="s" s="23">
        <f>A59&amp;D59</f>
        <v>88</v>
      </c>
      <c r="F59" s="22">
        <v>0</v>
      </c>
      <c r="G59" s="30">
        <v>0</v>
      </c>
      <c r="H59" s="22">
        <f>IF((H58-H51)&gt;0,(H58-(H51-H52)),0)</f>
        <v>19884</v>
      </c>
      <c r="I59" s="22">
        <v>96318</v>
      </c>
      <c r="J59" s="22">
        <f>IF((J58-J51)&gt;0,IF((J58-J51)&gt;0,(J58-J51),0),0)</f>
        <v>0</v>
      </c>
      <c r="K59" s="22">
        <f>IF((K58-K51)&gt;0,IF((K58-K51)&gt;0,(K58-K51),0),0)</f>
        <v>0</v>
      </c>
      <c r="L59" s="46"/>
      <c r="M59" s="49"/>
      <c r="N59" s="32"/>
      <c r="O59" s="32"/>
      <c r="P59" s="32"/>
      <c r="Q59" s="33"/>
      <c r="R59" s="24"/>
      <c r="S59" s="24"/>
      <c r="T59" s="24"/>
      <c r="U59" s="24"/>
      <c r="V59" s="24"/>
      <c r="W59" s="24"/>
      <c r="X59" s="24"/>
      <c r="Y59" s="24"/>
      <c r="Z59" s="24"/>
      <c r="AA59" s="24"/>
      <c r="AB59" s="24"/>
      <c r="AC59" s="24"/>
    </row>
    <row r="60" ht="12.7" customHeight="1">
      <c r="A60" t="s" s="34">
        <v>78</v>
      </c>
      <c r="B60" s="35">
        <v>400013</v>
      </c>
      <c r="C60" t="s" s="36">
        <v>79</v>
      </c>
      <c r="D60" t="s" s="37">
        <v>39</v>
      </c>
      <c r="E60" t="s" s="16">
        <f>A60&amp;D60</f>
        <v>89</v>
      </c>
      <c r="F60" s="38">
        <f>IFERROR(F56/AVERAGE(G51:H51)*30,0)</f>
        <v>236.6705020920502</v>
      </c>
      <c r="G60" s="38">
        <f>IFERROR(G56/AVERAGE(H51:I51)*30,0)</f>
        <v>262.0925034387895</v>
      </c>
      <c r="H60" s="38">
        <f>IFERROR(H55/AVERAGE(I51:J51)*30,0)</f>
        <v>282.6612823795923</v>
      </c>
      <c r="I60" s="38">
        <f>IFERROR(I55/AVERAGE(J51:K51)*30,0)</f>
        <v>83.44529431326905</v>
      </c>
      <c r="J60" s="38">
        <f>IFERROR(J55/AVERAGE(K51:L51)*30,0)</f>
        <v>90.80248935473304</v>
      </c>
      <c r="K60" s="38">
        <f>IFERROR(K55/AVERAGE(L51:M51)*30,0)</f>
        <v>56.64764727676917</v>
      </c>
      <c r="L60" s="38">
        <f>IFERROR(L55/AVERAGE(M51:N51)*30,0)</f>
        <v>27.0858265606859</v>
      </c>
      <c r="M60" s="38">
        <f>IFERROR(M55/AVERAGE(N51:O51)*30,0)</f>
        <v>0</v>
      </c>
      <c r="N60" s="38">
        <f>IFERROR(N55/AVERAGE(O51:P51)*30,0)</f>
        <v>13.33869730366933</v>
      </c>
      <c r="O60" s="38">
        <f>IFERROR(O55/AVERAGE(P51:Q51)*30,0)</f>
        <v>18.70510774142059</v>
      </c>
      <c r="P60" s="38">
        <f>IFERROR(P55/AVERAGE(Q51:R51)*30,0)</f>
        <v>14.69105441684457</v>
      </c>
      <c r="Q60" s="38">
        <f>IFERROR(Q55/AVERAGE(R51:S51)*30,0)</f>
        <v>19.69214336550741</v>
      </c>
      <c r="R60" s="38">
        <f>IFERROR(R55/AVERAGE(S51:T51)*30,0)</f>
        <v>0</v>
      </c>
      <c r="S60" s="38"/>
      <c r="T60" s="38"/>
      <c r="U60" s="38"/>
      <c r="V60" s="38"/>
      <c r="W60" s="38"/>
      <c r="X60" s="38"/>
      <c r="Y60" s="38"/>
      <c r="Z60" s="38"/>
      <c r="AA60" s="38"/>
      <c r="AB60" s="38"/>
      <c r="AC60" s="38"/>
    </row>
    <row r="61" ht="12" customHeight="1">
      <c r="A61" s="39"/>
      <c r="B61" s="40"/>
      <c r="C61" s="40"/>
      <c r="D61" s="41"/>
      <c r="E61" t="s" s="23">
        <f>A61&amp;D61</f>
      </c>
      <c r="F61" s="42"/>
      <c r="G61" s="40"/>
      <c r="H61" s="40"/>
      <c r="I61" s="40"/>
      <c r="J61" s="40"/>
      <c r="K61" s="40"/>
      <c r="L61" s="40"/>
      <c r="M61" s="40"/>
      <c r="N61" s="40"/>
      <c r="O61" s="40"/>
      <c r="P61" s="40"/>
      <c r="Q61" s="40"/>
      <c r="R61" s="40"/>
      <c r="S61" s="40"/>
      <c r="T61" s="40"/>
      <c r="U61" s="40"/>
      <c r="V61" s="40"/>
      <c r="W61" s="40"/>
      <c r="X61" s="40"/>
      <c r="Y61" s="40"/>
      <c r="Z61" s="40"/>
      <c r="AA61" s="40"/>
      <c r="AB61" s="40"/>
      <c r="AC61" s="43"/>
    </row>
    <row r="62" ht="13.5" customHeight="1">
      <c r="A62" t="s" s="8">
        <v>4</v>
      </c>
      <c r="B62" t="s" s="9">
        <v>5</v>
      </c>
      <c r="C62" t="s" s="9">
        <v>6</v>
      </c>
      <c r="D62" t="s" s="44">
        <v>7</v>
      </c>
      <c r="E62" t="s" s="23">
        <f>A62&amp;D62</f>
        <v>41</v>
      </c>
      <c r="F62" t="s" s="45">
        <v>8</v>
      </c>
      <c r="G62" t="s" s="9">
        <v>9</v>
      </c>
      <c r="H62" t="s" s="9">
        <v>10</v>
      </c>
      <c r="I62" t="s" s="9">
        <v>11</v>
      </c>
      <c r="J62" t="s" s="9">
        <v>1</v>
      </c>
      <c r="K62" t="s" s="9">
        <v>12</v>
      </c>
      <c r="L62" t="s" s="9">
        <v>13</v>
      </c>
      <c r="M62" t="s" s="9">
        <v>14</v>
      </c>
      <c r="N62" t="s" s="9">
        <v>15</v>
      </c>
      <c r="O62" t="s" s="9">
        <v>16</v>
      </c>
      <c r="P62" t="s" s="9">
        <v>17</v>
      </c>
      <c r="Q62" t="s" s="9">
        <v>18</v>
      </c>
      <c r="R62" t="s" s="9">
        <v>8</v>
      </c>
      <c r="S62" t="s" s="9">
        <v>9</v>
      </c>
      <c r="T62" t="s" s="9">
        <v>10</v>
      </c>
      <c r="U62" t="s" s="9">
        <v>11</v>
      </c>
      <c r="V62" t="s" s="9">
        <v>1</v>
      </c>
      <c r="W62" t="s" s="9">
        <v>12</v>
      </c>
      <c r="X62" t="s" s="9">
        <v>13</v>
      </c>
      <c r="Y62" t="s" s="9">
        <v>14</v>
      </c>
      <c r="Z62" t="s" s="9">
        <v>15</v>
      </c>
      <c r="AA62" t="s" s="9">
        <v>16</v>
      </c>
      <c r="AB62" t="s" s="9">
        <v>17</v>
      </c>
      <c r="AC62" t="s" s="11">
        <v>18</v>
      </c>
    </row>
    <row r="63" ht="12.7" customHeight="1">
      <c r="A63" t="s" s="12">
        <v>90</v>
      </c>
      <c r="B63" s="13">
        <v>400007</v>
      </c>
      <c r="C63" t="s" s="14">
        <v>91</v>
      </c>
      <c r="D63" t="s" s="15">
        <v>21</v>
      </c>
      <c r="E63" t="s" s="16">
        <f>A63&amp;D63</f>
        <v>92</v>
      </c>
      <c r="F63" s="17">
        <f>INDEX('Sales Forecast'!$B$5:$B$72,MATCH($A63,'Sales Forecast'!$A$5:$A$72,0))</f>
        <v>6276</v>
      </c>
      <c r="G63" s="17">
        <f>INDEX('Sales Forecast'!$D$5:$D$72,MATCH($A63,'Sales Forecast'!$C$5:$C$72,0))</f>
        <v>2904</v>
      </c>
      <c r="H63" s="17">
        <f>INDEX('Sales Forecast'!$F$5:$F$72,MATCH($A63,'Sales Forecast'!$E$5:$E$72,0))</f>
        <v>2376</v>
      </c>
      <c r="I63" s="17">
        <f>INDEX('Sales Forecast'!$H$5:$H$72,MATCH($A63,'Sales Forecast'!$G$5:$G$72,0))</f>
        <v>2903</v>
      </c>
      <c r="J63" s="17">
        <f>INDEX('Sales Forecast'!$J$5:$J$72,MATCH($A63,'Sales Forecast'!$I$5:$I$72,0))</f>
        <v>2403</v>
      </c>
      <c r="K63" s="17">
        <f>INDEX('Sales Forecast'!$L$5:$L$72,MATCH($A63,'Sales Forecast'!$K$5:$K$72,0))</f>
        <v>2363</v>
      </c>
      <c r="L63" s="17">
        <f>INDEX('Sales Forecast'!$N$5:$N$72,MATCH($A63,'Sales Forecast'!$M$5:$M$72,0))</f>
        <v>2896</v>
      </c>
      <c r="M63" s="17">
        <f>INDEX('Sales Forecast'!$P$5:$P$72,MATCH($A63,'Sales Forecast'!$O$5:$O$72,0))</f>
        <v>3006</v>
      </c>
      <c r="N63" s="17">
        <f>INDEX('Sales Forecast'!$R$5:$R$72,MATCH($A63,'Sales Forecast'!$Q$5:$Q$72,0))</f>
        <v>5454</v>
      </c>
      <c r="O63" s="17">
        <f>INDEX('Sales Forecast'!$T$5:$T$72,MATCH($A63,'Sales Forecast'!$S$5:$S$72,0))</f>
        <v>5772</v>
      </c>
      <c r="P63" s="17">
        <f>INDEX('Sales Forecast'!$V$5:$V$72,MATCH($A63,'Sales Forecast'!$U$5:$U$72,0))</f>
        <v>6351</v>
      </c>
      <c r="Q63" s="17">
        <f>INDEX('Sales Forecast'!$X$5:$X$72,MATCH($A63,'Sales Forecast'!$W$5:$W$72,0))</f>
        <v>5295</v>
      </c>
      <c r="R63" s="17">
        <v>7086</v>
      </c>
      <c r="S63" s="17"/>
      <c r="T63" s="17"/>
      <c r="U63" s="17"/>
      <c r="V63" s="17"/>
      <c r="W63" s="17"/>
      <c r="X63" s="17"/>
      <c r="Y63" s="17"/>
      <c r="Z63" s="17"/>
      <c r="AA63" s="17"/>
      <c r="AB63" s="17"/>
      <c r="AC63" s="17"/>
    </row>
    <row r="64" ht="12.7" customHeight="1">
      <c r="A64" t="s" s="18">
        <v>90</v>
      </c>
      <c r="B64" s="19">
        <v>400007</v>
      </c>
      <c r="C64" t="s" s="20">
        <v>91</v>
      </c>
      <c r="D64" t="s" s="21">
        <v>23</v>
      </c>
      <c r="E64" t="s" s="16">
        <f>A64&amp;D64</f>
        <v>93</v>
      </c>
      <c r="F64" s="22">
        <f>INDEX('Sales Actual'!$B$5:$B$70,MATCH($A64,'Sales Actual'!$A$5:$A$70,0))</f>
        <v>5905</v>
      </c>
      <c r="G64" s="22">
        <f>INDEX('Sales Actual'!$D$5:$D$70,MATCH($A64,'Sales Actual'!$C$5:$C$70,0))</f>
        <v>2899</v>
      </c>
      <c r="H64" s="22">
        <f>INDEX('Sales Actual'!$F$5:$F$70,MATCH($A64,'Sales Actual'!$E$5:$E$70,0))</f>
        <v>1891</v>
      </c>
      <c r="I64" s="22">
        <f>INDEX('Sales Actual'!$H$5:$H$70,MATCH($A64,'Sales Actual'!$G$5:$G$70,0))</f>
        <v>0</v>
      </c>
      <c r="J64" s="22">
        <f>INDEX('Sales Actual'!$J$5:$J$70,MATCH($A64,'Sales Actual'!$I$5:$I$70,0))</f>
        <v>0</v>
      </c>
      <c r="K64" s="22">
        <f>INDEX('Sales Actual'!$L$5:$L$70,MATCH($A64,'Sales Actual'!$K$5:$K$70,0))</f>
        <v>0</v>
      </c>
      <c r="L64" s="22">
        <f>INDEX('Sales Actual'!$N$5:$N$70,MATCH($A64,'Sales Actual'!$M$5:$M$70,0))</f>
        <v>0</v>
      </c>
      <c r="M64" s="22">
        <f>INDEX('Sales Actual'!$P$5:$P$70,MATCH($A64,'Sales Actual'!$O$5:$O$70,0))</f>
        <v>0</v>
      </c>
      <c r="N64" s="22">
        <f>INDEX('Sales Actual'!$R$5:$R$70,MATCH($A64,'Sales Actual'!$Q$5:$Q$70,0))</f>
        <v>0</v>
      </c>
      <c r="O64" s="22">
        <f>INDEX('Sales Actual'!$T$5:$T$70,MATCH($A64,'Sales Actual'!$S$5:$S$70,0))</f>
        <v>0</v>
      </c>
      <c r="P64" s="22">
        <f>INDEX('Sales Actual'!$V$5:$V$70,MATCH($A64,'Sales Actual'!$U$5:$U$70,0))</f>
        <v>0</v>
      </c>
      <c r="Q64" s="22">
        <f>INDEX('Sales Actual'!$X$5:$X$70,MATCH($A64,'Sales Actual'!$W$5:$W$70,0))</f>
        <v>0</v>
      </c>
      <c r="R64" s="22"/>
      <c r="S64" s="22"/>
      <c r="T64" s="22"/>
      <c r="U64" s="22"/>
      <c r="V64" s="22"/>
      <c r="W64" s="22"/>
      <c r="X64" s="22"/>
      <c r="Y64" s="22"/>
      <c r="Z64" s="22"/>
      <c r="AA64" s="22"/>
      <c r="AB64" s="22"/>
      <c r="AC64" s="22"/>
    </row>
    <row r="65" ht="12.7" customHeight="1">
      <c r="A65" t="s" s="18">
        <v>90</v>
      </c>
      <c r="B65" s="19">
        <v>400007</v>
      </c>
      <c r="C65" t="s" s="20">
        <v>91</v>
      </c>
      <c r="D65" t="s" s="21">
        <v>25</v>
      </c>
      <c r="E65" t="s" s="23">
        <f>A65&amp;D65</f>
        <v>94</v>
      </c>
      <c r="F65" s="22">
        <v>1944</v>
      </c>
      <c r="G65" s="22">
        <v>0</v>
      </c>
      <c r="H65" s="22">
        <v>1944</v>
      </c>
      <c r="I65" s="22">
        <v>0</v>
      </c>
      <c r="J65" s="22">
        <v>1728</v>
      </c>
      <c r="K65" s="22">
        <v>3600</v>
      </c>
      <c r="L65" s="22">
        <v>1008</v>
      </c>
      <c r="M65" s="22">
        <v>0</v>
      </c>
      <c r="N65" s="22">
        <f t="shared" si="542" ref="N65:O77">72*90</f>
        <v>6480</v>
      </c>
      <c r="O65" s="22">
        <f>144*33</f>
        <v>4752</v>
      </c>
      <c r="P65" s="22">
        <f>72*115</f>
        <v>8280</v>
      </c>
      <c r="Q65" s="22">
        <f>72*95</f>
        <v>6840</v>
      </c>
      <c r="R65" s="24">
        <v>0</v>
      </c>
      <c r="S65" s="24"/>
      <c r="T65" s="24"/>
      <c r="U65" s="24"/>
      <c r="V65" s="24"/>
      <c r="W65" s="24"/>
      <c r="X65" s="24"/>
      <c r="Y65" s="24"/>
      <c r="Z65" s="24"/>
      <c r="AA65" s="24"/>
      <c r="AB65" s="24"/>
      <c r="AC65" s="24"/>
    </row>
    <row r="66" ht="12.7" customHeight="1">
      <c r="A66" t="s" s="18">
        <v>90</v>
      </c>
      <c r="B66" s="19">
        <v>400007</v>
      </c>
      <c r="C66" t="s" s="20">
        <v>91</v>
      </c>
      <c r="D66" t="s" s="21">
        <v>27</v>
      </c>
      <c r="E66" t="s" s="23">
        <f>A66&amp;D66</f>
        <v>95</v>
      </c>
      <c r="F66" s="22">
        <v>1944</v>
      </c>
      <c r="G66" s="22">
        <v>0</v>
      </c>
      <c r="H66" s="22">
        <v>1584</v>
      </c>
      <c r="I66" s="22">
        <v>0</v>
      </c>
      <c r="J66" s="22">
        <v>1944</v>
      </c>
      <c r="K66" s="22">
        <v>3888</v>
      </c>
      <c r="L66" s="22">
        <v>1944</v>
      </c>
      <c r="M66" s="22">
        <v>0</v>
      </c>
      <c r="N66" s="22">
        <f>72*88</f>
        <v>6336</v>
      </c>
      <c r="O66" s="22">
        <f>144*44</f>
        <v>6336</v>
      </c>
      <c r="P66" s="22">
        <f>P65</f>
        <v>8280</v>
      </c>
      <c r="Q66" s="22">
        <f>Q65</f>
        <v>6840</v>
      </c>
      <c r="R66" s="24">
        <f>R65</f>
        <v>0</v>
      </c>
      <c r="S66" s="24"/>
      <c r="T66" s="24"/>
      <c r="U66" s="24"/>
      <c r="V66" s="24"/>
      <c r="W66" s="24"/>
      <c r="X66" s="24"/>
      <c r="Y66" s="24"/>
      <c r="Z66" s="24"/>
      <c r="AA66" s="24"/>
      <c r="AB66" s="24"/>
      <c r="AC66" s="24"/>
    </row>
    <row r="67" ht="12.7" customHeight="1">
      <c r="A67" t="s" s="18">
        <v>90</v>
      </c>
      <c r="B67" s="19">
        <v>400007</v>
      </c>
      <c r="C67" t="s" s="20">
        <v>91</v>
      </c>
      <c r="D67" t="s" s="21">
        <v>29</v>
      </c>
      <c r="E67" t="s" s="16">
        <f>A67&amp;D67</f>
        <v>96</v>
      </c>
      <c r="F67" s="22">
        <v>8494.200000000001</v>
      </c>
      <c r="G67" s="22">
        <v>10804</v>
      </c>
      <c r="H67" s="22">
        <f>G68+H66-(H63-H64)-H71</f>
        <v>8213</v>
      </c>
      <c r="I67" s="22">
        <f>IF((H68+I66-I63-I71)&lt;0,0,(H68+I66-I63-I71))</f>
        <v>3309</v>
      </c>
      <c r="J67" s="22">
        <f>I67+J66-(J63-J64)-J71</f>
        <v>2850</v>
      </c>
      <c r="K67" s="22">
        <f>J67+K66-(K63-K64)-K71</f>
        <v>4375</v>
      </c>
      <c r="L67" s="22">
        <f>K67+L66-(L63-L64)-L71</f>
        <v>3423</v>
      </c>
      <c r="M67" s="22">
        <v>0</v>
      </c>
      <c r="N67" s="22">
        <f>M67+N66-(N63-N64)-N71</f>
        <v>882</v>
      </c>
      <c r="O67" s="22">
        <f>N67+O66-(O63-O64)-O71</f>
        <v>1446</v>
      </c>
      <c r="P67" s="22">
        <f>IF((O67+P66-(P63-P64)-P71)&lt;0,0,(O67+P66-(P63-P64)-P71))</f>
        <v>3375</v>
      </c>
      <c r="Q67" s="22">
        <f>IF((P67+Q66-(Q63-Q64)-Q71)&lt;0,0,(P67+Q66-(Q63-Q64)-Q71))</f>
        <v>4920</v>
      </c>
      <c r="R67" s="22">
        <f>IF((Q67+R66-(R63-R64)-R71)&lt;0,0,(Q67+R66-(R63-R64)-R71))</f>
        <v>0</v>
      </c>
      <c r="S67" s="22"/>
      <c r="T67" s="22"/>
      <c r="U67" s="22"/>
      <c r="V67" s="22"/>
      <c r="W67" s="22"/>
      <c r="X67" s="22"/>
      <c r="Y67" s="22"/>
      <c r="Z67" s="22"/>
      <c r="AA67" s="22"/>
      <c r="AB67" s="22"/>
      <c r="AC67" s="22"/>
    </row>
    <row r="68" ht="12.7" customHeight="1">
      <c r="A68" t="s" s="18">
        <v>90</v>
      </c>
      <c r="B68" s="19">
        <v>400007</v>
      </c>
      <c r="C68" t="s" s="20">
        <v>91</v>
      </c>
      <c r="D68" t="s" s="21">
        <v>31</v>
      </c>
      <c r="E68" t="s" s="16">
        <f>A68&amp;D68</f>
        <v>97</v>
      </c>
      <c r="F68" s="22">
        <f>INDEX('Actual Stock'!$B$5:$B$70,MATCH($A68,'Actual Stock'!$A$5:$A$70,0))</f>
        <v>12362</v>
      </c>
      <c r="G68" s="22">
        <f>INDEX('Actual Stock'!$D$5:$D$70,MATCH($A68,'Actual Stock'!$C$5:$C$70,0))</f>
        <v>7114</v>
      </c>
      <c r="H68" s="22">
        <f>INDEX('Actual Stock'!$F$5:$F$70,MATCH($A68,'Actual Stock'!$E$5:$E$70,0))</f>
        <v>6212</v>
      </c>
      <c r="I68" s="22">
        <f>INDEX('Actual Stock'!$H$5:$H$70,MATCH($A68,'Actual Stock'!$G$5:$G$70,0))</f>
        <v>0</v>
      </c>
      <c r="J68" s="22">
        <f>INDEX('Actual Stock'!$J$5:$J$70,MATCH($A68,'Actual Stock'!$I$5:$I$70,0))</f>
        <v>0</v>
      </c>
      <c r="K68" s="22">
        <f>INDEX('Actual Stock'!$L$5:$L$70,MATCH($A68,'Actual Stock'!$K$5:$K$70,0))</f>
        <v>0</v>
      </c>
      <c r="L68" s="22">
        <f>INDEX('Actual Stock'!$N$5:$N$70,MATCH($A68,'Actual Stock'!$M$5:$M$70,0))</f>
        <v>0</v>
      </c>
      <c r="M68" s="22">
        <f>INDEX('Actual Stock'!$P$5:$P$70,MATCH($A68,'Actual Stock'!$O$5:$O$70,0))</f>
        <v>0</v>
      </c>
      <c r="N68" s="22">
        <f>INDEX('Actual Stock'!$R$5:$R$70,MATCH($A68,'Actual Stock'!$Q$5:$Q$70,0))</f>
        <v>0</v>
      </c>
      <c r="O68" s="22">
        <f>INDEX('Actual Stock'!$T$5:$T$70,MATCH($A68,'Actual Stock'!$S$5:$S$70,0))</f>
        <v>0</v>
      </c>
      <c r="P68" s="22">
        <f>INDEX('Actual Stock'!$V$5:$V$70,MATCH($A68,'Actual Stock'!$U$5:$U$70,0))</f>
        <v>0</v>
      </c>
      <c r="Q68" s="22">
        <f>INDEX('Actual Stock'!$X$5:$X$70,MATCH($A68,'Actual Stock'!$W$5:$W$70,0))</f>
        <v>0</v>
      </c>
      <c r="R68" s="22"/>
      <c r="S68" s="22"/>
      <c r="T68" s="22"/>
      <c r="U68" s="22"/>
      <c r="V68" s="22"/>
      <c r="W68" s="22"/>
      <c r="X68" s="22"/>
      <c r="Y68" s="22"/>
      <c r="Z68" s="22"/>
      <c r="AA68" s="22"/>
      <c r="AB68" s="22"/>
      <c r="AC68" s="22"/>
    </row>
    <row r="69" ht="12.7" customHeight="1">
      <c r="A69" t="s" s="18">
        <v>90</v>
      </c>
      <c r="B69" s="19">
        <v>400007</v>
      </c>
      <c r="C69" t="s" s="20">
        <v>91</v>
      </c>
      <c r="D69" t="s" s="21">
        <v>33</v>
      </c>
      <c r="E69" t="s" s="23">
        <f>A69&amp;D69</f>
        <v>98</v>
      </c>
      <c r="F69" s="22">
        <v>0</v>
      </c>
      <c r="G69" s="22">
        <v>0</v>
      </c>
      <c r="H69" s="22">
        <v>0</v>
      </c>
      <c r="I69" s="22">
        <v>0</v>
      </c>
      <c r="J69" s="22">
        <v>0</v>
      </c>
      <c r="K69" s="22">
        <v>0</v>
      </c>
      <c r="L69" s="22">
        <v>0</v>
      </c>
      <c r="M69" s="22">
        <v>-1007</v>
      </c>
      <c r="N69" s="22">
        <v>0</v>
      </c>
      <c r="O69" s="22">
        <v>0</v>
      </c>
      <c r="P69" s="46"/>
      <c r="Q69" s="47"/>
      <c r="R69" s="24">
        <f>IF((Q67+R66-(R63-R64)-R71)&gt;0,0,(Q67+R66-(R63-R64)-R71))</f>
        <v>-2166</v>
      </c>
      <c r="S69" s="24"/>
      <c r="T69" s="24"/>
      <c r="U69" s="24"/>
      <c r="V69" s="24"/>
      <c r="W69" s="24"/>
      <c r="X69" s="24"/>
      <c r="Y69" s="24"/>
      <c r="Z69" s="24"/>
      <c r="AA69" s="24"/>
      <c r="AB69" s="24"/>
      <c r="AC69" s="24"/>
    </row>
    <row r="70" ht="12.7" customHeight="1">
      <c r="A70" t="s" s="18">
        <v>90</v>
      </c>
      <c r="B70" s="19">
        <v>400007</v>
      </c>
      <c r="C70" t="s" s="20">
        <v>91</v>
      </c>
      <c r="D70" t="s" s="21">
        <v>35</v>
      </c>
      <c r="E70" t="s" s="23">
        <f>A70&amp;D70</f>
        <v>99</v>
      </c>
      <c r="F70" s="25">
        <f>INDEX('Issued by date'!$B$5:$B$70,MATCH($A70,'Issued by date'!$A$5:$A$70,0))</f>
        <v>0</v>
      </c>
      <c r="G70" s="26">
        <f>INDEX('Issued by date'!$D$5:$D$70,MATCH($A70,'Issued by date'!$C$5:$C$70,0))</f>
        <v>1354</v>
      </c>
      <c r="H70" s="22">
        <f>INDEX('Issued by date'!$F$5:$F$70,MATCH($A70,'Issued by date'!$E$5:$E$70,0))</f>
        <v>1480</v>
      </c>
      <c r="I70" s="22">
        <f>INDEX('Issued by date'!$H$5:$H$70,MATCH($A70,'Issued by date'!$G$5:$G$70,0))</f>
        <v>930</v>
      </c>
      <c r="J70" s="22">
        <f>INDEX('Issued by date'!$J$5:$J$70,MATCH($A70,'Issued by date'!$I$5:$I$70,0))</f>
        <v>2133</v>
      </c>
      <c r="K70" s="22">
        <f>INDEX('Issued by date'!$L$5:$L$70,MATCH($A70,'Issued by date'!$K$5:$K$70,0))</f>
        <v>1637</v>
      </c>
      <c r="L70" s="22">
        <f>INDEX('Issued by date'!$N$5:$N$70,MATCH($A70,'Issued by date'!$M$5:$M$70,0))</f>
        <v>0</v>
      </c>
      <c r="M70" s="22">
        <f>INDEX('Issued by date'!$P$5:$P$70,MATCH($A70,'Issued by date'!$O$5:$O$70,0))</f>
        <v>1512</v>
      </c>
      <c r="N70" s="27">
        <f>INDEX('Issued by date'!$R$5:$R$70,MATCH($A70,'Issued by date'!$Q$5:$Q$70,0))</f>
        <v>0</v>
      </c>
      <c r="O70" s="28">
        <f>INDEX('Issued by date'!$F$5:$F$70,MATCH($A70,'Issued by date'!$E$5:$E$70,0))</f>
        <v>1480</v>
      </c>
      <c r="P70" s="28">
        <f>INDEX('Issued by date'!$V$5:$V$70,MATCH($A70,'Issued by date'!$U$5:$U$70,0))</f>
        <v>0</v>
      </c>
      <c r="Q70" s="29">
        <f>INDEX('Issued by date'!$X$5:$X$70,MATCH($A70,'Issued by date'!$W$5:$W$70,0))</f>
        <v>0</v>
      </c>
      <c r="R70" s="24"/>
      <c r="S70" s="24"/>
      <c r="T70" s="24"/>
      <c r="U70" s="24"/>
      <c r="V70" s="24"/>
      <c r="W70" s="24"/>
      <c r="X70" s="24"/>
      <c r="Y70" s="24"/>
      <c r="Z70" s="24"/>
      <c r="AA70" s="24"/>
      <c r="AB70" s="24"/>
      <c r="AC70" s="24"/>
    </row>
    <row r="71" ht="12.7" customHeight="1">
      <c r="A71" t="s" s="18">
        <v>90</v>
      </c>
      <c r="B71" s="19">
        <v>400007</v>
      </c>
      <c r="C71" t="s" s="20">
        <v>91</v>
      </c>
      <c r="D71" t="s" s="21">
        <v>37</v>
      </c>
      <c r="E71" t="s" s="23">
        <f>A71&amp;D71</f>
        <v>100</v>
      </c>
      <c r="F71" s="22">
        <v>0</v>
      </c>
      <c r="G71" s="30"/>
      <c r="H71" s="22">
        <f>IF((H70-H63)&gt;0,IF((H70-H63)&gt;0,(H70-H63),0),0)</f>
        <v>0</v>
      </c>
      <c r="I71" s="22">
        <v>0</v>
      </c>
      <c r="J71" s="22">
        <f>IF((J70-J63)&gt;0,IF((J70-J63)&gt;0,(J70-J63),0),0)</f>
        <v>0</v>
      </c>
      <c r="K71" s="22">
        <f>IF((K70-K63)&gt;0,IF((K70-K63)&gt;0,(K70-K63),0),0)</f>
        <v>0</v>
      </c>
      <c r="L71" s="48"/>
      <c r="M71" s="22">
        <v>0</v>
      </c>
      <c r="N71" s="31"/>
      <c r="O71" s="32"/>
      <c r="P71" s="32"/>
      <c r="Q71" s="33"/>
      <c r="R71" s="24"/>
      <c r="S71" s="24"/>
      <c r="T71" s="24"/>
      <c r="U71" s="24"/>
      <c r="V71" s="24"/>
      <c r="W71" s="24"/>
      <c r="X71" s="24"/>
      <c r="Y71" s="24"/>
      <c r="Z71" s="24"/>
      <c r="AA71" s="24"/>
      <c r="AB71" s="24"/>
      <c r="AC71" s="24"/>
    </row>
    <row r="72" ht="12.7" customHeight="1">
      <c r="A72" t="s" s="34">
        <v>90</v>
      </c>
      <c r="B72" s="35">
        <v>400007</v>
      </c>
      <c r="C72" t="s" s="36">
        <v>91</v>
      </c>
      <c r="D72" t="s" s="37">
        <v>39</v>
      </c>
      <c r="E72" t="s" s="16">
        <f>A72&amp;D72</f>
        <v>101</v>
      </c>
      <c r="F72" s="38">
        <f>IFERROR(F68/AVERAGE(G63:H63)*30,0)</f>
        <v>140.4772727272727</v>
      </c>
      <c r="G72" s="38">
        <f>IFERROR(G68/AVERAGE(H63:I63)*30,0)</f>
        <v>80.85622276946391</v>
      </c>
      <c r="H72" s="38">
        <f>IFERROR(H67/AVERAGE(I63:J63)*30,0)</f>
        <v>92.8722201281568</v>
      </c>
      <c r="I72" s="38">
        <f>IFERROR(I67/AVERAGE(J63:K63)*30,0)</f>
        <v>41.65757448594209</v>
      </c>
      <c r="J72" s="38">
        <f>IFERROR(J67/AVERAGE(K63:L63)*30,0)</f>
        <v>32.5156873930405</v>
      </c>
      <c r="K72" s="38">
        <f>IFERROR(K67/AVERAGE(L63:M63)*30,0)</f>
        <v>44.47644866147068</v>
      </c>
      <c r="L72" s="38">
        <f>IFERROR(L67/AVERAGE(M63:N63)*30,0)</f>
        <v>24.27659574468085</v>
      </c>
      <c r="M72" s="38">
        <f>IFERROR(M67/AVERAGE(N63:O63)*30,0)</f>
        <v>0</v>
      </c>
      <c r="N72" s="38">
        <f>IFERROR(N67/AVERAGE(O63:P63)*30,0)</f>
        <v>4.365256124721604</v>
      </c>
      <c r="O72" s="38">
        <f>IFERROR(O67/AVERAGE(P63:Q63)*30,0)</f>
        <v>7.449768160741886</v>
      </c>
      <c r="P72" s="38">
        <f>IFERROR(P67/AVERAGE(Q63:R63)*30,0)</f>
        <v>16.35570632420644</v>
      </c>
      <c r="Q72" s="38">
        <f>IFERROR(Q67/AVERAGE(R63:S63)*30,0)</f>
        <v>20.82980524978831</v>
      </c>
      <c r="R72" s="38">
        <f>IFERROR(R67/AVERAGE(S63:T63)*30,0)</f>
        <v>0</v>
      </c>
      <c r="S72" s="38"/>
      <c r="T72" s="38"/>
      <c r="U72" s="38"/>
      <c r="V72" s="38"/>
      <c r="W72" s="38"/>
      <c r="X72" s="38"/>
      <c r="Y72" s="38"/>
      <c r="Z72" s="38"/>
      <c r="AA72" s="38"/>
      <c r="AB72" s="38"/>
      <c r="AC72" s="38"/>
    </row>
    <row r="73" ht="12" customHeight="1">
      <c r="A73" s="39"/>
      <c r="B73" s="40"/>
      <c r="C73" s="40"/>
      <c r="D73" s="41"/>
      <c r="E73" t="s" s="23">
        <f>A73&amp;D73</f>
      </c>
      <c r="F73" s="42"/>
      <c r="G73" s="40"/>
      <c r="H73" s="40"/>
      <c r="I73" s="40"/>
      <c r="J73" s="40"/>
      <c r="K73" s="40"/>
      <c r="L73" s="40"/>
      <c r="M73" s="40"/>
      <c r="N73" s="40"/>
      <c r="O73" s="40"/>
      <c r="P73" s="40"/>
      <c r="Q73" s="40"/>
      <c r="R73" s="40"/>
      <c r="S73" s="40"/>
      <c r="T73" s="40"/>
      <c r="U73" s="40"/>
      <c r="V73" s="40"/>
      <c r="W73" s="40"/>
      <c r="X73" s="40"/>
      <c r="Y73" s="40"/>
      <c r="Z73" s="40"/>
      <c r="AA73" s="40"/>
      <c r="AB73" s="40"/>
      <c r="AC73" s="43"/>
    </row>
    <row r="74" ht="13.5" customHeight="1">
      <c r="A74" t="s" s="8">
        <v>4</v>
      </c>
      <c r="B74" t="s" s="9">
        <v>5</v>
      </c>
      <c r="C74" t="s" s="9">
        <v>6</v>
      </c>
      <c r="D74" t="s" s="44">
        <v>7</v>
      </c>
      <c r="E74" t="s" s="23">
        <f>A74&amp;D74</f>
        <v>41</v>
      </c>
      <c r="F74" t="s" s="45">
        <v>8</v>
      </c>
      <c r="G74" t="s" s="9">
        <v>9</v>
      </c>
      <c r="H74" t="s" s="9">
        <v>10</v>
      </c>
      <c r="I74" t="s" s="9">
        <v>11</v>
      </c>
      <c r="J74" t="s" s="9">
        <v>1</v>
      </c>
      <c r="K74" t="s" s="9">
        <v>12</v>
      </c>
      <c r="L74" t="s" s="9">
        <v>13</v>
      </c>
      <c r="M74" t="s" s="9">
        <v>14</v>
      </c>
      <c r="N74" t="s" s="9">
        <v>15</v>
      </c>
      <c r="O74" t="s" s="9">
        <v>16</v>
      </c>
      <c r="P74" t="s" s="9">
        <v>17</v>
      </c>
      <c r="Q74" t="s" s="9">
        <v>18</v>
      </c>
      <c r="R74" t="s" s="9">
        <v>8</v>
      </c>
      <c r="S74" t="s" s="9">
        <v>9</v>
      </c>
      <c r="T74" t="s" s="9">
        <v>10</v>
      </c>
      <c r="U74" t="s" s="9">
        <v>11</v>
      </c>
      <c r="V74" t="s" s="9">
        <v>1</v>
      </c>
      <c r="W74" t="s" s="9">
        <v>12</v>
      </c>
      <c r="X74" t="s" s="9">
        <v>13</v>
      </c>
      <c r="Y74" t="s" s="9">
        <v>14</v>
      </c>
      <c r="Z74" t="s" s="9">
        <v>15</v>
      </c>
      <c r="AA74" t="s" s="9">
        <v>16</v>
      </c>
      <c r="AB74" t="s" s="9">
        <v>17</v>
      </c>
      <c r="AC74" t="s" s="11">
        <v>18</v>
      </c>
    </row>
    <row r="75" ht="12.7" customHeight="1">
      <c r="A75" t="s" s="12">
        <v>102</v>
      </c>
      <c r="B75" s="13">
        <v>400008</v>
      </c>
      <c r="C75" t="s" s="14">
        <v>103</v>
      </c>
      <c r="D75" t="s" s="15">
        <v>21</v>
      </c>
      <c r="E75" t="s" s="16">
        <f>A75&amp;D75</f>
        <v>104</v>
      </c>
      <c r="F75" s="17">
        <f>INDEX('Sales Forecast'!$B$5:$B$72,MATCH($A75,'Sales Forecast'!$A$5:$A$72,0))</f>
        <v>8364</v>
      </c>
      <c r="G75" s="17">
        <f>INDEX('Sales Forecast'!$D$5:$D$72,MATCH($A75,'Sales Forecast'!$C$5:$C$72,0))</f>
        <v>2854</v>
      </c>
      <c r="H75" s="17">
        <f>INDEX('Sales Forecast'!$F$5:$F$72,MATCH($A75,'Sales Forecast'!$E$5:$E$72,0))</f>
        <v>2800</v>
      </c>
      <c r="I75" s="17">
        <f>INDEX('Sales Forecast'!$H$5:$H$72,MATCH($A75,'Sales Forecast'!$G$5:$G$72,0))</f>
        <v>2803</v>
      </c>
      <c r="J75" s="17">
        <f>INDEX('Sales Forecast'!$J$5:$J$72,MATCH($A75,'Sales Forecast'!$I$5:$I$72,0))</f>
        <v>2405</v>
      </c>
      <c r="K75" s="17">
        <f>INDEX('Sales Forecast'!$L$5:$L$72,MATCH($A75,'Sales Forecast'!$K$5:$K$72,0))</f>
        <v>2365</v>
      </c>
      <c r="L75" s="17">
        <f>INDEX('Sales Forecast'!$N$5:$N$72,MATCH($A75,'Sales Forecast'!$M$5:$M$72,0))</f>
        <v>2897</v>
      </c>
      <c r="M75" s="17">
        <f>INDEX('Sales Forecast'!$P$5:$P$72,MATCH($A75,'Sales Forecast'!$O$5:$O$72,0))</f>
        <v>3758</v>
      </c>
      <c r="N75" s="17">
        <f>INDEX('Sales Forecast'!$R$5:$R$72,MATCH($A75,'Sales Forecast'!$Q$5:$Q$72,0))</f>
        <v>7920</v>
      </c>
      <c r="O75" s="17">
        <f>INDEX('Sales Forecast'!$T$5:$T$72,MATCH($A75,'Sales Forecast'!$S$5:$S$72,0))</f>
        <v>6450</v>
      </c>
      <c r="P75" s="17">
        <f>INDEX('Sales Forecast'!$V$5:$V$72,MATCH($A75,'Sales Forecast'!$U$5:$U$72,0))</f>
        <v>7650</v>
      </c>
      <c r="Q75" s="17">
        <f>INDEX('Sales Forecast'!$X$5:$X$72,MATCH($A75,'Sales Forecast'!$W$5:$W$72,0))</f>
        <v>12501</v>
      </c>
      <c r="R75" s="17">
        <v>8318.4</v>
      </c>
      <c r="S75" s="17"/>
      <c r="T75" s="17"/>
      <c r="U75" s="17"/>
      <c r="V75" s="17"/>
      <c r="W75" s="17"/>
      <c r="X75" s="17"/>
      <c r="Y75" s="17"/>
      <c r="Z75" s="17"/>
      <c r="AA75" s="17"/>
      <c r="AB75" s="17"/>
      <c r="AC75" s="17"/>
    </row>
    <row r="76" ht="12.7" customHeight="1">
      <c r="A76" t="s" s="18">
        <v>102</v>
      </c>
      <c r="B76" s="19">
        <v>400008</v>
      </c>
      <c r="C76" t="s" s="20">
        <v>103</v>
      </c>
      <c r="D76" t="s" s="21">
        <v>23</v>
      </c>
      <c r="E76" t="s" s="16">
        <f>A76&amp;D76</f>
        <v>105</v>
      </c>
      <c r="F76" s="22">
        <f>INDEX('Sales Actual'!$B$5:$B$70,MATCH($A76,'Sales Actual'!$A$5:$A$70,0))</f>
        <v>6932</v>
      </c>
      <c r="G76" s="22">
        <f>INDEX('Sales Actual'!$D$5:$D$70,MATCH($A76,'Sales Actual'!$C$5:$C$70,0))</f>
        <v>2214</v>
      </c>
      <c r="H76" s="22">
        <f>INDEX('Sales Actual'!$F$5:$F$70,MATCH($A76,'Sales Actual'!$E$5:$E$70,0))</f>
        <v>1315</v>
      </c>
      <c r="I76" s="22">
        <f>INDEX('Sales Actual'!$H$5:$H$70,MATCH($A76,'Sales Actual'!$G$5:$G$70,0))</f>
        <v>0</v>
      </c>
      <c r="J76" s="22">
        <f>INDEX('Sales Actual'!$J$5:$J$70,MATCH($A76,'Sales Actual'!$I$5:$I$70,0))</f>
        <v>0</v>
      </c>
      <c r="K76" s="22">
        <f>INDEX('Sales Actual'!$L$5:$L$70,MATCH($A76,'Sales Actual'!$K$5:$K$70,0))</f>
        <v>0</v>
      </c>
      <c r="L76" s="22">
        <f>INDEX('Sales Actual'!$N$5:$N$70,MATCH($A76,'Sales Actual'!$M$5:$M$70,0))</f>
        <v>0</v>
      </c>
      <c r="M76" s="22">
        <f>INDEX('Sales Actual'!$P$5:$P$70,MATCH($A76,'Sales Actual'!$O$5:$O$70,0))</f>
        <v>0</v>
      </c>
      <c r="N76" s="22">
        <f>INDEX('Sales Actual'!$R$5:$R$70,MATCH($A76,'Sales Actual'!$Q$5:$Q$70,0))</f>
        <v>0</v>
      </c>
      <c r="O76" s="22">
        <f>INDEX('Sales Actual'!$T$5:$T$70,MATCH($A76,'Sales Actual'!$S$5:$S$70,0))</f>
        <v>0</v>
      </c>
      <c r="P76" s="22">
        <f>INDEX('Sales Actual'!$V$5:$V$70,MATCH($A76,'Sales Actual'!$U$5:$U$70,0))</f>
        <v>0</v>
      </c>
      <c r="Q76" s="22">
        <f>INDEX('Sales Actual'!$X$5:$X$70,MATCH($A76,'Sales Actual'!$W$5:$W$70,0))</f>
        <v>0</v>
      </c>
      <c r="R76" s="22"/>
      <c r="S76" s="22"/>
      <c r="T76" s="22"/>
      <c r="U76" s="22"/>
      <c r="V76" s="22"/>
      <c r="W76" s="22"/>
      <c r="X76" s="22"/>
      <c r="Y76" s="22"/>
      <c r="Z76" s="22"/>
      <c r="AA76" s="22"/>
      <c r="AB76" s="22"/>
      <c r="AC76" s="22"/>
    </row>
    <row r="77" ht="12.7" customHeight="1">
      <c r="A77" t="s" s="18">
        <v>102</v>
      </c>
      <c r="B77" s="19">
        <v>400008</v>
      </c>
      <c r="C77" t="s" s="20">
        <v>103</v>
      </c>
      <c r="D77" t="s" s="21">
        <v>25</v>
      </c>
      <c r="E77" t="s" s="23">
        <f>A77&amp;D77</f>
        <v>106</v>
      </c>
      <c r="F77" s="22">
        <v>1944</v>
      </c>
      <c r="G77" s="22">
        <v>0</v>
      </c>
      <c r="H77" s="22">
        <v>1944</v>
      </c>
      <c r="I77" s="22">
        <v>0</v>
      </c>
      <c r="J77" s="22">
        <v>1728</v>
      </c>
      <c r="K77" s="22">
        <v>3600</v>
      </c>
      <c r="L77" s="22">
        <v>0</v>
      </c>
      <c r="M77" s="22">
        <f t="shared" si="638" ref="M77:N77">72*110</f>
        <v>7920</v>
      </c>
      <c r="N77" s="22">
        <f t="shared" si="638"/>
        <v>7920</v>
      </c>
      <c r="O77" s="51">
        <f t="shared" si="542"/>
        <v>6480</v>
      </c>
      <c r="P77" s="22">
        <f>72*160</f>
        <v>11520</v>
      </c>
      <c r="Q77" s="22">
        <f>72*180</f>
        <v>12960</v>
      </c>
      <c r="R77" s="24">
        <v>0</v>
      </c>
      <c r="S77" s="24"/>
      <c r="T77" s="24"/>
      <c r="U77" s="24"/>
      <c r="V77" s="24"/>
      <c r="W77" s="24"/>
      <c r="X77" s="24"/>
      <c r="Y77" s="24"/>
      <c r="Z77" s="24"/>
      <c r="AA77" s="24"/>
      <c r="AB77" s="24"/>
      <c r="AC77" s="24"/>
    </row>
    <row r="78" ht="12.7" customHeight="1">
      <c r="A78" t="s" s="18">
        <v>102</v>
      </c>
      <c r="B78" s="19">
        <v>400008</v>
      </c>
      <c r="C78" t="s" s="20">
        <v>103</v>
      </c>
      <c r="D78" t="s" s="21">
        <v>27</v>
      </c>
      <c r="E78" t="s" s="23">
        <f>A78&amp;D78</f>
        <v>107</v>
      </c>
      <c r="F78" s="22">
        <v>1944</v>
      </c>
      <c r="G78" s="22">
        <v>0</v>
      </c>
      <c r="H78" s="22">
        <v>1584</v>
      </c>
      <c r="I78" s="22">
        <v>0</v>
      </c>
      <c r="J78" s="22">
        <v>1944</v>
      </c>
      <c r="K78" s="22">
        <v>3888</v>
      </c>
      <c r="L78" s="22">
        <v>0</v>
      </c>
      <c r="M78" s="22">
        <v>5472</v>
      </c>
      <c r="N78" s="22">
        <f>72*107</f>
        <v>7704</v>
      </c>
      <c r="O78" s="51">
        <f>72*87</f>
        <v>6264</v>
      </c>
      <c r="P78" s="22">
        <f>P77</f>
        <v>11520</v>
      </c>
      <c r="Q78" s="22">
        <f>Q77</f>
        <v>12960</v>
      </c>
      <c r="R78" s="24">
        <f>R77</f>
        <v>0</v>
      </c>
      <c r="S78" s="24"/>
      <c r="T78" s="24"/>
      <c r="U78" s="24"/>
      <c r="V78" s="24"/>
      <c r="W78" s="24"/>
      <c r="X78" s="24"/>
      <c r="Y78" s="24"/>
      <c r="Z78" s="24"/>
      <c r="AA78" s="24"/>
      <c r="AB78" s="24"/>
      <c r="AC78" s="24"/>
    </row>
    <row r="79" ht="12.7" customHeight="1">
      <c r="A79" t="s" s="18">
        <v>102</v>
      </c>
      <c r="B79" s="19">
        <v>400008</v>
      </c>
      <c r="C79" t="s" s="20">
        <v>103</v>
      </c>
      <c r="D79" t="s" s="21">
        <v>29</v>
      </c>
      <c r="E79" t="s" s="16">
        <f>A79&amp;D79</f>
        <v>108</v>
      </c>
      <c r="F79" s="22">
        <v>0</v>
      </c>
      <c r="G79" s="22">
        <v>2437</v>
      </c>
      <c r="H79" s="22">
        <f>G80+H78-(H75-H76)-H83</f>
        <v>1021</v>
      </c>
      <c r="I79" s="22">
        <f>IF((H80+I78-I75-I83)&lt;0,0,(H80+I78-I75-I83))</f>
        <v>0</v>
      </c>
      <c r="J79" s="22">
        <f>IF((I79+J78-(J75-J76)-J83)&lt;0,0,(I79+J78-(J75-J76)-J83))</f>
        <v>0</v>
      </c>
      <c r="K79" s="22">
        <f>IF((J79+K78-(K75-K76)-K83)&lt;0,0,(J79+K78-(K75-K76)-K83))</f>
        <v>1523</v>
      </c>
      <c r="L79" s="22">
        <f>IF((K79+L78-(L75-L76)-L83)&lt;0,0,(K79+L78-(L75-L76)-L83))</f>
        <v>0</v>
      </c>
      <c r="M79" s="22">
        <f>IF((L79+M78-(M75-M76)-M83)&lt;0,0,(L79+M78-(M75-M76)-M83))</f>
        <v>1714</v>
      </c>
      <c r="N79" s="22">
        <f>IF((M79+N78-(N75-N76)-N83)&lt;0,0,(M79+N78-(N75-N76)-N83))</f>
        <v>1498</v>
      </c>
      <c r="O79" s="22">
        <f>IF((N79+O78-(O75-O76)-O83)&lt;0,0,(N79+O78-(O75-O76)-O83))</f>
        <v>1312</v>
      </c>
      <c r="P79" s="22">
        <f>IF((O79+P78-(P75-P76)-P83)&lt;0,0,(O79+P78-(P75-P76)-P83))</f>
        <v>5182</v>
      </c>
      <c r="Q79" s="22">
        <f>IF((P79+Q78-(Q75-Q76)-Q83)&lt;0,0,(P79+Q78-(Q75-Q76)-Q83))</f>
        <v>5641</v>
      </c>
      <c r="R79" s="22">
        <f>IF((Q79+R78-(R75-R76)-R83)&lt;0,0,(Q79+R78-(R75-R76)-R83))</f>
        <v>0</v>
      </c>
      <c r="S79" s="22"/>
      <c r="T79" s="22"/>
      <c r="U79" s="22"/>
      <c r="V79" s="22"/>
      <c r="W79" s="22"/>
      <c r="X79" s="22"/>
      <c r="Y79" s="22"/>
      <c r="Z79" s="22"/>
      <c r="AA79" s="22"/>
      <c r="AB79" s="22"/>
      <c r="AC79" s="22"/>
    </row>
    <row r="80" ht="12.7" customHeight="1">
      <c r="A80" t="s" s="18">
        <v>102</v>
      </c>
      <c r="B80" s="19">
        <v>400008</v>
      </c>
      <c r="C80" t="s" s="20">
        <v>103</v>
      </c>
      <c r="D80" t="s" s="21">
        <v>31</v>
      </c>
      <c r="E80" t="s" s="16">
        <f>A80&amp;D80</f>
        <v>109</v>
      </c>
      <c r="F80" s="22">
        <f>INDEX('Actual Stock'!$B$5:$B$70,MATCH($A80,'Actual Stock'!$A$5:$A$70,0))</f>
        <v>3956</v>
      </c>
      <c r="G80" s="22">
        <f>INDEX('Actual Stock'!$D$5:$D$70,MATCH($A80,'Actual Stock'!$C$5:$C$70,0))</f>
        <v>922</v>
      </c>
      <c r="H80" s="22">
        <f>INDEX('Actual Stock'!$F$5:$F$70,MATCH($A80,'Actual Stock'!$E$5:$E$70,0))</f>
        <v>1362</v>
      </c>
      <c r="I80" s="22">
        <f>INDEX('Actual Stock'!$H$5:$H$70,MATCH($A80,'Actual Stock'!$G$5:$G$70,0))</f>
        <v>0</v>
      </c>
      <c r="J80" s="22">
        <f>INDEX('Actual Stock'!$J$5:$J$70,MATCH($A80,'Actual Stock'!$I$5:$I$70,0))</f>
        <v>0</v>
      </c>
      <c r="K80" s="22">
        <f>INDEX('Actual Stock'!$L$5:$L$70,MATCH($A80,'Actual Stock'!$K$5:$K$70,0))</f>
        <v>0</v>
      </c>
      <c r="L80" s="22">
        <f>INDEX('Actual Stock'!$N$5:$N$70,MATCH($A80,'Actual Stock'!$M$5:$M$70,0))</f>
        <v>0</v>
      </c>
      <c r="M80" s="22">
        <f>INDEX('Actual Stock'!$P$5:$P$70,MATCH($A80,'Actual Stock'!$O$5:$O$70,0))</f>
        <v>0</v>
      </c>
      <c r="N80" s="22">
        <f>INDEX('Actual Stock'!$R$5:$R$70,MATCH($A80,'Actual Stock'!$Q$5:$Q$70,0))</f>
        <v>0</v>
      </c>
      <c r="O80" s="22">
        <f>INDEX('Actual Stock'!$T$5:$T$70,MATCH($A80,'Actual Stock'!$S$5:$S$70,0))</f>
        <v>0</v>
      </c>
      <c r="P80" s="22">
        <f>INDEX('Actual Stock'!$V$5:$V$70,MATCH($A80,'Actual Stock'!$U$5:$U$70,0))</f>
        <v>0</v>
      </c>
      <c r="Q80" s="22">
        <f>INDEX('Actual Stock'!$X$5:$X$70,MATCH($A80,'Actual Stock'!$W$5:$W$70,0))</f>
        <v>0</v>
      </c>
      <c r="R80" s="22"/>
      <c r="S80" s="22"/>
      <c r="T80" s="22"/>
      <c r="U80" s="22"/>
      <c r="V80" s="22"/>
      <c r="W80" s="22"/>
      <c r="X80" s="22"/>
      <c r="Y80" s="22"/>
      <c r="Z80" s="22"/>
      <c r="AA80" s="22"/>
      <c r="AB80" s="22"/>
      <c r="AC80" s="22"/>
    </row>
    <row r="81" ht="12.7" customHeight="1">
      <c r="A81" t="s" s="18">
        <v>102</v>
      </c>
      <c r="B81" s="19">
        <v>400008</v>
      </c>
      <c r="C81" t="s" s="20">
        <v>103</v>
      </c>
      <c r="D81" t="s" s="21">
        <v>33</v>
      </c>
      <c r="E81" t="s" s="23">
        <f>A81&amp;D81</f>
        <v>110</v>
      </c>
      <c r="F81" s="22">
        <v>0</v>
      </c>
      <c r="G81" s="22">
        <v>0</v>
      </c>
      <c r="H81" s="22">
        <v>0</v>
      </c>
      <c r="I81" s="22">
        <v>-251</v>
      </c>
      <c r="J81" s="22">
        <f>IF((I79+J78-(J75-J76)-J83)&gt;0,0,(I79+J78-(J75-J76)-J83))</f>
        <v>-461</v>
      </c>
      <c r="K81" s="22">
        <f>IF((J79+K78-(K75-K76)-K83)&gt;0,0,(J79+K78-(K75-K76)-K83))</f>
        <v>0</v>
      </c>
      <c r="L81" s="22">
        <f>IF((K79+L78-(L75-L76)-L83)&gt;0,0,(K79+L78-(L75-L76)-L83))</f>
        <v>-1374</v>
      </c>
      <c r="M81" s="22">
        <f>IF((L79+M78-(M75-M76)-M83)&gt;0,0,(L79+M78-(M75-M76)-M83))</f>
        <v>0</v>
      </c>
      <c r="N81" s="22">
        <f>IF((M79+N78-(N75-N76)-N83)&gt;0,0,(M79+N78-(N75-N76)-N83))</f>
        <v>0</v>
      </c>
      <c r="O81" s="22">
        <f>IF((N79+O78-(O75-O76)-O83)&gt;0,0,(N79+O78-(O75-O76)-O83))</f>
        <v>0</v>
      </c>
      <c r="P81" s="46"/>
      <c r="Q81" s="47"/>
      <c r="R81" s="24">
        <f>IF((Q79+R78-(R75-R76)-R83)&gt;0,0,(Q79+R78-(R75-R76)-R83))</f>
        <v>-2677.4</v>
      </c>
      <c r="S81" s="24"/>
      <c r="T81" s="24"/>
      <c r="U81" s="24"/>
      <c r="V81" s="24"/>
      <c r="W81" s="24"/>
      <c r="X81" s="24"/>
      <c r="Y81" s="24"/>
      <c r="Z81" s="24"/>
      <c r="AA81" s="24"/>
      <c r="AB81" s="24"/>
      <c r="AC81" s="24"/>
    </row>
    <row r="82" ht="12.7" customHeight="1">
      <c r="A82" t="s" s="18">
        <v>102</v>
      </c>
      <c r="B82" s="19">
        <v>400008</v>
      </c>
      <c r="C82" t="s" s="20">
        <v>103</v>
      </c>
      <c r="D82" t="s" s="21">
        <v>35</v>
      </c>
      <c r="E82" t="s" s="23">
        <f>A82&amp;D82</f>
        <v>111</v>
      </c>
      <c r="F82" s="25">
        <f>INDEX('Issued by date'!$B$5:$B$70,MATCH($A82,'Issued by date'!$A$5:$A$70,0))</f>
        <v>0</v>
      </c>
      <c r="G82" s="26">
        <f>INDEX('Issued by date'!$D$5:$D$70,MATCH($A82,'Issued by date'!$C$5:$C$70,0))</f>
        <v>0</v>
      </c>
      <c r="H82" s="22">
        <f>INDEX('Issued by date'!$F$5:$F$70,MATCH($A82,'Issued by date'!$E$5:$E$70,0))</f>
        <v>0</v>
      </c>
      <c r="I82" s="22">
        <f>INDEX('Issued by date'!$H$5:$H$70,MATCH($A82,'Issued by date'!$G$5:$G$70,0))</f>
        <v>765</v>
      </c>
      <c r="J82" s="22">
        <f>INDEX('Issued by date'!$J$5:$J$70,MATCH($A82,'Issued by date'!$I$5:$I$70,0))</f>
        <v>12</v>
      </c>
      <c r="K82" s="22">
        <f>INDEX('Issued by date'!$L$5:$L$70,MATCH($A82,'Issued by date'!$K$5:$K$70,0))</f>
        <v>0</v>
      </c>
      <c r="L82" s="22">
        <f>INDEX('Issued by date'!$N$5:$N$70,MATCH($A82,'Issued by date'!$M$5:$M$70,0))</f>
        <v>18</v>
      </c>
      <c r="M82" s="22">
        <f>INDEX('Issued by date'!$P$5:$P$70,MATCH($A82,'Issued by date'!$O$5:$O$70,0))</f>
        <v>567</v>
      </c>
      <c r="N82" s="27">
        <f>INDEX('Issued by date'!$R$5:$R$70,MATCH($A82,'Issued by date'!$Q$5:$Q$70,0))</f>
        <v>0</v>
      </c>
      <c r="O82" s="28">
        <f>INDEX('Issued by date'!$F$5:$F$70,MATCH($A82,'Issued by date'!$E$5:$E$70,0))</f>
        <v>0</v>
      </c>
      <c r="P82" s="28">
        <f>INDEX('Issued by date'!$V$5:$V$70,MATCH($A82,'Issued by date'!$U$5:$U$70,0))</f>
        <v>0</v>
      </c>
      <c r="Q82" s="29">
        <f>INDEX('Issued by date'!$X$5:$X$70,MATCH($A82,'Issued by date'!$W$5:$W$70,0))</f>
        <v>0</v>
      </c>
      <c r="R82" s="24"/>
      <c r="S82" s="24"/>
      <c r="T82" s="24"/>
      <c r="U82" s="24"/>
      <c r="V82" s="24"/>
      <c r="W82" s="24"/>
      <c r="X82" s="24"/>
      <c r="Y82" s="24"/>
      <c r="Z82" s="24"/>
      <c r="AA82" s="24"/>
      <c r="AB82" s="24"/>
      <c r="AC82" s="24"/>
    </row>
    <row r="83" ht="12.7" customHeight="1">
      <c r="A83" t="s" s="18">
        <v>102</v>
      </c>
      <c r="B83" s="19">
        <v>400008</v>
      </c>
      <c r="C83" t="s" s="20">
        <v>103</v>
      </c>
      <c r="D83" t="s" s="21">
        <v>37</v>
      </c>
      <c r="E83" t="s" s="23">
        <f>A83&amp;D83</f>
        <v>112</v>
      </c>
      <c r="F83" s="22">
        <v>0</v>
      </c>
      <c r="G83" s="30"/>
      <c r="H83" s="22">
        <v>0</v>
      </c>
      <c r="I83" s="22">
        <v>0</v>
      </c>
      <c r="J83" s="22">
        <v>0</v>
      </c>
      <c r="K83" s="22">
        <v>0</v>
      </c>
      <c r="L83" s="46"/>
      <c r="M83" s="49"/>
      <c r="N83" s="32"/>
      <c r="O83" s="32"/>
      <c r="P83" s="32"/>
      <c r="Q83" s="33"/>
      <c r="R83" s="24"/>
      <c r="S83" s="24"/>
      <c r="T83" s="24"/>
      <c r="U83" s="24"/>
      <c r="V83" s="24"/>
      <c r="W83" s="24"/>
      <c r="X83" s="24"/>
      <c r="Y83" s="24"/>
      <c r="Z83" s="24"/>
      <c r="AA83" s="24"/>
      <c r="AB83" s="24"/>
      <c r="AC83" s="24"/>
    </row>
    <row r="84" ht="12.7" customHeight="1">
      <c r="A84" t="s" s="34">
        <v>102</v>
      </c>
      <c r="B84" s="35">
        <v>400008</v>
      </c>
      <c r="C84" t="s" s="36">
        <v>103</v>
      </c>
      <c r="D84" t="s" s="37">
        <v>39</v>
      </c>
      <c r="E84" t="s" s="16">
        <f>A84&amp;D84</f>
        <v>113</v>
      </c>
      <c r="F84" s="38">
        <f>IFERROR(F80/AVERAGE(G75:H75)*30,0)</f>
        <v>41.98089847895295</v>
      </c>
      <c r="G84" s="38">
        <f>IFERROR(G80/AVERAGE(H75:I75)*30,0)</f>
        <v>9.873282170265929</v>
      </c>
      <c r="H84" s="38">
        <f>IFERROR(H79/AVERAGE(I75:J75)*30,0)</f>
        <v>11.76267281105991</v>
      </c>
      <c r="I84" s="38">
        <f>IFERROR(I79/AVERAGE(J75:K75)*30,0)</f>
        <v>0</v>
      </c>
      <c r="J84" s="38">
        <f>IFERROR(J79/AVERAGE(K75:L75)*30,0)</f>
        <v>0</v>
      </c>
      <c r="K84" s="38">
        <f>IFERROR(K79/AVERAGE(L75:M75)*30,0)</f>
        <v>13.73102930127723</v>
      </c>
      <c r="L84" s="38">
        <f>IFERROR(L79/AVERAGE(M75:N75)*30,0)</f>
        <v>0</v>
      </c>
      <c r="M84" s="38">
        <f>IFERROR(M79/AVERAGE(N75:O75)*30,0)</f>
        <v>7.156576200417536</v>
      </c>
      <c r="N84" s="38">
        <f>IFERROR(N79/AVERAGE(O75:P75)*30,0)</f>
        <v>6.374468085106383</v>
      </c>
      <c r="O84" s="38">
        <f>IFERROR(O79/AVERAGE(P75:Q75)*30,0)</f>
        <v>3.906505880601459</v>
      </c>
      <c r="P84" s="38">
        <f>IFERROR(P79/AVERAGE(Q75:R75)*30,0)</f>
        <v>14.93414795815441</v>
      </c>
      <c r="Q84" s="38">
        <f>IFERROR(Q79/AVERAGE(R75:S75)*30,0)</f>
        <v>20.34405654933641</v>
      </c>
      <c r="R84" s="38">
        <f>IFERROR(R79/AVERAGE(S75:T75)*30,0)</f>
        <v>0</v>
      </c>
      <c r="S84" s="38"/>
      <c r="T84" s="38"/>
      <c r="U84" s="38"/>
      <c r="V84" s="38"/>
      <c r="W84" s="38"/>
      <c r="X84" s="38"/>
      <c r="Y84" s="38"/>
      <c r="Z84" s="38"/>
      <c r="AA84" s="38"/>
      <c r="AB84" s="38"/>
      <c r="AC84" s="38"/>
    </row>
    <row r="85" ht="12" customHeight="1">
      <c r="A85" s="39"/>
      <c r="B85" s="40"/>
      <c r="C85" s="40"/>
      <c r="D85" s="41"/>
      <c r="E85" t="s" s="23">
        <f>A85&amp;D85</f>
      </c>
      <c r="F85" s="42"/>
      <c r="G85" s="40"/>
      <c r="H85" s="40"/>
      <c r="I85" s="40"/>
      <c r="J85" s="40"/>
      <c r="K85" s="40"/>
      <c r="L85" s="40"/>
      <c r="M85" s="40"/>
      <c r="N85" s="40"/>
      <c r="O85" s="40"/>
      <c r="P85" s="40"/>
      <c r="Q85" s="40"/>
      <c r="R85" s="40"/>
      <c r="S85" s="40"/>
      <c r="T85" s="40"/>
      <c r="U85" s="40"/>
      <c r="V85" s="40"/>
      <c r="W85" s="40"/>
      <c r="X85" s="40"/>
      <c r="Y85" s="40"/>
      <c r="Z85" s="40"/>
      <c r="AA85" s="40"/>
      <c r="AB85" s="40"/>
      <c r="AC85" s="43"/>
    </row>
    <row r="86" ht="13.5" customHeight="1">
      <c r="A86" t="s" s="8">
        <v>4</v>
      </c>
      <c r="B86" t="s" s="9">
        <v>5</v>
      </c>
      <c r="C86" t="s" s="9">
        <v>6</v>
      </c>
      <c r="D86" t="s" s="44">
        <v>7</v>
      </c>
      <c r="E86" t="s" s="23">
        <f>A86&amp;D86</f>
        <v>41</v>
      </c>
      <c r="F86" t="s" s="45">
        <v>8</v>
      </c>
      <c r="G86" t="s" s="9">
        <v>9</v>
      </c>
      <c r="H86" t="s" s="9">
        <v>10</v>
      </c>
      <c r="I86" t="s" s="9">
        <v>11</v>
      </c>
      <c r="J86" t="s" s="9">
        <v>1</v>
      </c>
      <c r="K86" t="s" s="9">
        <v>12</v>
      </c>
      <c r="L86" t="s" s="9">
        <v>13</v>
      </c>
      <c r="M86" t="s" s="9">
        <v>14</v>
      </c>
      <c r="N86" t="s" s="9">
        <v>15</v>
      </c>
      <c r="O86" t="s" s="9">
        <v>16</v>
      </c>
      <c r="P86" t="s" s="9">
        <v>17</v>
      </c>
      <c r="Q86" t="s" s="9">
        <v>18</v>
      </c>
      <c r="R86" t="s" s="9">
        <v>8</v>
      </c>
      <c r="S86" t="s" s="9">
        <v>9</v>
      </c>
      <c r="T86" t="s" s="9">
        <v>10</v>
      </c>
      <c r="U86" t="s" s="9">
        <v>11</v>
      </c>
      <c r="V86" t="s" s="9">
        <v>1</v>
      </c>
      <c r="W86" t="s" s="9">
        <v>12</v>
      </c>
      <c r="X86" t="s" s="9">
        <v>13</v>
      </c>
      <c r="Y86" t="s" s="9">
        <v>14</v>
      </c>
      <c r="Z86" t="s" s="9">
        <v>15</v>
      </c>
      <c r="AA86" t="s" s="9">
        <v>16</v>
      </c>
      <c r="AB86" t="s" s="9">
        <v>17</v>
      </c>
      <c r="AC86" t="s" s="11">
        <v>18</v>
      </c>
    </row>
    <row r="87" ht="12.7" customHeight="1">
      <c r="A87" t="s" s="12">
        <v>114</v>
      </c>
      <c r="B87" s="13">
        <v>400026</v>
      </c>
      <c r="C87" t="s" s="14">
        <v>115</v>
      </c>
      <c r="D87" t="s" s="15">
        <v>21</v>
      </c>
      <c r="E87" t="s" s="16">
        <f>A87&amp;D87</f>
        <v>116</v>
      </c>
      <c r="F87" s="17">
        <f>INDEX('Sales Forecast'!$B$5:$B$72,MATCH($A87,'Sales Forecast'!$A$5:$A$72,0))</f>
        <v>8200</v>
      </c>
      <c r="G87" s="17">
        <f>INDEX('Sales Forecast'!$D$5:$D$72,MATCH($A87,'Sales Forecast'!$C$5:$C$72,0))</f>
        <v>5120</v>
      </c>
      <c r="H87" s="17">
        <f>INDEX('Sales Forecast'!$F$5:$F$72,MATCH($A87,'Sales Forecast'!$E$5:$E$72,0))</f>
        <v>4422</v>
      </c>
      <c r="I87" s="17">
        <f>INDEX('Sales Forecast'!$H$5:$H$72,MATCH($A87,'Sales Forecast'!$G$5:$G$72,0))</f>
        <v>7160</v>
      </c>
      <c r="J87" s="17">
        <f>INDEX('Sales Forecast'!$J$5:$J$72,MATCH($A87,'Sales Forecast'!$I$5:$I$72,0))</f>
        <v>7540</v>
      </c>
      <c r="K87" s="17">
        <f>INDEX('Sales Forecast'!$L$5:$L$72,MATCH($A87,'Sales Forecast'!$K$5:$K$72,0))</f>
        <v>8000</v>
      </c>
      <c r="L87" s="17">
        <f>INDEX('Sales Forecast'!$N$5:$N$72,MATCH($A87,'Sales Forecast'!$M$5:$M$72,0))</f>
        <v>8960</v>
      </c>
      <c r="M87" s="17">
        <f>INDEX('Sales Forecast'!$P$5:$P$72,MATCH($A87,'Sales Forecast'!$O$5:$O$72,0))</f>
        <v>14240</v>
      </c>
      <c r="N87" s="17">
        <f>INDEX('Sales Forecast'!$R$5:$R$72,MATCH($A87,'Sales Forecast'!$Q$5:$Q$72,0))</f>
        <v>20460</v>
      </c>
      <c r="O87" s="17">
        <f>INDEX('Sales Forecast'!$T$5:$T$72,MATCH($A87,'Sales Forecast'!$S$5:$S$72,0))</f>
        <v>40417</v>
      </c>
      <c r="P87" s="17">
        <f>INDEX('Sales Forecast'!$V$5:$V$72,MATCH($A87,'Sales Forecast'!$U$5:$U$72,0))</f>
        <v>31374</v>
      </c>
      <c r="Q87" s="17">
        <f>INDEX('Sales Forecast'!$X$5:$X$72,MATCH($A87,'Sales Forecast'!$W$5:$W$72,0))</f>
        <v>29520</v>
      </c>
      <c r="R87" s="17">
        <v>41629.93848</v>
      </c>
      <c r="S87" s="17"/>
      <c r="T87" s="17"/>
      <c r="U87" s="17"/>
      <c r="V87" s="17"/>
      <c r="W87" s="17"/>
      <c r="X87" s="17"/>
      <c r="Y87" s="17"/>
      <c r="Z87" s="17"/>
      <c r="AA87" s="17"/>
      <c r="AB87" s="17"/>
      <c r="AC87" s="17"/>
    </row>
    <row r="88" ht="12.7" customHeight="1">
      <c r="A88" t="s" s="18">
        <v>114</v>
      </c>
      <c r="B88" s="19">
        <v>400026</v>
      </c>
      <c r="C88" t="s" s="20">
        <v>115</v>
      </c>
      <c r="D88" t="s" s="21">
        <v>23</v>
      </c>
      <c r="E88" t="s" s="16">
        <f>A88&amp;D88</f>
        <v>117</v>
      </c>
      <c r="F88" s="22">
        <f>INDEX('Sales Actual'!$B$5:$B$70,MATCH($A88,'Sales Actual'!$A$5:$A$70,0))</f>
        <v>4759</v>
      </c>
      <c r="G88" s="22">
        <f>INDEX('Sales Actual'!$D$5:$D$70,MATCH($A88,'Sales Actual'!$C$5:$C$70,0))</f>
        <v>2452</v>
      </c>
      <c r="H88" s="22">
        <f>INDEX('Sales Actual'!$F$5:$F$70,MATCH($A88,'Sales Actual'!$E$5:$E$70,0))</f>
        <v>3982</v>
      </c>
      <c r="I88" s="22">
        <f>INDEX('Sales Actual'!$H$5:$H$70,MATCH($A88,'Sales Actual'!$G$5:$G$70,0))</f>
        <v>0</v>
      </c>
      <c r="J88" s="22">
        <f>INDEX('Sales Actual'!$J$5:$J$70,MATCH($A88,'Sales Actual'!$I$5:$I$70,0))</f>
        <v>0</v>
      </c>
      <c r="K88" s="22">
        <f>INDEX('Sales Actual'!$L$5:$L$70,MATCH($A88,'Sales Actual'!$K$5:$K$70,0))</f>
        <v>0</v>
      </c>
      <c r="L88" s="22">
        <f>INDEX('Sales Actual'!$N$5:$N$70,MATCH($A88,'Sales Actual'!$M$5:$M$70,0))</f>
        <v>0</v>
      </c>
      <c r="M88" s="22">
        <f>INDEX('Sales Actual'!$P$5:$P$70,MATCH($A88,'Sales Actual'!$O$5:$O$70,0))</f>
        <v>0</v>
      </c>
      <c r="N88" s="22">
        <f>INDEX('Sales Actual'!$R$5:$R$70,MATCH($A88,'Sales Actual'!$Q$5:$Q$70,0))</f>
        <v>0</v>
      </c>
      <c r="O88" s="22">
        <f>INDEX('Sales Actual'!$T$5:$T$70,MATCH($A88,'Sales Actual'!$S$5:$S$70,0))</f>
        <v>0</v>
      </c>
      <c r="P88" s="22">
        <f>INDEX('Sales Actual'!$V$5:$V$70,MATCH($A88,'Sales Actual'!$U$5:$U$70,0))</f>
        <v>0</v>
      </c>
      <c r="Q88" s="22">
        <f>INDEX('Sales Actual'!$X$5:$X$70,MATCH($A88,'Sales Actual'!$W$5:$W$70,0))</f>
        <v>0</v>
      </c>
      <c r="R88" s="22"/>
      <c r="S88" s="22"/>
      <c r="T88" s="22"/>
      <c r="U88" s="22"/>
      <c r="V88" s="22"/>
      <c r="W88" s="22"/>
      <c r="X88" s="22"/>
      <c r="Y88" s="22"/>
      <c r="Z88" s="22"/>
      <c r="AA88" s="22"/>
      <c r="AB88" s="22"/>
      <c r="AC88" s="22"/>
    </row>
    <row r="89" ht="12.7" customHeight="1">
      <c r="A89" t="s" s="18">
        <v>114</v>
      </c>
      <c r="B89" s="19">
        <v>400026</v>
      </c>
      <c r="C89" t="s" s="20">
        <v>115</v>
      </c>
      <c r="D89" t="s" s="21">
        <v>25</v>
      </c>
      <c r="E89" t="s" s="23">
        <f>A89&amp;D89</f>
        <v>118</v>
      </c>
      <c r="F89" s="22">
        <v>4800</v>
      </c>
      <c r="G89" s="22">
        <v>3840</v>
      </c>
      <c r="H89" s="22">
        <v>3360</v>
      </c>
      <c r="I89" s="22">
        <v>7200</v>
      </c>
      <c r="J89" s="22">
        <v>6000</v>
      </c>
      <c r="K89" s="22">
        <v>10800</v>
      </c>
      <c r="L89" s="22">
        <v>3840</v>
      </c>
      <c r="M89" s="22">
        <f>125*120</f>
        <v>15000</v>
      </c>
      <c r="N89" s="22">
        <f>120*230</f>
        <v>27600</v>
      </c>
      <c r="O89" s="51">
        <f>120*260</f>
        <v>31200</v>
      </c>
      <c r="P89" s="22">
        <f t="shared" si="742" ref="P89:Q137">120*450</f>
        <v>54000</v>
      </c>
      <c r="Q89" s="22">
        <f>120*300</f>
        <v>36000</v>
      </c>
      <c r="R89" s="24">
        <v>0</v>
      </c>
      <c r="S89" s="24"/>
      <c r="T89" s="24"/>
      <c r="U89" s="24"/>
      <c r="V89" s="24"/>
      <c r="W89" s="24"/>
      <c r="X89" s="24"/>
      <c r="Y89" s="24"/>
      <c r="Z89" s="24"/>
      <c r="AA89" s="24"/>
      <c r="AB89" s="24"/>
      <c r="AC89" s="24"/>
    </row>
    <row r="90" ht="12.7" customHeight="1">
      <c r="A90" t="s" s="18">
        <v>114</v>
      </c>
      <c r="B90" s="19">
        <v>400026</v>
      </c>
      <c r="C90" t="s" s="20">
        <v>115</v>
      </c>
      <c r="D90" t="s" s="21">
        <v>27</v>
      </c>
      <c r="E90" t="s" s="23">
        <f>A90&amp;D90</f>
        <v>119</v>
      </c>
      <c r="F90" s="22">
        <v>3240</v>
      </c>
      <c r="G90" s="22">
        <v>3720</v>
      </c>
      <c r="H90" s="22">
        <v>3480</v>
      </c>
      <c r="I90" s="22">
        <v>6720</v>
      </c>
      <c r="J90" s="22">
        <v>6480</v>
      </c>
      <c r="K90" s="22">
        <v>11040</v>
      </c>
      <c r="L90" s="22">
        <v>3480</v>
      </c>
      <c r="M90" s="22">
        <f>113*120</f>
        <v>13560</v>
      </c>
      <c r="N90" s="22">
        <f>120*220</f>
        <v>26400</v>
      </c>
      <c r="O90" s="51">
        <f>120*257</f>
        <v>30840</v>
      </c>
      <c r="P90" s="22">
        <f>P89</f>
        <v>54000</v>
      </c>
      <c r="Q90" s="22">
        <f>Q89</f>
        <v>36000</v>
      </c>
      <c r="R90" s="24">
        <f>R89</f>
        <v>0</v>
      </c>
      <c r="S90" s="24"/>
      <c r="T90" s="24"/>
      <c r="U90" s="24"/>
      <c r="V90" s="24"/>
      <c r="W90" s="24"/>
      <c r="X90" s="24"/>
      <c r="Y90" s="24"/>
      <c r="Z90" s="24"/>
      <c r="AA90" s="24"/>
      <c r="AB90" s="24"/>
      <c r="AC90" s="24"/>
    </row>
    <row r="91" ht="12.7" customHeight="1">
      <c r="A91" t="s" s="18">
        <v>114</v>
      </c>
      <c r="B91" s="19">
        <v>400026</v>
      </c>
      <c r="C91" t="s" s="20">
        <v>115</v>
      </c>
      <c r="D91" t="s" s="21">
        <v>29</v>
      </c>
      <c r="E91" t="s" s="16">
        <f>A91&amp;D91</f>
        <v>120</v>
      </c>
      <c r="F91" s="22">
        <v>0</v>
      </c>
      <c r="G91" s="22">
        <v>3204</v>
      </c>
      <c r="H91" s="22">
        <f>G92+H90-(H87-H88)-H95</f>
        <v>3650</v>
      </c>
      <c r="I91" s="22">
        <f>IF((H92+I90-I87-I95)&lt;0,0,(H92+I90-I87-I95))</f>
        <v>1206</v>
      </c>
      <c r="J91" s="22">
        <f>IF((I91+J90-(J87-J88)-J95)&lt;0,0,(I91+J90-(J87-J88)-J95))</f>
        <v>146</v>
      </c>
      <c r="K91" s="22">
        <f>IF((J91+K90-(K87-K88)-K95)&lt;0,0,(J91+K90-(K87-K88)-K95))</f>
        <v>3186</v>
      </c>
      <c r="L91" s="22">
        <f>IF((K91+L90-(L87-L88)-L95)&lt;0,0,(K91+L90-(L87-L88)-L95))</f>
        <v>0</v>
      </c>
      <c r="M91" s="22">
        <f>IF((L91+M90-(M87-M88)-M95)&lt;0,0,(L91+M90-(M87-M88)-M95))</f>
        <v>0</v>
      </c>
      <c r="N91" s="22">
        <f>IF((M91+N90-(N87-N88)-N95)&lt;0,0,(M91+N90-(N87-N88)-N95))</f>
        <v>5940</v>
      </c>
      <c r="O91" s="22">
        <f>IF((N91+O90-(O87-O88)-O95)&lt;0,0,(N91+O90-(O87-O88)-O95))</f>
        <v>0</v>
      </c>
      <c r="P91" s="22">
        <f>IF((O91+P90-(P87-P88)-P95)&lt;0,0,(O91+P90-(P87-P88)-P95))</f>
        <v>22626</v>
      </c>
      <c r="Q91" s="22">
        <f>IF((P91+Q90-(Q87-Q88)-Q95)&lt;0,0,(P91+Q90-(Q87-Q88)-Q95))</f>
        <v>29106</v>
      </c>
      <c r="R91" s="22">
        <f>IF((Q91+R90-(R87-R88)-R95)&lt;0,0,(Q91+R90-(R87-R88)-R95))</f>
        <v>0</v>
      </c>
      <c r="S91" s="22"/>
      <c r="T91" s="22"/>
      <c r="U91" s="22"/>
      <c r="V91" s="22"/>
      <c r="W91" s="22"/>
      <c r="X91" s="22"/>
      <c r="Y91" s="22"/>
      <c r="Z91" s="22"/>
      <c r="AA91" s="22"/>
      <c r="AB91" s="22"/>
      <c r="AC91" s="22"/>
    </row>
    <row r="92" ht="12.7" customHeight="1">
      <c r="A92" t="s" s="18">
        <v>114</v>
      </c>
      <c r="B92" s="19">
        <v>400026</v>
      </c>
      <c r="C92" t="s" s="20">
        <v>115</v>
      </c>
      <c r="D92" t="s" s="21">
        <v>31</v>
      </c>
      <c r="E92" t="s" s="16">
        <f>A92&amp;D92</f>
        <v>121</v>
      </c>
      <c r="F92" s="22">
        <f>INDEX('Actual Stock'!$B$5:$B$70,MATCH($A92,'Actual Stock'!$A$5:$A$70,0))</f>
        <v>2532</v>
      </c>
      <c r="G92" s="22">
        <f>INDEX('Actual Stock'!$D$5:$D$70,MATCH($A92,'Actual Stock'!$C$5:$C$70,0))</f>
        <v>610</v>
      </c>
      <c r="H92" s="22">
        <f>INDEX('Actual Stock'!$F$5:$F$70,MATCH($A92,'Actual Stock'!$E$5:$E$70,0))</f>
        <v>1646</v>
      </c>
      <c r="I92" s="22">
        <f>INDEX('Actual Stock'!$H$5:$H$70,MATCH($A92,'Actual Stock'!$G$5:$G$70,0))</f>
        <v>0</v>
      </c>
      <c r="J92" s="22">
        <f>INDEX('Actual Stock'!$J$5:$J$70,MATCH($A92,'Actual Stock'!$I$5:$I$70,0))</f>
        <v>0</v>
      </c>
      <c r="K92" s="22">
        <f>INDEX('Actual Stock'!$L$5:$L$70,MATCH($A92,'Actual Stock'!$K$5:$K$70,0))</f>
        <v>0</v>
      </c>
      <c r="L92" s="22">
        <f>INDEX('Actual Stock'!$N$5:$N$70,MATCH($A92,'Actual Stock'!$M$5:$M$70,0))</f>
        <v>0</v>
      </c>
      <c r="M92" s="22">
        <f>INDEX('Actual Stock'!$P$5:$P$70,MATCH($A92,'Actual Stock'!$O$5:$O$70,0))</f>
        <v>0</v>
      </c>
      <c r="N92" s="22">
        <f>INDEX('Actual Stock'!$R$5:$R$70,MATCH($A92,'Actual Stock'!$Q$5:$Q$70,0))</f>
        <v>0</v>
      </c>
      <c r="O92" s="22">
        <f>INDEX('Actual Stock'!$T$5:$T$70,MATCH($A92,'Actual Stock'!$S$5:$S$70,0))</f>
        <v>0</v>
      </c>
      <c r="P92" s="22">
        <f>INDEX('Actual Stock'!$V$5:$V$70,MATCH($A92,'Actual Stock'!$U$5:$U$70,0))</f>
        <v>0</v>
      </c>
      <c r="Q92" s="22">
        <f>INDEX('Actual Stock'!$X$5:$X$70,MATCH($A92,'Actual Stock'!$W$5:$W$70,0))</f>
        <v>0</v>
      </c>
      <c r="R92" s="22"/>
      <c r="S92" s="22"/>
      <c r="T92" s="22"/>
      <c r="U92" s="22"/>
      <c r="V92" s="22"/>
      <c r="W92" s="22"/>
      <c r="X92" s="22"/>
      <c r="Y92" s="22"/>
      <c r="Z92" s="22"/>
      <c r="AA92" s="22"/>
      <c r="AB92" s="22"/>
      <c r="AC92" s="22"/>
    </row>
    <row r="93" ht="12.7" customHeight="1">
      <c r="A93" t="s" s="18">
        <v>114</v>
      </c>
      <c r="B93" s="19">
        <v>400026</v>
      </c>
      <c r="C93" t="s" s="20">
        <v>115</v>
      </c>
      <c r="D93" t="s" s="21">
        <v>33</v>
      </c>
      <c r="E93" t="s" s="23">
        <f>A93&amp;D93</f>
        <v>122</v>
      </c>
      <c r="F93" s="22">
        <v>0</v>
      </c>
      <c r="G93" s="22">
        <v>0</v>
      </c>
      <c r="H93" s="22">
        <v>0</v>
      </c>
      <c r="I93" s="22">
        <f>IF((H91+I90-(I87-I88)-I95)&gt;0,0,(H91+I90-(I87-I88)-I95))</f>
        <v>0</v>
      </c>
      <c r="J93" s="22">
        <f>IF((I91+J90-(J87-J88)-J95)&gt;0,0,(I91+J90-(J87-J88)-J95))</f>
        <v>0</v>
      </c>
      <c r="K93" s="22">
        <f>IF((J91+K90-(K87-K88)-K95)&gt;0,0,(J91+K90-(K87-K88)-K95))</f>
        <v>0</v>
      </c>
      <c r="L93" s="22">
        <f>IF((K91+L90-(L87-L88)-L95)&gt;0,0,(K91+L90-(L87-L88)-L95))</f>
        <v>-2294</v>
      </c>
      <c r="M93" s="22">
        <f>IF((L91+M90-(M87-M88)-M95)&gt;0,0,(L91+M90-(M87-M88)-M95))</f>
        <v>-680</v>
      </c>
      <c r="N93" s="22">
        <f>IF((M91+N90-(N87-N88)-N95)&gt;0,0,(M91+N90-(N87-N88)-N95))</f>
        <v>0</v>
      </c>
      <c r="O93" s="22">
        <f>IF((N91+O90-(O87-O88)-O95)&gt;0,0,(N91+O90-(O87-O88)-O95))</f>
        <v>-3637</v>
      </c>
      <c r="P93" s="22">
        <f>IF((O91+P90-(P87-P88)-P95)&gt;0,0,(O91+P90-(P87-P88)-P95))</f>
        <v>0</v>
      </c>
      <c r="Q93" s="22">
        <f>IF((P91+Q90-(Q87-Q88)-Q95)&gt;0,0,(P91+Q90-(Q87-Q88)-Q95))</f>
        <v>0</v>
      </c>
      <c r="R93" s="24">
        <f>IF((Q91+R90-(R87-R88)-R95)&gt;0,0,(Q91+R90-(R87-R88)-R95))</f>
        <v>-12523.93848</v>
      </c>
      <c r="S93" s="24"/>
      <c r="T93" s="24"/>
      <c r="U93" s="24"/>
      <c r="V93" s="24"/>
      <c r="W93" s="24"/>
      <c r="X93" s="24"/>
      <c r="Y93" s="24"/>
      <c r="Z93" s="24"/>
      <c r="AA93" s="24"/>
      <c r="AB93" s="24"/>
      <c r="AC93" s="24"/>
    </row>
    <row r="94" ht="12.7" customHeight="1">
      <c r="A94" t="s" s="18">
        <v>114</v>
      </c>
      <c r="B94" s="19">
        <v>400027</v>
      </c>
      <c r="C94" t="s" s="20">
        <v>115</v>
      </c>
      <c r="D94" t="s" s="21">
        <v>35</v>
      </c>
      <c r="E94" t="s" s="23">
        <f>A94&amp;D94</f>
        <v>123</v>
      </c>
      <c r="F94" s="25">
        <f>INDEX('Issued by date'!$B$5:$B$70,MATCH($A94,'Issued by date'!$A$5:$A$70,0))</f>
        <v>0</v>
      </c>
      <c r="G94" s="26">
        <f>INDEX('Issued by date'!$D$5:$D$70,MATCH($A94,'Issued by date'!$C$5:$C$70,0))</f>
        <v>0</v>
      </c>
      <c r="H94" s="22">
        <f>INDEX('Issued by date'!$F$5:$F$70,MATCH($A94,'Issued by date'!$E$5:$E$70,0))</f>
        <v>0</v>
      </c>
      <c r="I94" s="22">
        <f>INDEX('Issued by date'!$H$5:$H$70,MATCH($A94,'Issued by date'!$G$5:$G$70,0))</f>
        <v>20</v>
      </c>
      <c r="J94" s="22">
        <f>INDEX('Issued by date'!$J$5:$J$70,MATCH($A94,'Issued by date'!$I$5:$I$70,0))</f>
        <v>0</v>
      </c>
      <c r="K94" s="22">
        <f>INDEX('Issued by date'!$L$5:$L$70,MATCH($A94,'Issued by date'!$K$5:$K$70,0))</f>
        <v>26</v>
      </c>
      <c r="L94" s="22">
        <f>INDEX('Issued by date'!$N$5:$N$70,MATCH($A94,'Issued by date'!$M$5:$M$70,0))</f>
        <v>0</v>
      </c>
      <c r="M94" s="22">
        <f>INDEX('Issued by date'!$P$5:$P$70,MATCH($A94,'Issued by date'!$O$5:$O$70,0))</f>
        <v>0</v>
      </c>
      <c r="N94" s="27">
        <f>INDEX('Issued by date'!$R$5:$R$70,MATCH($A94,'Issued by date'!$Q$5:$Q$70,0))</f>
        <v>1600</v>
      </c>
      <c r="O94" s="28">
        <f>INDEX('Issued by date'!$F$5:$F$70,MATCH($A94,'Issued by date'!$E$5:$E$70,0))</f>
        <v>0</v>
      </c>
      <c r="P94" s="28">
        <f>INDEX('Issued by date'!$V$5:$V$70,MATCH($A94,'Issued by date'!$U$5:$U$70,0))</f>
        <v>0</v>
      </c>
      <c r="Q94" s="29">
        <f>INDEX('Issued by date'!$X$5:$X$70,MATCH($A94,'Issued by date'!$W$5:$W$70,0))</f>
        <v>0</v>
      </c>
      <c r="R94" s="24"/>
      <c r="S94" s="24"/>
      <c r="T94" s="24"/>
      <c r="U94" s="24"/>
      <c r="V94" s="24"/>
      <c r="W94" s="24"/>
      <c r="X94" s="24"/>
      <c r="Y94" s="24"/>
      <c r="Z94" s="24"/>
      <c r="AA94" s="24"/>
      <c r="AB94" s="24"/>
      <c r="AC94" s="24"/>
    </row>
    <row r="95" ht="12.7" customHeight="1">
      <c r="A95" t="s" s="18">
        <v>114</v>
      </c>
      <c r="B95" s="19">
        <v>400026</v>
      </c>
      <c r="C95" t="s" s="20">
        <v>115</v>
      </c>
      <c r="D95" t="s" s="21">
        <v>37</v>
      </c>
      <c r="E95" t="s" s="23">
        <f>A95&amp;D95</f>
        <v>124</v>
      </c>
      <c r="F95" s="22">
        <v>0</v>
      </c>
      <c r="G95" s="30">
        <v>0</v>
      </c>
      <c r="H95" s="22">
        <v>0</v>
      </c>
      <c r="I95" s="22">
        <v>0</v>
      </c>
      <c r="J95" s="22">
        <v>0</v>
      </c>
      <c r="K95" s="22">
        <v>0</v>
      </c>
      <c r="L95" s="46"/>
      <c r="M95" s="49"/>
      <c r="N95" s="32"/>
      <c r="O95" s="32"/>
      <c r="P95" s="32"/>
      <c r="Q95" s="33"/>
      <c r="R95" s="24"/>
      <c r="S95" s="24"/>
      <c r="T95" s="24"/>
      <c r="U95" s="24"/>
      <c r="V95" s="24"/>
      <c r="W95" s="24"/>
      <c r="X95" s="24"/>
      <c r="Y95" s="24"/>
      <c r="Z95" s="24"/>
      <c r="AA95" s="24"/>
      <c r="AB95" s="24"/>
      <c r="AC95" s="24"/>
    </row>
    <row r="96" ht="12.7" customHeight="1">
      <c r="A96" t="s" s="34">
        <v>114</v>
      </c>
      <c r="B96" s="35">
        <v>400026</v>
      </c>
      <c r="C96" t="s" s="36">
        <v>115</v>
      </c>
      <c r="D96" t="s" s="37">
        <v>39</v>
      </c>
      <c r="E96" t="s" s="16">
        <f>A96&amp;D96</f>
        <v>125</v>
      </c>
      <c r="F96" s="38">
        <f>IFERROR(F92/AVERAGE(G87:H87)*30,0)</f>
        <v>15.92119052609516</v>
      </c>
      <c r="G96" s="38">
        <f>IFERROR(G92/AVERAGE(H87:I87)*30,0)</f>
        <v>3.160075979968918</v>
      </c>
      <c r="H96" s="38">
        <f>IFERROR(H91/AVERAGE(I87:J87)*30,0)</f>
        <v>14.89795918367347</v>
      </c>
      <c r="I96" s="38">
        <f>IFERROR(I91/AVERAGE(J87:K87)*30,0)</f>
        <v>4.656370656370656</v>
      </c>
      <c r="J96" s="38">
        <f>IFERROR(J91/AVERAGE(K87:L87)*30,0)</f>
        <v>0.5165094339622641</v>
      </c>
      <c r="K96" s="38">
        <f>IFERROR(K91/AVERAGE(L87:M87)*30,0)</f>
        <v>8.239655172413794</v>
      </c>
      <c r="L96" s="38">
        <f>IFERROR(L91/AVERAGE(M87:N87)*30,0)</f>
        <v>0</v>
      </c>
      <c r="M96" s="38">
        <f>IFERROR(M91/AVERAGE(N87:O87)*30,0)</f>
        <v>0</v>
      </c>
      <c r="N96" s="38">
        <f>IFERROR(N91/AVERAGE(O87:P87)*30,0)</f>
        <v>4.96441058071346</v>
      </c>
      <c r="O96" s="38">
        <f>IFERROR(O91/AVERAGE(P87:Q87)*30,0)</f>
        <v>0</v>
      </c>
      <c r="P96" s="38">
        <f>IFERROR(P91/AVERAGE(Q87:R87)*30,0)</f>
        <v>19.08026948444383</v>
      </c>
      <c r="Q96" s="38">
        <f>IFERROR(Q91/AVERAGE(R87:S87)*30,0)</f>
        <v>20.97480880063025</v>
      </c>
      <c r="R96" s="38">
        <f>IFERROR(R91/AVERAGE(S87:T87)*30,0)</f>
        <v>0</v>
      </c>
      <c r="S96" s="38"/>
      <c r="T96" s="38"/>
      <c r="U96" s="38"/>
      <c r="V96" s="38"/>
      <c r="W96" s="38"/>
      <c r="X96" s="38"/>
      <c r="Y96" s="38"/>
      <c r="Z96" s="38"/>
      <c r="AA96" s="38"/>
      <c r="AB96" s="38"/>
      <c r="AC96" s="38"/>
    </row>
    <row r="97" ht="12" customHeight="1">
      <c r="A97" s="39"/>
      <c r="B97" s="40"/>
      <c r="C97" s="40"/>
      <c r="D97" s="41"/>
      <c r="E97" t="s" s="23">
        <f>A97&amp;D97</f>
      </c>
      <c r="F97" s="42"/>
      <c r="G97" s="40"/>
      <c r="H97" s="40"/>
      <c r="I97" s="40"/>
      <c r="J97" s="40"/>
      <c r="K97" s="40"/>
      <c r="L97" s="40"/>
      <c r="M97" s="40"/>
      <c r="N97" s="40"/>
      <c r="O97" s="40"/>
      <c r="P97" s="40"/>
      <c r="Q97" s="40"/>
      <c r="R97" s="40"/>
      <c r="S97" s="40"/>
      <c r="T97" s="40"/>
      <c r="U97" s="40"/>
      <c r="V97" s="40"/>
      <c r="W97" s="40"/>
      <c r="X97" s="40"/>
      <c r="Y97" s="40"/>
      <c r="Z97" s="40"/>
      <c r="AA97" s="40"/>
      <c r="AB97" s="40"/>
      <c r="AC97" s="43"/>
    </row>
    <row r="98" ht="13.5" customHeight="1">
      <c r="A98" t="s" s="8">
        <v>4</v>
      </c>
      <c r="B98" t="s" s="9">
        <v>5</v>
      </c>
      <c r="C98" t="s" s="9">
        <v>6</v>
      </c>
      <c r="D98" t="s" s="44">
        <v>7</v>
      </c>
      <c r="E98" t="s" s="23">
        <f>A98&amp;D98</f>
        <v>41</v>
      </c>
      <c r="F98" t="s" s="45">
        <v>8</v>
      </c>
      <c r="G98" t="s" s="9">
        <v>9</v>
      </c>
      <c r="H98" t="s" s="9">
        <v>10</v>
      </c>
      <c r="I98" t="s" s="9">
        <v>11</v>
      </c>
      <c r="J98" t="s" s="9">
        <v>1</v>
      </c>
      <c r="K98" t="s" s="9">
        <v>12</v>
      </c>
      <c r="L98" t="s" s="9">
        <v>13</v>
      </c>
      <c r="M98" t="s" s="9">
        <v>14</v>
      </c>
      <c r="N98" t="s" s="9">
        <v>15</v>
      </c>
      <c r="O98" t="s" s="9">
        <v>16</v>
      </c>
      <c r="P98" t="s" s="9">
        <v>17</v>
      </c>
      <c r="Q98" t="s" s="9">
        <v>18</v>
      </c>
      <c r="R98" t="s" s="9">
        <v>8</v>
      </c>
      <c r="S98" t="s" s="9">
        <v>9</v>
      </c>
      <c r="T98" t="s" s="9">
        <v>10</v>
      </c>
      <c r="U98" t="s" s="9">
        <v>11</v>
      </c>
      <c r="V98" t="s" s="9">
        <v>1</v>
      </c>
      <c r="W98" t="s" s="9">
        <v>12</v>
      </c>
      <c r="X98" t="s" s="9">
        <v>13</v>
      </c>
      <c r="Y98" t="s" s="9">
        <v>14</v>
      </c>
      <c r="Z98" t="s" s="9">
        <v>15</v>
      </c>
      <c r="AA98" t="s" s="9">
        <v>16</v>
      </c>
      <c r="AB98" t="s" s="9">
        <v>17</v>
      </c>
      <c r="AC98" t="s" s="11">
        <v>18</v>
      </c>
    </row>
    <row r="99" ht="12.7" customHeight="1">
      <c r="A99" t="s" s="12">
        <v>126</v>
      </c>
      <c r="B99" s="13">
        <v>400027</v>
      </c>
      <c r="C99" t="s" s="14">
        <v>127</v>
      </c>
      <c r="D99" t="s" s="15">
        <v>21</v>
      </c>
      <c r="E99" t="s" s="16">
        <f>A99&amp;D99</f>
        <v>128</v>
      </c>
      <c r="F99" s="17">
        <f>INDEX('Sales Forecast'!$B$5:$B$72,MATCH($A99,'Sales Forecast'!$A$5:$A$72,0))</f>
        <v>11000</v>
      </c>
      <c r="G99" s="17">
        <f>INDEX('Sales Forecast'!$D$5:$D$72,MATCH($A99,'Sales Forecast'!$C$5:$C$72,0))</f>
        <v>3540</v>
      </c>
      <c r="H99" s="17">
        <f>INDEX('Sales Forecast'!$F$5:$F$72,MATCH($A99,'Sales Forecast'!$E$5:$E$72,0))</f>
        <v>2800</v>
      </c>
      <c r="I99" s="17">
        <f>INDEX('Sales Forecast'!$H$5:$H$72,MATCH($A99,'Sales Forecast'!$G$5:$G$72,0))</f>
        <v>1900</v>
      </c>
      <c r="J99" s="17">
        <f>INDEX('Sales Forecast'!$J$5:$J$72,MATCH($A99,'Sales Forecast'!$I$5:$I$72,0))</f>
        <v>1900</v>
      </c>
      <c r="K99" s="17">
        <f>INDEX('Sales Forecast'!$L$5:$L$72,MATCH($A99,'Sales Forecast'!$K$5:$K$72,0))</f>
        <v>1900</v>
      </c>
      <c r="L99" s="17">
        <f>INDEX('Sales Forecast'!$N$5:$N$72,MATCH($A99,'Sales Forecast'!$M$5:$M$72,0))</f>
        <v>1900</v>
      </c>
      <c r="M99" s="17">
        <f>INDEX('Sales Forecast'!$P$5:$P$72,MATCH($A99,'Sales Forecast'!$O$5:$O$72,0))</f>
        <v>1912</v>
      </c>
      <c r="N99" s="17">
        <f>INDEX('Sales Forecast'!$R$5:$R$72,MATCH($A99,'Sales Forecast'!$Q$5:$Q$72,0))</f>
        <v>5460</v>
      </c>
      <c r="O99" s="17">
        <f>INDEX('Sales Forecast'!$T$5:$T$72,MATCH($A99,'Sales Forecast'!$S$5:$S$72,0))</f>
        <v>13415</v>
      </c>
      <c r="P99" s="17">
        <f>INDEX('Sales Forecast'!$V$5:$V$72,MATCH($A99,'Sales Forecast'!$U$5:$U$72,0))</f>
        <v>12074</v>
      </c>
      <c r="Q99" s="17">
        <f>INDEX('Sales Forecast'!$X$5:$X$72,MATCH($A99,'Sales Forecast'!$W$5:$W$72,0))</f>
        <v>9713</v>
      </c>
      <c r="R99" s="17">
        <v>13415.4</v>
      </c>
      <c r="S99" s="17"/>
      <c r="T99" s="17"/>
      <c r="U99" s="17"/>
      <c r="V99" s="17"/>
      <c r="W99" s="17"/>
      <c r="X99" s="17"/>
      <c r="Y99" s="17"/>
      <c r="Z99" s="17"/>
      <c r="AA99" s="17"/>
      <c r="AB99" s="17"/>
      <c r="AC99" s="17"/>
    </row>
    <row r="100" ht="12.7" customHeight="1">
      <c r="A100" t="s" s="18">
        <v>126</v>
      </c>
      <c r="B100" s="19">
        <v>400027</v>
      </c>
      <c r="C100" t="s" s="20">
        <v>127</v>
      </c>
      <c r="D100" t="s" s="21">
        <v>23</v>
      </c>
      <c r="E100" t="s" s="16">
        <f>A100&amp;D100</f>
        <v>129</v>
      </c>
      <c r="F100" s="22">
        <f>INDEX('Sales Actual'!$B$5:$B$70,MATCH($A100,'Sales Actual'!$A$5:$A$70,0))</f>
        <v>1598</v>
      </c>
      <c r="G100" s="22">
        <f>INDEX('Sales Actual'!$D$5:$D$70,MATCH($A100,'Sales Actual'!$C$5:$C$70,0))</f>
        <v>1045</v>
      </c>
      <c r="H100" s="22">
        <f>INDEX('Sales Actual'!$F$5:$F$70,MATCH($A100,'Sales Actual'!$E$5:$E$70,0))</f>
        <v>3503</v>
      </c>
      <c r="I100" s="22">
        <f>INDEX('Sales Actual'!$H$5:$H$70,MATCH($A100,'Sales Actual'!$G$5:$G$70,0))</f>
        <v>0</v>
      </c>
      <c r="J100" s="22">
        <f>INDEX('Sales Actual'!$J$5:$J$70,MATCH($A100,'Sales Actual'!$I$5:$I$70,0))</f>
        <v>0</v>
      </c>
      <c r="K100" s="22">
        <f>INDEX('Sales Actual'!$L$5:$L$70,MATCH($A100,'Sales Actual'!$K$5:$K$70,0))</f>
        <v>0</v>
      </c>
      <c r="L100" s="22">
        <f>INDEX('Sales Actual'!$N$5:$N$70,MATCH($A100,'Sales Actual'!$M$5:$M$70,0))</f>
        <v>0</v>
      </c>
      <c r="M100" s="22">
        <f>INDEX('Sales Actual'!$P$5:$P$70,MATCH($A100,'Sales Actual'!$O$5:$O$70,0))</f>
        <v>0</v>
      </c>
      <c r="N100" s="22">
        <f>INDEX('Sales Actual'!$R$5:$R$70,MATCH($A100,'Sales Actual'!$Q$5:$Q$70,0))</f>
        <v>0</v>
      </c>
      <c r="O100" s="22">
        <f>INDEX('Sales Actual'!$T$5:$T$70,MATCH($A100,'Sales Actual'!$S$5:$S$70,0))</f>
        <v>0</v>
      </c>
      <c r="P100" s="22">
        <f>INDEX('Sales Actual'!$V$5:$V$70,MATCH($A100,'Sales Actual'!$U$5:$U$70,0))</f>
        <v>0</v>
      </c>
      <c r="Q100" s="22">
        <f>INDEX('Sales Actual'!$X$5:$X$70,MATCH($A100,'Sales Actual'!$W$5:$W$70,0))</f>
        <v>0</v>
      </c>
      <c r="R100" s="22"/>
      <c r="S100" s="22"/>
      <c r="T100" s="22"/>
      <c r="U100" s="22"/>
      <c r="V100" s="22"/>
      <c r="W100" s="22"/>
      <c r="X100" s="22"/>
      <c r="Y100" s="22"/>
      <c r="Z100" s="22"/>
      <c r="AA100" s="22"/>
      <c r="AB100" s="22"/>
      <c r="AC100" s="22"/>
    </row>
    <row r="101" ht="12.7" customHeight="1">
      <c r="A101" t="s" s="18">
        <v>126</v>
      </c>
      <c r="B101" s="19">
        <v>400027</v>
      </c>
      <c r="C101" t="s" s="20">
        <v>127</v>
      </c>
      <c r="D101" t="s" s="21">
        <v>25</v>
      </c>
      <c r="E101" t="s" s="23">
        <f>A101&amp;D101</f>
        <v>130</v>
      </c>
      <c r="F101" s="22">
        <v>1680</v>
      </c>
      <c r="G101" s="22">
        <v>1680</v>
      </c>
      <c r="H101" s="22">
        <v>3360</v>
      </c>
      <c r="I101" s="22">
        <v>8400</v>
      </c>
      <c r="J101" s="22">
        <v>5400</v>
      </c>
      <c r="K101" s="22">
        <v>0</v>
      </c>
      <c r="L101" s="22">
        <v>2400</v>
      </c>
      <c r="M101" s="22">
        <v>0</v>
      </c>
      <c r="N101" s="22">
        <f>120*50</f>
        <v>6000</v>
      </c>
      <c r="O101" s="22">
        <f>120*80</f>
        <v>9600</v>
      </c>
      <c r="P101" s="22">
        <f>120*95</f>
        <v>11400</v>
      </c>
      <c r="Q101" s="22">
        <f>120*110</f>
        <v>13200</v>
      </c>
      <c r="R101" s="24">
        <v>0</v>
      </c>
      <c r="S101" s="24"/>
      <c r="T101" s="24"/>
      <c r="U101" s="24"/>
      <c r="V101" s="24"/>
      <c r="W101" s="24"/>
      <c r="X101" s="24"/>
      <c r="Y101" s="24"/>
      <c r="Z101" s="24"/>
      <c r="AA101" s="24"/>
      <c r="AB101" s="24"/>
      <c r="AC101" s="24"/>
    </row>
    <row r="102" ht="12.7" customHeight="1">
      <c r="A102" t="s" s="18">
        <v>126</v>
      </c>
      <c r="B102" s="19">
        <v>400027</v>
      </c>
      <c r="C102" t="s" s="20">
        <v>127</v>
      </c>
      <c r="D102" t="s" s="21">
        <v>27</v>
      </c>
      <c r="E102" t="s" s="23">
        <f>A102&amp;D102</f>
        <v>131</v>
      </c>
      <c r="F102" s="22">
        <v>0</v>
      </c>
      <c r="G102" s="22">
        <v>3360</v>
      </c>
      <c r="H102" s="22">
        <v>3240</v>
      </c>
      <c r="I102" s="22">
        <v>6600</v>
      </c>
      <c r="J102" s="22">
        <v>6600</v>
      </c>
      <c r="K102" s="22">
        <v>0</v>
      </c>
      <c r="L102" s="22">
        <v>3240</v>
      </c>
      <c r="M102" s="22">
        <v>0</v>
      </c>
      <c r="N102" s="22">
        <f>120*56</f>
        <v>6720</v>
      </c>
      <c r="O102" s="22">
        <f>O101</f>
        <v>9600</v>
      </c>
      <c r="P102" s="22">
        <f>P101</f>
        <v>11400</v>
      </c>
      <c r="Q102" s="22">
        <f>Q101</f>
        <v>13200</v>
      </c>
      <c r="R102" s="24">
        <f>R101</f>
        <v>0</v>
      </c>
      <c r="S102" s="24"/>
      <c r="T102" s="24"/>
      <c r="U102" s="24"/>
      <c r="V102" s="24"/>
      <c r="W102" s="24"/>
      <c r="X102" s="24"/>
      <c r="Y102" s="24"/>
      <c r="Z102" s="24"/>
      <c r="AA102" s="24"/>
      <c r="AB102" s="24"/>
      <c r="AC102" s="24"/>
    </row>
    <row r="103" ht="12.7" customHeight="1">
      <c r="A103" t="s" s="18">
        <v>126</v>
      </c>
      <c r="B103" s="19">
        <v>400027</v>
      </c>
      <c r="C103" t="s" s="20">
        <v>127</v>
      </c>
      <c r="D103" t="s" s="21">
        <v>29</v>
      </c>
      <c r="E103" t="s" s="16">
        <f>A103&amp;D103</f>
        <v>132</v>
      </c>
      <c r="F103" s="22">
        <v>0</v>
      </c>
      <c r="G103" s="22">
        <v>5457</v>
      </c>
      <c r="H103" s="22">
        <f>G104+H102-(H99-H100)-H107</f>
        <v>5771</v>
      </c>
      <c r="I103" s="22">
        <f>IF((H104+I102-I99-I107)&lt;0,0,(H104+I102-I99-I107))</f>
        <v>7482</v>
      </c>
      <c r="J103" s="22">
        <f>IF((I103+J102-(J99-J100)-J107)&lt;0,0,(I103+J102-(J99-J100)-J107))</f>
        <v>12182</v>
      </c>
      <c r="K103" s="22">
        <f>IF((J103+K102-(K99-K100)-K107)&lt;0,0,(J103+K102-(K99-K100)-K107))</f>
        <v>10282</v>
      </c>
      <c r="L103" s="22">
        <f>IF((K103+L102-(L99-L100)-L107)&lt;0,0,(K103+L102-(L99-L100)-L107))</f>
        <v>11622</v>
      </c>
      <c r="M103" s="22">
        <f>IF((L103+M102-(M99-M100)-M107)&lt;0,0,(L103+M102-(M99-M100)-M107))</f>
        <v>9710</v>
      </c>
      <c r="N103" s="22">
        <f>IF((M103+N102-(N99-N100)-N107)&lt;0,0,(M103+N102-(N99-N100)-N107))</f>
        <v>10970</v>
      </c>
      <c r="O103" s="22">
        <f>IF((N103+O102-(O99-O100)-O107)&lt;0,0,(N103+O102-(O99-O100)-O107))</f>
        <v>7155</v>
      </c>
      <c r="P103" s="22">
        <f>IF((O103+P102-(P99-P100)-P107)&lt;0,0,(O103+P102-(P99-P100)-P107))</f>
        <v>6481</v>
      </c>
      <c r="Q103" s="22">
        <f>IF((P103+Q102-(Q99-Q100)-Q107)&lt;0,0,(P103+Q102-(Q99-Q100)-Q107))</f>
        <v>9968</v>
      </c>
      <c r="R103" s="22">
        <f>IF((Q103+R102-(R99-R100)-R107)&lt;0,0,(Q103+R102-(R99-R100)-R107))</f>
        <v>0</v>
      </c>
      <c r="S103" s="22"/>
      <c r="T103" s="22"/>
      <c r="U103" s="22"/>
      <c r="V103" s="22"/>
      <c r="W103" s="22"/>
      <c r="X103" s="22"/>
      <c r="Y103" s="22"/>
      <c r="Z103" s="22"/>
      <c r="AA103" s="22"/>
      <c r="AB103" s="22"/>
      <c r="AC103" s="22"/>
    </row>
    <row r="104" ht="12.7" customHeight="1">
      <c r="A104" t="s" s="18">
        <v>126</v>
      </c>
      <c r="B104" s="19">
        <v>400027</v>
      </c>
      <c r="C104" t="s" s="20">
        <v>127</v>
      </c>
      <c r="D104" t="s" s="21">
        <v>31</v>
      </c>
      <c r="E104" t="s" s="16">
        <f>A104&amp;D104</f>
        <v>133</v>
      </c>
      <c r="F104" s="22">
        <f>INDEX('Actual Stock'!$B$5:$B$70,MATCH($A104,'Actual Stock'!$A$5:$A$70,0))</f>
        <v>4832</v>
      </c>
      <c r="G104" s="22">
        <f>INDEX('Actual Stock'!$D$5:$D$70,MATCH($A104,'Actual Stock'!$C$5:$C$70,0))</f>
        <v>1828</v>
      </c>
      <c r="H104" s="22">
        <f>INDEX('Actual Stock'!$F$5:$F$70,MATCH($A104,'Actual Stock'!$E$5:$E$70,0))</f>
        <v>2782</v>
      </c>
      <c r="I104" s="22">
        <f>INDEX('Actual Stock'!$H$5:$H$70,MATCH($A104,'Actual Stock'!$G$5:$G$70,0))</f>
        <v>0</v>
      </c>
      <c r="J104" s="22">
        <f>INDEX('Actual Stock'!$J$5:$J$70,MATCH($A104,'Actual Stock'!$I$5:$I$70,0))</f>
        <v>0</v>
      </c>
      <c r="K104" s="22">
        <f>INDEX('Actual Stock'!$L$5:$L$70,MATCH($A104,'Actual Stock'!$K$5:$K$70,0))</f>
        <v>0</v>
      </c>
      <c r="L104" s="22">
        <f>INDEX('Actual Stock'!$N$5:$N$70,MATCH($A104,'Actual Stock'!$M$5:$M$70,0))</f>
        <v>0</v>
      </c>
      <c r="M104" s="22">
        <f>INDEX('Actual Stock'!$P$5:$P$70,MATCH($A104,'Actual Stock'!$O$5:$O$70,0))</f>
        <v>0</v>
      </c>
      <c r="N104" s="22">
        <f>INDEX('Actual Stock'!$R$5:$R$70,MATCH($A104,'Actual Stock'!$Q$5:$Q$70,0))</f>
        <v>0</v>
      </c>
      <c r="O104" s="22">
        <f>INDEX('Actual Stock'!$T$5:$T$70,MATCH($A104,'Actual Stock'!$S$5:$S$70,0))</f>
        <v>0</v>
      </c>
      <c r="P104" s="22">
        <f>INDEX('Actual Stock'!$V$5:$V$70,MATCH($A104,'Actual Stock'!$U$5:$U$70,0))</f>
        <v>0</v>
      </c>
      <c r="Q104" s="22">
        <f>INDEX('Actual Stock'!$X$5:$X$70,MATCH($A104,'Actual Stock'!$W$5:$W$70,0))</f>
        <v>0</v>
      </c>
      <c r="R104" s="22"/>
      <c r="S104" s="22"/>
      <c r="T104" s="22"/>
      <c r="U104" s="22"/>
      <c r="V104" s="22"/>
      <c r="W104" s="22"/>
      <c r="X104" s="22"/>
      <c r="Y104" s="22"/>
      <c r="Z104" s="22"/>
      <c r="AA104" s="22"/>
      <c r="AB104" s="22"/>
      <c r="AC104" s="22"/>
    </row>
    <row r="105" ht="12.7" customHeight="1">
      <c r="A105" t="s" s="18">
        <v>126</v>
      </c>
      <c r="B105" s="19">
        <v>400027</v>
      </c>
      <c r="C105" t="s" s="20">
        <v>127</v>
      </c>
      <c r="D105" t="s" s="21">
        <v>33</v>
      </c>
      <c r="E105" t="s" s="23">
        <f>A105&amp;D105</f>
        <v>134</v>
      </c>
      <c r="F105" s="22">
        <v>0</v>
      </c>
      <c r="G105" s="22">
        <v>0</v>
      </c>
      <c r="H105" s="22">
        <v>0</v>
      </c>
      <c r="I105" s="22">
        <f>IF((H103+I102-(I99-I100)-I107)&gt;0,0,(H103+I102-(I99-I100)-I107))</f>
        <v>0</v>
      </c>
      <c r="J105" s="22">
        <f>IF((I103+J102-(J99-J100)-J107)&gt;0,0,(I103+J102-(J99-J100)-J107))</f>
        <v>0</v>
      </c>
      <c r="K105" s="22">
        <f>IF((J103+K102-(K99-K100)-K107)&gt;0,0,(J103+K102-(K99-K100)-K107))</f>
        <v>0</v>
      </c>
      <c r="L105" s="22">
        <f>IF((K103+L102-(L99-L100)-L107)&gt;0,0,(K103+L102-(L99-L100)-L107))</f>
        <v>0</v>
      </c>
      <c r="M105" s="22">
        <f>IF((L103+M102-(M99-M100)-M107)&gt;0,0,(L103+M102-(M99-M100)-M107))</f>
        <v>0</v>
      </c>
      <c r="N105" s="22">
        <f>IF((M103+N102-(N99-N100)-N107)&gt;0,0,(M103+N102-(N99-N100)-N107))</f>
        <v>0</v>
      </c>
      <c r="O105" s="22">
        <f>IF((N103+O102-(O99-O100)-O107)&lt;0,(N103+O102-(O99-O100)-O107),0)</f>
        <v>0</v>
      </c>
      <c r="P105" s="22">
        <f>IF((O103+P102-(P99-P100)-P107)&lt;0,(O103+P102-(P99-P100)-P107),0)</f>
        <v>0</v>
      </c>
      <c r="Q105" s="24">
        <f>IF((P103+Q102-(Q99-Q100)-Q107)&gt;0,0,(P103+Q102-(Q99-Q100)-Q107))</f>
        <v>0</v>
      </c>
      <c r="R105" s="24">
        <f>IF((Q103+R102-(R99-R100)-R107)&gt;0,0,(Q103+R102-(R99-R100)-R107))</f>
        <v>-3447.4</v>
      </c>
      <c r="S105" s="24"/>
      <c r="T105" s="24"/>
      <c r="U105" s="24"/>
      <c r="V105" s="24"/>
      <c r="W105" s="24"/>
      <c r="X105" s="24"/>
      <c r="Y105" s="24"/>
      <c r="Z105" s="24"/>
      <c r="AA105" s="24"/>
      <c r="AB105" s="24"/>
      <c r="AC105" s="24"/>
    </row>
    <row r="106" ht="12.7" customHeight="1">
      <c r="A106" t="s" s="18">
        <v>126</v>
      </c>
      <c r="B106" s="19">
        <v>400027</v>
      </c>
      <c r="C106" t="s" s="20">
        <v>127</v>
      </c>
      <c r="D106" t="s" s="21">
        <v>35</v>
      </c>
      <c r="E106" t="s" s="23">
        <f>A106&amp;D106</f>
        <v>135</v>
      </c>
      <c r="F106" s="25">
        <f>INDEX('Issued by date'!$B$5:$B$70,MATCH($A106,'Issued by date'!$A$5:$A$70,0))</f>
        <v>0</v>
      </c>
      <c r="G106" s="26">
        <f>INDEX('Issued by date'!$D$5:$D$70,MATCH($A106,'Issued by date'!$C$5:$C$70,0))</f>
        <v>1386</v>
      </c>
      <c r="H106" s="22">
        <f>INDEX('Issued by date'!$F$5:$F$70,MATCH($A106,'Issued by date'!$E$5:$E$70,0))</f>
        <v>0</v>
      </c>
      <c r="I106" s="22">
        <f>INDEX('Issued by date'!$H$5:$H$70,MATCH($A106,'Issued by date'!$G$5:$G$70,0))</f>
        <v>0</v>
      </c>
      <c r="J106" s="22">
        <f>INDEX('Issued by date'!$J$5:$J$70,MATCH($A106,'Issued by date'!$I$5:$I$70,0))</f>
        <v>0</v>
      </c>
      <c r="K106" s="22">
        <f>INDEX('Issued by date'!$L$5:$L$70,MATCH($A106,'Issued by date'!$K$5:$K$70,0))</f>
        <v>1980</v>
      </c>
      <c r="L106" s="22">
        <f>INDEX('Issued by date'!$N$5:$N$70,MATCH($A106,'Issued by date'!$M$5:$M$70,0))</f>
        <v>802</v>
      </c>
      <c r="M106" s="22">
        <f>INDEX('Issued by date'!$P$5:$P$70,MATCH($A106,'Issued by date'!$O$5:$O$70,0))</f>
        <v>0</v>
      </c>
      <c r="N106" s="27">
        <f>INDEX('Issued by date'!$R$5:$R$70,MATCH($A106,'Issued by date'!$Q$5:$Q$70,0))</f>
        <v>0</v>
      </c>
      <c r="O106" s="28">
        <f>INDEX('Issued by date'!$F$5:$F$70,MATCH($A106,'Issued by date'!$E$5:$E$70,0))</f>
        <v>0</v>
      </c>
      <c r="P106" s="28">
        <f>INDEX('Issued by date'!$V$5:$V$70,MATCH($A106,'Issued by date'!$U$5:$U$70,0))</f>
        <v>0</v>
      </c>
      <c r="Q106" s="29">
        <f>INDEX('Issued by date'!$X$5:$X$70,MATCH($A106,'Issued by date'!$W$5:$W$70,0))</f>
        <v>0</v>
      </c>
      <c r="R106" s="24"/>
      <c r="S106" s="24"/>
      <c r="T106" s="24"/>
      <c r="U106" s="24"/>
      <c r="V106" s="24"/>
      <c r="W106" s="24"/>
      <c r="X106" s="24"/>
      <c r="Y106" s="24"/>
      <c r="Z106" s="24"/>
      <c r="AA106" s="24"/>
      <c r="AB106" s="24"/>
      <c r="AC106" s="24"/>
    </row>
    <row r="107" ht="12.7" customHeight="1">
      <c r="A107" t="s" s="18">
        <v>126</v>
      </c>
      <c r="B107" s="19">
        <v>400027</v>
      </c>
      <c r="C107" t="s" s="20">
        <v>127</v>
      </c>
      <c r="D107" t="s" s="21">
        <v>37</v>
      </c>
      <c r="E107" t="s" s="23">
        <f>A107&amp;D107</f>
        <v>136</v>
      </c>
      <c r="F107" s="22">
        <v>0</v>
      </c>
      <c r="G107" s="30">
        <v>0</v>
      </c>
      <c r="H107" s="22">
        <v>0</v>
      </c>
      <c r="I107" s="22">
        <v>0</v>
      </c>
      <c r="J107" s="22">
        <v>0</v>
      </c>
      <c r="K107" s="22">
        <v>0</v>
      </c>
      <c r="L107" s="22">
        <v>0</v>
      </c>
      <c r="M107" s="46"/>
      <c r="N107" s="32"/>
      <c r="O107" s="32"/>
      <c r="P107" s="32"/>
      <c r="Q107" s="33"/>
      <c r="R107" s="24"/>
      <c r="S107" s="24"/>
      <c r="T107" s="24"/>
      <c r="U107" s="24"/>
      <c r="V107" s="24"/>
      <c r="W107" s="24"/>
      <c r="X107" s="24"/>
      <c r="Y107" s="24"/>
      <c r="Z107" s="24"/>
      <c r="AA107" s="24"/>
      <c r="AB107" s="24"/>
      <c r="AC107" s="24"/>
    </row>
    <row r="108" ht="12.7" customHeight="1">
      <c r="A108" t="s" s="34">
        <v>126</v>
      </c>
      <c r="B108" s="35">
        <v>400027</v>
      </c>
      <c r="C108" t="s" s="36">
        <v>127</v>
      </c>
      <c r="D108" t="s" s="37">
        <v>39</v>
      </c>
      <c r="E108" t="s" s="16">
        <f>A108&amp;D108</f>
        <v>137</v>
      </c>
      <c r="F108" s="38">
        <f>IFERROR(F104/AVERAGE(G99:H99)*30,0)</f>
        <v>45.72870662460568</v>
      </c>
      <c r="G108" s="38">
        <f>IFERROR(G104/AVERAGE(H99:I99)*30,0)</f>
        <v>23.33617021276596</v>
      </c>
      <c r="H108" s="38">
        <f>IFERROR(H103/AVERAGE(I99:J99)*30,0)</f>
        <v>91.12105263157895</v>
      </c>
      <c r="I108" s="38">
        <f>IFERROR(I103/AVERAGE(J99:K99)*30,0)</f>
        <v>118.1368421052632</v>
      </c>
      <c r="J108" s="38">
        <f>IFERROR(J103/AVERAGE(K99:L99)*30,0)</f>
        <v>192.3473684210526</v>
      </c>
      <c r="K108" s="38">
        <f>IFERROR(K103/AVERAGE(L99:M99)*30,0)</f>
        <v>161.8363064008394</v>
      </c>
      <c r="L108" s="38">
        <f>IFERROR(L103/AVERAGE(M99:N99)*30,0)</f>
        <v>94.59034183396636</v>
      </c>
      <c r="M108" s="38">
        <f>IFERROR(M103/AVERAGE(N99:O99)*30,0)</f>
        <v>30.86622516556291</v>
      </c>
      <c r="N108" s="38">
        <f>IFERROR(N103/AVERAGE(O99:P99)*30,0)</f>
        <v>25.82290399780297</v>
      </c>
      <c r="O108" s="38">
        <f>IFERROR(O103/AVERAGE(P99:Q99)*30,0)</f>
        <v>19.70441088722633</v>
      </c>
      <c r="P108" s="38">
        <f>IFERROR(P103/AVERAGE(Q99:R99)*30,0)</f>
        <v>16.81309558810813</v>
      </c>
      <c r="Q108" s="38">
        <f>IFERROR(Q103/AVERAGE(R99:S99)*30,0)</f>
        <v>22.29080012522921</v>
      </c>
      <c r="R108" s="38">
        <f>IFERROR(R103/AVERAGE(S99:T99)*30,0)</f>
        <v>0</v>
      </c>
      <c r="S108" s="38"/>
      <c r="T108" s="38"/>
      <c r="U108" s="38"/>
      <c r="V108" s="38"/>
      <c r="W108" s="38"/>
      <c r="X108" s="38"/>
      <c r="Y108" s="38"/>
      <c r="Z108" s="38"/>
      <c r="AA108" s="38"/>
      <c r="AB108" s="38"/>
      <c r="AC108" s="38"/>
    </row>
    <row r="109" ht="12" customHeight="1">
      <c r="A109" s="39"/>
      <c r="B109" s="40"/>
      <c r="C109" s="40"/>
      <c r="D109" s="41"/>
      <c r="E109" t="s" s="23">
        <f>A109&amp;D109</f>
      </c>
      <c r="F109" s="42"/>
      <c r="G109" s="40"/>
      <c r="H109" s="40"/>
      <c r="I109" s="40"/>
      <c r="J109" s="40"/>
      <c r="K109" s="40"/>
      <c r="L109" s="40"/>
      <c r="M109" s="40"/>
      <c r="N109" s="40"/>
      <c r="O109" s="40"/>
      <c r="P109" s="40"/>
      <c r="Q109" s="40"/>
      <c r="R109" s="40"/>
      <c r="S109" s="40"/>
      <c r="T109" s="40"/>
      <c r="U109" s="40"/>
      <c r="V109" s="40"/>
      <c r="W109" s="40"/>
      <c r="X109" s="40"/>
      <c r="Y109" s="40"/>
      <c r="Z109" s="40"/>
      <c r="AA109" s="40"/>
      <c r="AB109" s="40"/>
      <c r="AC109" s="43"/>
    </row>
    <row r="110" ht="13.5" customHeight="1">
      <c r="A110" t="s" s="8">
        <v>4</v>
      </c>
      <c r="B110" t="s" s="9">
        <v>5</v>
      </c>
      <c r="C110" t="s" s="9">
        <v>6</v>
      </c>
      <c r="D110" t="s" s="44">
        <v>7</v>
      </c>
      <c r="E110" t="s" s="23">
        <f>A110&amp;D110</f>
        <v>41</v>
      </c>
      <c r="F110" t="s" s="45">
        <v>8</v>
      </c>
      <c r="G110" t="s" s="9">
        <v>9</v>
      </c>
      <c r="H110" t="s" s="9">
        <v>10</v>
      </c>
      <c r="I110" t="s" s="9">
        <v>11</v>
      </c>
      <c r="J110" t="s" s="9">
        <v>1</v>
      </c>
      <c r="K110" t="s" s="9">
        <v>12</v>
      </c>
      <c r="L110" t="s" s="9">
        <v>13</v>
      </c>
      <c r="M110" t="s" s="9">
        <v>14</v>
      </c>
      <c r="N110" t="s" s="9">
        <v>15</v>
      </c>
      <c r="O110" t="s" s="9">
        <v>16</v>
      </c>
      <c r="P110" t="s" s="9">
        <v>17</v>
      </c>
      <c r="Q110" t="s" s="9">
        <v>18</v>
      </c>
      <c r="R110" t="s" s="9">
        <v>8</v>
      </c>
      <c r="S110" t="s" s="9">
        <v>9</v>
      </c>
      <c r="T110" t="s" s="9">
        <v>10</v>
      </c>
      <c r="U110" t="s" s="9">
        <v>11</v>
      </c>
      <c r="V110" t="s" s="9">
        <v>1</v>
      </c>
      <c r="W110" t="s" s="9">
        <v>12</v>
      </c>
      <c r="X110" t="s" s="9">
        <v>13</v>
      </c>
      <c r="Y110" t="s" s="9">
        <v>14</v>
      </c>
      <c r="Z110" t="s" s="9">
        <v>15</v>
      </c>
      <c r="AA110" t="s" s="9">
        <v>16</v>
      </c>
      <c r="AB110" t="s" s="9">
        <v>17</v>
      </c>
      <c r="AC110" t="s" s="11">
        <v>18</v>
      </c>
    </row>
    <row r="111" ht="12.7" customHeight="1">
      <c r="A111" t="s" s="12">
        <v>138</v>
      </c>
      <c r="B111" s="13">
        <v>400078</v>
      </c>
      <c r="C111" t="s" s="14">
        <v>139</v>
      </c>
      <c r="D111" t="s" s="15">
        <v>21</v>
      </c>
      <c r="E111" t="s" s="16">
        <f>A111&amp;D111</f>
        <v>140</v>
      </c>
      <c r="F111" s="17">
        <f>INDEX('Sales Forecast'!$B$5:$B$72,MATCH($A111,'Sales Forecast'!$A$5:$A$72,0))</f>
        <v>12200</v>
      </c>
      <c r="G111" s="17">
        <f>INDEX('Sales Forecast'!$D$5:$D$72,MATCH($A111,'Sales Forecast'!$C$5:$C$72,0))</f>
        <v>3700</v>
      </c>
      <c r="H111" s="17">
        <f>INDEX('Sales Forecast'!$F$5:$F$72,MATCH($A111,'Sales Forecast'!$E$5:$E$72,0))</f>
        <v>4000</v>
      </c>
      <c r="I111" s="17">
        <f>INDEX('Sales Forecast'!$H$5:$H$72,MATCH($A111,'Sales Forecast'!$G$5:$G$72,0))</f>
        <v>4000</v>
      </c>
      <c r="J111" s="17">
        <f>INDEX('Sales Forecast'!$J$5:$J$72,MATCH($A111,'Sales Forecast'!$I$5:$I$72,0))</f>
        <v>3640</v>
      </c>
      <c r="K111" s="17">
        <f>INDEX('Sales Forecast'!$L$5:$L$72,MATCH($A111,'Sales Forecast'!$K$5:$K$72,0))</f>
        <v>3580</v>
      </c>
      <c r="L111" s="17">
        <f>INDEX('Sales Forecast'!$N$5:$N$72,MATCH($A111,'Sales Forecast'!$M$5:$M$72,0))</f>
        <v>4410</v>
      </c>
      <c r="M111" s="17">
        <f>INDEX('Sales Forecast'!$P$5:$P$72,MATCH($A111,'Sales Forecast'!$O$5:$O$72,0))</f>
        <v>4301</v>
      </c>
      <c r="N111" s="17">
        <f>INDEX('Sales Forecast'!$R$5:$R$72,MATCH($A111,'Sales Forecast'!$Q$5:$Q$72,0))</f>
        <v>5932</v>
      </c>
      <c r="O111" s="17">
        <f>INDEX('Sales Forecast'!$T$5:$T$72,MATCH($A111,'Sales Forecast'!$S$5:$S$72,0))</f>
        <v>18038</v>
      </c>
      <c r="P111" s="17">
        <f>INDEX('Sales Forecast'!$V$5:$V$72,MATCH($A111,'Sales Forecast'!$U$5:$U$72,0))</f>
        <v>16234</v>
      </c>
      <c r="Q111" s="17">
        <f>INDEX('Sales Forecast'!$X$5:$X$72,MATCH($A111,'Sales Forecast'!$W$5:$W$72,0))</f>
        <v>14086</v>
      </c>
      <c r="R111" s="17">
        <v>18037.536</v>
      </c>
      <c r="S111" s="17"/>
      <c r="T111" s="17"/>
      <c r="U111" s="17"/>
      <c r="V111" s="17"/>
      <c r="W111" s="17"/>
      <c r="X111" s="17"/>
      <c r="Y111" s="17"/>
      <c r="Z111" s="17"/>
      <c r="AA111" s="17"/>
      <c r="AB111" s="17"/>
      <c r="AC111" s="17"/>
    </row>
    <row r="112" ht="12.7" customHeight="1">
      <c r="A112" t="s" s="18">
        <v>138</v>
      </c>
      <c r="B112" s="19">
        <v>400078</v>
      </c>
      <c r="C112" t="s" s="20">
        <v>139</v>
      </c>
      <c r="D112" t="s" s="21">
        <v>23</v>
      </c>
      <c r="E112" t="s" s="16">
        <f>A112&amp;D112</f>
        <v>141</v>
      </c>
      <c r="F112" s="22">
        <f>INDEX('Sales Actual'!$B$5:$B$70,MATCH($A112,'Sales Actual'!$A$5:$A$70,0))</f>
        <v>4150</v>
      </c>
      <c r="G112" s="22">
        <f>INDEX('Sales Actual'!$D$5:$D$70,MATCH($A112,'Sales Actual'!$C$5:$C$70,0))</f>
        <v>2757</v>
      </c>
      <c r="H112" s="22">
        <f>INDEX('Sales Actual'!$F$5:$F$70,MATCH($A112,'Sales Actual'!$E$5:$E$70,0))</f>
        <v>5478</v>
      </c>
      <c r="I112" s="22">
        <f>INDEX('Sales Actual'!$H$5:$H$70,MATCH($A112,'Sales Actual'!$G$5:$G$70,0))</f>
        <v>0</v>
      </c>
      <c r="J112" s="22">
        <f>INDEX('Sales Actual'!$J$5:$J$70,MATCH($A112,'Sales Actual'!$I$5:$I$70,0))</f>
        <v>0</v>
      </c>
      <c r="K112" s="22">
        <f>INDEX('Sales Actual'!$L$5:$L$70,MATCH($A112,'Sales Actual'!$K$5:$K$70,0))</f>
        <v>0</v>
      </c>
      <c r="L112" s="22">
        <f>INDEX('Sales Actual'!$N$5:$N$70,MATCH($A112,'Sales Actual'!$M$5:$M$70,0))</f>
        <v>0</v>
      </c>
      <c r="M112" s="22">
        <f>INDEX('Sales Actual'!$P$5:$P$70,MATCH($A112,'Sales Actual'!$O$5:$O$70,0))</f>
        <v>0</v>
      </c>
      <c r="N112" s="22">
        <f>INDEX('Sales Actual'!$R$5:$R$70,MATCH($A112,'Sales Actual'!$Q$5:$Q$70,0))</f>
        <v>0</v>
      </c>
      <c r="O112" s="22">
        <f>INDEX('Sales Actual'!$T$5:$T$70,MATCH($A112,'Sales Actual'!$S$5:$S$70,0))</f>
        <v>0</v>
      </c>
      <c r="P112" s="22">
        <f>INDEX('Sales Actual'!$V$5:$V$70,MATCH($A112,'Sales Actual'!$U$5:$U$70,0))</f>
        <v>0</v>
      </c>
      <c r="Q112" s="22">
        <f>INDEX('Sales Actual'!$X$5:$X$70,MATCH($A112,'Sales Actual'!$W$5:$W$70,0))</f>
        <v>0</v>
      </c>
      <c r="R112" s="22"/>
      <c r="S112" s="22"/>
      <c r="T112" s="22"/>
      <c r="U112" s="22"/>
      <c r="V112" s="22"/>
      <c r="W112" s="22"/>
      <c r="X112" s="22"/>
      <c r="Y112" s="22"/>
      <c r="Z112" s="22"/>
      <c r="AA112" s="22"/>
      <c r="AB112" s="22"/>
      <c r="AC112" s="22"/>
    </row>
    <row r="113" ht="12.7" customHeight="1">
      <c r="A113" t="s" s="18">
        <v>138</v>
      </c>
      <c r="B113" s="19">
        <v>400078</v>
      </c>
      <c r="C113" t="s" s="20">
        <v>139</v>
      </c>
      <c r="D113" t="s" s="21">
        <v>25</v>
      </c>
      <c r="E113" t="s" s="23">
        <f>A113&amp;D113</f>
        <v>142</v>
      </c>
      <c r="F113" s="22">
        <v>1680</v>
      </c>
      <c r="G113" s="22">
        <v>1680</v>
      </c>
      <c r="H113" s="22">
        <v>3360</v>
      </c>
      <c r="I113" s="22">
        <v>7200</v>
      </c>
      <c r="J113" s="22">
        <v>6000</v>
      </c>
      <c r="K113" s="22">
        <v>3000</v>
      </c>
      <c r="L113" s="22">
        <v>0</v>
      </c>
      <c r="M113" s="22">
        <f>30*120</f>
        <v>3600</v>
      </c>
      <c r="N113" s="22">
        <f>120*90</f>
        <v>10800</v>
      </c>
      <c r="O113" s="22">
        <f t="shared" si="949" ref="O113:Q113">120*160</f>
        <v>19200</v>
      </c>
      <c r="P113" s="22">
        <f>135*120</f>
        <v>16200</v>
      </c>
      <c r="Q113" s="22">
        <f t="shared" si="949"/>
        <v>19200</v>
      </c>
      <c r="R113" s="24">
        <v>0</v>
      </c>
      <c r="S113" s="24"/>
      <c r="T113" s="24"/>
      <c r="U113" s="24"/>
      <c r="V113" s="24"/>
      <c r="W113" s="24"/>
      <c r="X113" s="24"/>
      <c r="Y113" s="24"/>
      <c r="Z113" s="24"/>
      <c r="AA113" s="24"/>
      <c r="AB113" s="24"/>
      <c r="AC113" s="24"/>
    </row>
    <row r="114" ht="12.7" customHeight="1">
      <c r="A114" t="s" s="18">
        <v>138</v>
      </c>
      <c r="B114" s="19">
        <v>400078</v>
      </c>
      <c r="C114" t="s" s="20">
        <v>139</v>
      </c>
      <c r="D114" t="s" s="21">
        <v>27</v>
      </c>
      <c r="E114" t="s" s="23">
        <f>A114&amp;D114</f>
        <v>143</v>
      </c>
      <c r="F114" s="22">
        <v>0</v>
      </c>
      <c r="G114" s="22">
        <v>3720</v>
      </c>
      <c r="H114" s="22">
        <v>3720</v>
      </c>
      <c r="I114" s="22">
        <v>7560</v>
      </c>
      <c r="J114" s="22">
        <v>3600</v>
      </c>
      <c r="K114" s="22">
        <v>3720</v>
      </c>
      <c r="L114" s="22">
        <v>0</v>
      </c>
      <c r="M114" s="22">
        <v>3600</v>
      </c>
      <c r="N114" s="22">
        <f>120*103</f>
        <v>12360</v>
      </c>
      <c r="O114" s="22">
        <f>O113</f>
        <v>19200</v>
      </c>
      <c r="P114" s="22">
        <f>P113</f>
        <v>16200</v>
      </c>
      <c r="Q114" s="22">
        <f>Q113</f>
        <v>19200</v>
      </c>
      <c r="R114" s="24">
        <f>R113</f>
        <v>0</v>
      </c>
      <c r="S114" s="24"/>
      <c r="T114" s="24"/>
      <c r="U114" s="24"/>
      <c r="V114" s="24"/>
      <c r="W114" s="24"/>
      <c r="X114" s="24"/>
      <c r="Y114" s="24"/>
      <c r="Z114" s="24"/>
      <c r="AA114" s="24"/>
      <c r="AB114" s="24"/>
      <c r="AC114" s="24"/>
    </row>
    <row r="115" ht="12.7" customHeight="1">
      <c r="A115" t="s" s="18">
        <v>138</v>
      </c>
      <c r="B115" s="19">
        <v>400078</v>
      </c>
      <c r="C115" t="s" s="20">
        <v>139</v>
      </c>
      <c r="D115" t="s" s="21">
        <v>29</v>
      </c>
      <c r="E115" t="s" s="16">
        <f>A115&amp;D115</f>
        <v>144</v>
      </c>
      <c r="F115" s="22">
        <v>0</v>
      </c>
      <c r="G115" s="22">
        <v>10124</v>
      </c>
      <c r="H115" s="22">
        <f>G116+H114-(H111-H112)-H119</f>
        <v>5524</v>
      </c>
      <c r="I115" s="22">
        <f>IF((H116+I114-I111-I119)&lt;0,0,(H116+I114-I111-I119))</f>
        <v>4644</v>
      </c>
      <c r="J115" s="22">
        <f>IF((I115+J114-(J111-J112)-J119)&lt;0,0,(I115+J114-(J111-J112)-J119))</f>
        <v>4604</v>
      </c>
      <c r="K115" s="22">
        <f>IF((J115+K114-(K111-K112)-K119)&lt;0,0,(J115+K114-(K111-K112)-K119))</f>
        <v>4744</v>
      </c>
      <c r="L115" s="22">
        <f>IF((K115+L114-(L111-L112)-L119)&lt;0,0,(K115+L114-(L111-L112)-L119))</f>
        <v>334</v>
      </c>
      <c r="M115" s="22">
        <f>IF((L115+M114-(M111-M112)-M119)&lt;0,0,(L115+M114-(M111-M112)-M119))</f>
        <v>0</v>
      </c>
      <c r="N115" s="22">
        <f>IF((M115+N114-(N111-N112)-N119)&lt;0,0,(M115+N114-(N111-N112)-N119))</f>
        <v>6428</v>
      </c>
      <c r="O115" s="22">
        <f>IF((N115+O114-(O111-O112)-O119)&lt;0,0,(N115+O114-(O111-O112)-O119))</f>
        <v>7590</v>
      </c>
      <c r="P115" s="22">
        <f>IF((O115+P114-(P111-P112)-P119)&lt;0,0,(O115+P114-(P111-P112)-P119))</f>
        <v>7556</v>
      </c>
      <c r="Q115" s="22">
        <f>IF((P115+Q114-(Q111-Q112)-Q119)&lt;0,0,(P115+Q114-(Q111-Q112)-Q119))</f>
        <v>12670</v>
      </c>
      <c r="R115" s="22">
        <f>IF((Q115+R114-(R111-R112)-R119)&lt;0,0,(Q115+R114-(R111-R112)-R119))</f>
        <v>0</v>
      </c>
      <c r="S115" s="22"/>
      <c r="T115" s="22"/>
      <c r="U115" s="22"/>
      <c r="V115" s="22"/>
      <c r="W115" s="22"/>
      <c r="X115" s="22"/>
      <c r="Y115" s="22"/>
      <c r="Z115" s="22"/>
      <c r="AA115" s="22"/>
      <c r="AB115" s="22"/>
      <c r="AC115" s="22"/>
    </row>
    <row r="116" ht="12.7" customHeight="1">
      <c r="A116" t="s" s="18">
        <v>138</v>
      </c>
      <c r="B116" s="19">
        <v>400078</v>
      </c>
      <c r="C116" t="s" s="20">
        <v>139</v>
      </c>
      <c r="D116" t="s" s="21">
        <v>31</v>
      </c>
      <c r="E116" t="s" s="16">
        <f>A116&amp;D116</f>
        <v>145</v>
      </c>
      <c r="F116" s="22">
        <f>INDEX('Actual Stock'!$B$5:$B$70,MATCH($A116,'Actual Stock'!$A$5:$A$70,0))</f>
        <v>7794</v>
      </c>
      <c r="G116" s="22">
        <f>INDEX('Actual Stock'!$D$5:$D$70,MATCH($A116,'Actual Stock'!$C$5:$C$70,0))</f>
        <v>326</v>
      </c>
      <c r="H116" s="22">
        <f>INDEX('Actual Stock'!$F$5:$F$70,MATCH($A116,'Actual Stock'!$E$5:$E$70,0))</f>
        <v>1084</v>
      </c>
      <c r="I116" s="22">
        <f>INDEX('Actual Stock'!$H$5:$H$70,MATCH($A116,'Actual Stock'!$G$5:$G$70,0))</f>
        <v>0</v>
      </c>
      <c r="J116" s="22">
        <f>INDEX('Actual Stock'!$J$5:$J$70,MATCH($A116,'Actual Stock'!$I$5:$I$70,0))</f>
        <v>0</v>
      </c>
      <c r="K116" s="22">
        <f>INDEX('Actual Stock'!$L$5:$L$70,MATCH($A116,'Actual Stock'!$K$5:$K$70,0))</f>
        <v>0</v>
      </c>
      <c r="L116" s="22">
        <f>INDEX('Actual Stock'!$N$5:$N$70,MATCH($A116,'Actual Stock'!$M$5:$M$70,0))</f>
        <v>0</v>
      </c>
      <c r="M116" s="22">
        <f>INDEX('Actual Stock'!$P$5:$P$70,MATCH($A116,'Actual Stock'!$O$5:$O$70,0))</f>
        <v>0</v>
      </c>
      <c r="N116" s="22">
        <f>INDEX('Actual Stock'!$R$5:$R$70,MATCH($A116,'Actual Stock'!$Q$5:$Q$70,0))</f>
        <v>0</v>
      </c>
      <c r="O116" s="22">
        <f>INDEX('Actual Stock'!$T$5:$T$70,MATCH($A116,'Actual Stock'!$S$5:$S$70,0))</f>
        <v>0</v>
      </c>
      <c r="P116" s="22">
        <f>INDEX('Actual Stock'!$V$5:$V$70,MATCH($A116,'Actual Stock'!$U$5:$U$70,0))</f>
        <v>0</v>
      </c>
      <c r="Q116" s="22">
        <f>INDEX('Actual Stock'!$X$5:$X$70,MATCH($A116,'Actual Stock'!$W$5:$W$70,0))</f>
        <v>0</v>
      </c>
      <c r="R116" s="22"/>
      <c r="S116" s="22"/>
      <c r="T116" s="22"/>
      <c r="U116" s="22"/>
      <c r="V116" s="22"/>
      <c r="W116" s="22"/>
      <c r="X116" s="22"/>
      <c r="Y116" s="22"/>
      <c r="Z116" s="22"/>
      <c r="AA116" s="22"/>
      <c r="AB116" s="22"/>
      <c r="AC116" s="22"/>
    </row>
    <row r="117" ht="12.7" customHeight="1">
      <c r="A117" t="s" s="18">
        <v>138</v>
      </c>
      <c r="B117" s="19">
        <v>400078</v>
      </c>
      <c r="C117" t="s" s="20">
        <v>139</v>
      </c>
      <c r="D117" t="s" s="21">
        <v>33</v>
      </c>
      <c r="E117" t="s" s="23">
        <f>A117&amp;D117</f>
        <v>146</v>
      </c>
      <c r="F117" s="22">
        <v>0</v>
      </c>
      <c r="G117" s="22">
        <v>0</v>
      </c>
      <c r="H117" s="22">
        <v>0</v>
      </c>
      <c r="I117" s="22">
        <f>IF((H115+I114-(I111-I112)-I119)&gt;0,0,(H115+I114-(I111-I112)-I119))</f>
        <v>0</v>
      </c>
      <c r="J117" s="22">
        <f>IF((I115+J114-(J111-J112)-J119)&gt;0,0,(I115+J114-(J111-J112)-J119))</f>
        <v>0</v>
      </c>
      <c r="K117" s="22">
        <f>IF((J115+K114-(K111-K112)-K119)&gt;0,0,(J115+K114-(K111-K112)-K119))</f>
        <v>0</v>
      </c>
      <c r="L117" s="22">
        <f>IF((K115+L114-(L111-L112)-L119)&gt;0,0,(K115+L114-(L111-L112)-L119))</f>
        <v>0</v>
      </c>
      <c r="M117" s="22">
        <f>IF((L115+M114-(M111-M112)-M119)&gt;0,0,(L115+M114-(M111-M112)-M119))</f>
        <v>-367</v>
      </c>
      <c r="N117" s="22">
        <f>IF((M115+N114-(N111-N112)-N119)&gt;0,0,(M115+N114-(N111-N112)-N119))</f>
        <v>0</v>
      </c>
      <c r="O117" s="22">
        <f>IF((N115+O114-(O111-O112)-O119)&gt;0,0,(N115+O114-(O111-O112)-O119))</f>
        <v>0</v>
      </c>
      <c r="P117" s="22">
        <f>IF((O115+P114-(P111-P112)-P119)&gt;0,0,(O115+P114-(P111-P112)-P119))</f>
        <v>0</v>
      </c>
      <c r="Q117" s="22">
        <f>IF((P115+Q114-(Q111-Q112)-Q119)&gt;0,0,(P115+Q114-(Q111-Q112)-Q119))</f>
        <v>0</v>
      </c>
      <c r="R117" s="24">
        <f>IF((Q115+R114-(R111-R112)-R119)&gt;0,0,(Q115+R114-(R111-R112)-R119))</f>
        <v>-5367.536</v>
      </c>
      <c r="S117" s="24"/>
      <c r="T117" s="24"/>
      <c r="U117" s="24"/>
      <c r="V117" s="24"/>
      <c r="W117" s="24"/>
      <c r="X117" s="24"/>
      <c r="Y117" s="24"/>
      <c r="Z117" s="24"/>
      <c r="AA117" s="24"/>
      <c r="AB117" s="24"/>
      <c r="AC117" s="24"/>
    </row>
    <row r="118" ht="12.7" customHeight="1">
      <c r="A118" t="s" s="18">
        <v>138</v>
      </c>
      <c r="B118" s="19">
        <v>400078</v>
      </c>
      <c r="C118" t="s" s="20">
        <v>139</v>
      </c>
      <c r="D118" t="s" s="21">
        <v>35</v>
      </c>
      <c r="E118" t="s" s="23">
        <f>A118&amp;D118</f>
        <v>147</v>
      </c>
      <c r="F118" s="25">
        <f>INDEX('Issued by date'!$B$5:$B$70,MATCH($A118,'Issued by date'!$A$5:$A$70,0))</f>
        <v>0</v>
      </c>
      <c r="G118" s="26">
        <f>INDEX('Issued by date'!$D$5:$D$70,MATCH($A118,'Issued by date'!$C$5:$C$70,0))</f>
        <v>676</v>
      </c>
      <c r="H118" s="22">
        <f>INDEX('Issued by date'!$F$5:$F$70,MATCH($A118,'Issued by date'!$E$5:$E$70,0))</f>
        <v>0</v>
      </c>
      <c r="I118" s="22">
        <f>INDEX('Issued by date'!$H$5:$H$70,MATCH($A118,'Issued by date'!$G$5:$G$70,0))</f>
        <v>0</v>
      </c>
      <c r="J118" s="22">
        <f>INDEX('Issued by date'!$J$5:$J$70,MATCH($A118,'Issued by date'!$I$5:$I$70,0))</f>
        <v>124</v>
      </c>
      <c r="K118" s="22">
        <f>INDEX('Issued by date'!$L$5:$L$70,MATCH($A118,'Issued by date'!$K$5:$K$70,0))</f>
        <v>960</v>
      </c>
      <c r="L118" s="22">
        <f>INDEX('Issued by date'!$N$5:$N$70,MATCH($A118,'Issued by date'!$M$5:$M$70,0))</f>
        <v>0</v>
      </c>
      <c r="M118" s="22">
        <f>INDEX('Issued by date'!$P$5:$P$70,MATCH($A118,'Issued by date'!$O$5:$O$70,0))</f>
        <v>0</v>
      </c>
      <c r="N118" s="27">
        <f>INDEX('Issued by date'!$R$5:$R$70,MATCH($A118,'Issued by date'!$Q$5:$Q$70,0))</f>
        <v>0</v>
      </c>
      <c r="O118" s="28">
        <f>INDEX('Issued by date'!$F$5:$F$70,MATCH($A118,'Issued by date'!$E$5:$E$70,0))</f>
        <v>0</v>
      </c>
      <c r="P118" s="28">
        <f>INDEX('Issued by date'!$V$5:$V$70,MATCH($A118,'Issued by date'!$U$5:$U$70,0))</f>
        <v>0</v>
      </c>
      <c r="Q118" s="29">
        <f>INDEX('Issued by date'!$X$5:$X$70,MATCH($A118,'Issued by date'!$W$5:$W$70,0))</f>
        <v>0</v>
      </c>
      <c r="R118" s="24"/>
      <c r="S118" s="24"/>
      <c r="T118" s="24"/>
      <c r="U118" s="24"/>
      <c r="V118" s="24"/>
      <c r="W118" s="24"/>
      <c r="X118" s="24"/>
      <c r="Y118" s="24"/>
      <c r="Z118" s="24"/>
      <c r="AA118" s="24"/>
      <c r="AB118" s="24"/>
      <c r="AC118" s="24"/>
    </row>
    <row r="119" ht="12.7" customHeight="1">
      <c r="A119" t="s" s="18">
        <v>138</v>
      </c>
      <c r="B119" s="19">
        <v>400078</v>
      </c>
      <c r="C119" t="s" s="20">
        <v>139</v>
      </c>
      <c r="D119" t="s" s="21">
        <v>37</v>
      </c>
      <c r="E119" t="s" s="23">
        <f>A119&amp;D119</f>
        <v>148</v>
      </c>
      <c r="F119" s="22">
        <v>0</v>
      </c>
      <c r="G119" s="30">
        <v>0</v>
      </c>
      <c r="H119" s="22">
        <v>0</v>
      </c>
      <c r="I119" s="48"/>
      <c r="J119" s="22">
        <v>0</v>
      </c>
      <c r="K119" s="22">
        <v>0</v>
      </c>
      <c r="L119" s="22">
        <v>0</v>
      </c>
      <c r="M119" s="46"/>
      <c r="N119" s="32"/>
      <c r="O119" s="32"/>
      <c r="P119" s="32"/>
      <c r="Q119" s="33"/>
      <c r="R119" s="24"/>
      <c r="S119" s="24"/>
      <c r="T119" s="24"/>
      <c r="U119" s="24"/>
      <c r="V119" s="24"/>
      <c r="W119" s="24"/>
      <c r="X119" s="24"/>
      <c r="Y119" s="24"/>
      <c r="Z119" s="24"/>
      <c r="AA119" s="24"/>
      <c r="AB119" s="24"/>
      <c r="AC119" s="24"/>
    </row>
    <row r="120" ht="12.7" customHeight="1">
      <c r="A120" t="s" s="34">
        <v>138</v>
      </c>
      <c r="B120" s="35">
        <v>400078</v>
      </c>
      <c r="C120" t="s" s="36">
        <v>139</v>
      </c>
      <c r="D120" t="s" s="37">
        <v>39</v>
      </c>
      <c r="E120" t="s" s="16">
        <f>A120&amp;D120</f>
        <v>149</v>
      </c>
      <c r="F120" s="38">
        <f>IFERROR(F116/AVERAGE(G111:H111)*30,0)</f>
        <v>60.73246753246752</v>
      </c>
      <c r="G120" s="38">
        <f>IFERROR(G116/AVERAGE(H111:I111)*30,0)</f>
        <v>2.445</v>
      </c>
      <c r="H120" s="38">
        <f>IFERROR(H115/AVERAGE(I111:J111)*30,0)</f>
        <v>43.38219895287958</v>
      </c>
      <c r="I120" s="38">
        <f>IFERROR(I115/AVERAGE(J111:K111)*30,0)</f>
        <v>38.59279778393352</v>
      </c>
      <c r="J120" s="38">
        <f>IFERROR(J115/AVERAGE(K111:L111)*30,0)</f>
        <v>34.57321652065081</v>
      </c>
      <c r="K120" s="38">
        <f>IFERROR(K115/AVERAGE(L111:M111)*30,0)</f>
        <v>32.67592698886465</v>
      </c>
      <c r="L120" s="38">
        <f>IFERROR(L115/AVERAGE(M111:N111)*30,0)</f>
        <v>1.958369979478159</v>
      </c>
      <c r="M120" s="38">
        <f>IFERROR(M115/AVERAGE(N111:O111)*30,0)</f>
        <v>0</v>
      </c>
      <c r="N120" s="38">
        <f>IFERROR(N115/AVERAGE(O111:P111)*30,0)</f>
        <v>11.25350140056022</v>
      </c>
      <c r="O120" s="38">
        <f>IFERROR(O115/AVERAGE(P111:Q111)*30,0)</f>
        <v>15.0197889182058</v>
      </c>
      <c r="P120" s="38">
        <f>IFERROR(P115/AVERAGE(Q111:R111)*30,0)</f>
        <v>14.11301669903338</v>
      </c>
      <c r="Q120" s="38">
        <f>IFERROR(Q115/AVERAGE(R111:S111)*30,0)</f>
        <v>21.07272301493951</v>
      </c>
      <c r="R120" s="38">
        <f>IFERROR(R115/AVERAGE(S111:T111)*30,0)</f>
        <v>0</v>
      </c>
      <c r="S120" s="38"/>
      <c r="T120" s="38"/>
      <c r="U120" s="38"/>
      <c r="V120" s="38"/>
      <c r="W120" s="38"/>
      <c r="X120" s="38"/>
      <c r="Y120" s="38"/>
      <c r="Z120" s="38"/>
      <c r="AA120" s="38"/>
      <c r="AB120" s="38"/>
      <c r="AC120" s="38"/>
    </row>
    <row r="121" ht="12" customHeight="1">
      <c r="A121" s="39"/>
      <c r="B121" s="40"/>
      <c r="C121" s="40"/>
      <c r="D121" s="41"/>
      <c r="E121" t="s" s="23">
        <f>A121&amp;D121</f>
      </c>
      <c r="F121" s="42"/>
      <c r="G121" s="40"/>
      <c r="H121" s="40"/>
      <c r="I121" s="40"/>
      <c r="J121" s="40"/>
      <c r="K121" s="40"/>
      <c r="L121" s="40"/>
      <c r="M121" s="40"/>
      <c r="N121" s="40"/>
      <c r="O121" s="40"/>
      <c r="P121" s="40"/>
      <c r="Q121" s="40"/>
      <c r="R121" s="40"/>
      <c r="S121" s="40"/>
      <c r="T121" s="40"/>
      <c r="U121" s="40"/>
      <c r="V121" s="40"/>
      <c r="W121" s="40"/>
      <c r="X121" s="40"/>
      <c r="Y121" s="40"/>
      <c r="Z121" s="40"/>
      <c r="AA121" s="40"/>
      <c r="AB121" s="40"/>
      <c r="AC121" s="43"/>
    </row>
    <row r="122" ht="13.5" customHeight="1">
      <c r="A122" t="s" s="8">
        <v>4</v>
      </c>
      <c r="B122" t="s" s="9">
        <v>5</v>
      </c>
      <c r="C122" t="s" s="9">
        <v>6</v>
      </c>
      <c r="D122" t="s" s="44">
        <v>7</v>
      </c>
      <c r="E122" t="s" s="23">
        <f>A122&amp;D122</f>
        <v>41</v>
      </c>
      <c r="F122" t="s" s="45">
        <v>8</v>
      </c>
      <c r="G122" t="s" s="9">
        <v>9</v>
      </c>
      <c r="H122" t="s" s="9">
        <v>10</v>
      </c>
      <c r="I122" t="s" s="9">
        <v>11</v>
      </c>
      <c r="J122" t="s" s="9">
        <v>1</v>
      </c>
      <c r="K122" t="s" s="9">
        <v>12</v>
      </c>
      <c r="L122" t="s" s="9">
        <v>13</v>
      </c>
      <c r="M122" t="s" s="9">
        <v>14</v>
      </c>
      <c r="N122" t="s" s="9">
        <v>15</v>
      </c>
      <c r="O122" t="s" s="9">
        <v>16</v>
      </c>
      <c r="P122" t="s" s="9">
        <v>17</v>
      </c>
      <c r="Q122" t="s" s="9">
        <v>18</v>
      </c>
      <c r="R122" t="s" s="9">
        <v>8</v>
      </c>
      <c r="S122" t="s" s="9">
        <v>9</v>
      </c>
      <c r="T122" t="s" s="9">
        <v>10</v>
      </c>
      <c r="U122" t="s" s="9">
        <v>11</v>
      </c>
      <c r="V122" t="s" s="9">
        <v>1</v>
      </c>
      <c r="W122" t="s" s="9">
        <v>12</v>
      </c>
      <c r="X122" t="s" s="9">
        <v>13</v>
      </c>
      <c r="Y122" t="s" s="9">
        <v>14</v>
      </c>
      <c r="Z122" t="s" s="9">
        <v>15</v>
      </c>
      <c r="AA122" t="s" s="9">
        <v>16</v>
      </c>
      <c r="AB122" t="s" s="9">
        <v>17</v>
      </c>
      <c r="AC122" t="s" s="11">
        <v>18</v>
      </c>
    </row>
    <row r="123" ht="12.7" customHeight="1">
      <c r="A123" t="s" s="12">
        <v>150</v>
      </c>
      <c r="B123" s="13">
        <v>400024</v>
      </c>
      <c r="C123" t="s" s="14">
        <v>151</v>
      </c>
      <c r="D123" t="s" s="15">
        <v>21</v>
      </c>
      <c r="E123" t="s" s="16">
        <f>A123&amp;D123</f>
        <v>152</v>
      </c>
      <c r="F123" s="17">
        <f>INDEX('Sales Forecast'!$B$5:$B$72,MATCH($A123,'Sales Forecast'!$A$5:$A$72,0))</f>
        <v>35400</v>
      </c>
      <c r="G123" s="17">
        <f>INDEX('Sales Forecast'!$D$5:$D$72,MATCH($A123,'Sales Forecast'!$C$5:$C$72,0))</f>
        <v>16320</v>
      </c>
      <c r="H123" s="17">
        <f>INDEX('Sales Forecast'!$F$5:$F$72,MATCH($A123,'Sales Forecast'!$E$5:$E$72,0))</f>
        <v>25000</v>
      </c>
      <c r="I123" s="17">
        <f>INDEX('Sales Forecast'!$H$5:$H$72,MATCH($A123,'Sales Forecast'!$G$5:$G$72,0))</f>
        <v>20000</v>
      </c>
      <c r="J123" s="17">
        <f>INDEX('Sales Forecast'!$J$5:$J$72,MATCH($A123,'Sales Forecast'!$I$5:$I$72,0))</f>
        <v>13060</v>
      </c>
      <c r="K123" s="17">
        <f>INDEX('Sales Forecast'!$L$5:$L$72,MATCH($A123,'Sales Forecast'!$K$5:$K$72,0))</f>
        <v>12000</v>
      </c>
      <c r="L123" s="17">
        <f>INDEX('Sales Forecast'!$N$5:$N$72,MATCH($A123,'Sales Forecast'!$M$5:$M$72,0))</f>
        <v>11970</v>
      </c>
      <c r="M123" s="17">
        <f>INDEX('Sales Forecast'!$P$5:$P$72,MATCH($A123,'Sales Forecast'!$O$5:$O$72,0))</f>
        <v>16139</v>
      </c>
      <c r="N123" s="17">
        <f>INDEX('Sales Forecast'!$R$5:$R$72,MATCH($A123,'Sales Forecast'!$Q$5:$Q$72,0))</f>
        <v>24180</v>
      </c>
      <c r="O123" s="17">
        <f>INDEX('Sales Forecast'!$T$5:$T$72,MATCH($A123,'Sales Forecast'!$S$5:$S$72,0))</f>
        <v>43786</v>
      </c>
      <c r="P123" s="17">
        <f>INDEX('Sales Forecast'!$V$5:$V$72,MATCH($A123,'Sales Forecast'!$U$5:$U$72,0))</f>
        <v>33989</v>
      </c>
      <c r="Q123" s="17">
        <f>INDEX('Sales Forecast'!$X$5:$X$72,MATCH($A123,'Sales Forecast'!$W$5:$W$72,0))</f>
        <v>32964</v>
      </c>
      <c r="R123" s="17">
        <v>45099.100020000005</v>
      </c>
      <c r="S123" s="17">
        <v>21954</v>
      </c>
      <c r="T123" s="17"/>
      <c r="U123" s="17"/>
      <c r="V123" s="17"/>
      <c r="W123" s="17"/>
      <c r="X123" s="17"/>
      <c r="Y123" s="17"/>
      <c r="Z123" s="17"/>
      <c r="AA123" s="17"/>
      <c r="AB123" s="17"/>
      <c r="AC123" s="17"/>
    </row>
    <row r="124" ht="12.7" customHeight="1">
      <c r="A124" t="s" s="18">
        <v>150</v>
      </c>
      <c r="B124" s="19">
        <v>400024</v>
      </c>
      <c r="C124" t="s" s="20">
        <v>151</v>
      </c>
      <c r="D124" t="s" s="21">
        <v>23</v>
      </c>
      <c r="E124" t="s" s="16">
        <f>A124&amp;D124</f>
        <v>153</v>
      </c>
      <c r="F124" s="22">
        <f>INDEX('Sales Actual'!$B$5:$B$70,MATCH($A124,'Sales Actual'!$A$5:$A$70,0))</f>
        <v>31363</v>
      </c>
      <c r="G124" s="22">
        <f>INDEX('Sales Actual'!$D$5:$D$70,MATCH($A124,'Sales Actual'!$C$5:$C$70,0))</f>
        <v>21662</v>
      </c>
      <c r="H124" s="22">
        <f>INDEX('Sales Actual'!$F$5:$F$70,MATCH($A124,'Sales Actual'!$E$5:$E$70,0))</f>
        <v>28167</v>
      </c>
      <c r="I124" s="22">
        <f>INDEX('Sales Actual'!$H$5:$H$70,MATCH($A124,'Sales Actual'!$G$5:$G$70,0))</f>
        <v>0</v>
      </c>
      <c r="J124" s="22">
        <f>INDEX('Sales Actual'!$J$5:$J$70,MATCH($A124,'Sales Actual'!$I$5:$I$70,0))</f>
        <v>0</v>
      </c>
      <c r="K124" s="22">
        <f>INDEX('Sales Actual'!$L$5:$L$70,MATCH($A124,'Sales Actual'!$K$5:$K$70,0))</f>
        <v>0</v>
      </c>
      <c r="L124" s="22">
        <f>INDEX('Sales Actual'!$N$5:$N$70,MATCH($A124,'Sales Actual'!$M$5:$M$70,0))</f>
        <v>0</v>
      </c>
      <c r="M124" s="22">
        <f>INDEX('Sales Actual'!$P$5:$P$70,MATCH($A124,'Sales Actual'!$O$5:$O$70,0))</f>
        <v>0</v>
      </c>
      <c r="N124" s="22">
        <f>INDEX('Sales Actual'!$R$5:$R$70,MATCH($A124,'Sales Actual'!$Q$5:$Q$70,0))</f>
        <v>0</v>
      </c>
      <c r="O124" s="22">
        <f>INDEX('Sales Actual'!$T$5:$T$70,MATCH($A124,'Sales Actual'!$S$5:$S$70,0))</f>
        <v>0</v>
      </c>
      <c r="P124" s="22">
        <f>INDEX('Sales Actual'!$V$5:$V$70,MATCH($A124,'Sales Actual'!$U$5:$U$70,0))</f>
        <v>0</v>
      </c>
      <c r="Q124" s="22">
        <f>INDEX('Sales Actual'!$X$5:$X$70,MATCH($A124,'Sales Actual'!$W$5:$W$70,0))</f>
        <v>0</v>
      </c>
      <c r="R124" s="22"/>
      <c r="S124" s="22"/>
      <c r="T124" s="22"/>
      <c r="U124" s="22"/>
      <c r="V124" s="22"/>
      <c r="W124" s="22"/>
      <c r="X124" s="22"/>
      <c r="Y124" s="22"/>
      <c r="Z124" s="22"/>
      <c r="AA124" s="22"/>
      <c r="AB124" s="22"/>
      <c r="AC124" s="22"/>
    </row>
    <row r="125" ht="12.7" customHeight="1">
      <c r="A125" t="s" s="18">
        <v>150</v>
      </c>
      <c r="B125" s="19">
        <v>400024</v>
      </c>
      <c r="C125" t="s" s="20">
        <v>151</v>
      </c>
      <c r="D125" t="s" s="21">
        <v>25</v>
      </c>
      <c r="E125" t="s" s="23">
        <f>A125&amp;D125</f>
        <v>154</v>
      </c>
      <c r="F125" s="22">
        <v>9600</v>
      </c>
      <c r="G125" s="22">
        <v>3360</v>
      </c>
      <c r="H125" s="22">
        <v>7200</v>
      </c>
      <c r="I125" s="22">
        <v>18000</v>
      </c>
      <c r="J125" s="22">
        <v>7920</v>
      </c>
      <c r="K125" s="22">
        <v>12000</v>
      </c>
      <c r="L125" s="22">
        <v>3360</v>
      </c>
      <c r="M125" s="22">
        <f>90*120</f>
        <v>10800</v>
      </c>
      <c r="N125" s="22">
        <f t="shared" si="1052" ref="N125:O174">120*430</f>
        <v>51600</v>
      </c>
      <c r="O125" s="22">
        <f>400*120</f>
        <v>48000</v>
      </c>
      <c r="P125" s="22">
        <f>120*150</f>
        <v>18000</v>
      </c>
      <c r="Q125" s="22">
        <f>300*120</f>
        <v>36000</v>
      </c>
      <c r="R125" s="24">
        <v>0</v>
      </c>
      <c r="S125" s="24"/>
      <c r="T125" s="24"/>
      <c r="U125" s="24"/>
      <c r="V125" s="24"/>
      <c r="W125" s="24"/>
      <c r="X125" s="24"/>
      <c r="Y125" s="24"/>
      <c r="Z125" s="24"/>
      <c r="AA125" s="24"/>
      <c r="AB125" s="24"/>
      <c r="AC125" s="24"/>
    </row>
    <row r="126" ht="12.7" customHeight="1">
      <c r="A126" t="s" s="18">
        <v>150</v>
      </c>
      <c r="B126" s="19">
        <v>400024</v>
      </c>
      <c r="C126" t="s" s="20">
        <v>151</v>
      </c>
      <c r="D126" t="s" s="21">
        <v>27</v>
      </c>
      <c r="E126" t="s" s="23">
        <f>A126&amp;D126</f>
        <v>155</v>
      </c>
      <c r="F126" s="22">
        <v>11040</v>
      </c>
      <c r="G126" s="22">
        <v>2160</v>
      </c>
      <c r="H126" s="22">
        <v>8880</v>
      </c>
      <c r="I126" s="22">
        <v>18360</v>
      </c>
      <c r="J126" s="22">
        <v>7680</v>
      </c>
      <c r="K126" s="22">
        <v>10800</v>
      </c>
      <c r="L126" s="22">
        <v>4920</v>
      </c>
      <c r="M126" s="22">
        <v>10800</v>
      </c>
      <c r="N126" s="22">
        <f>120*448</f>
        <v>53760</v>
      </c>
      <c r="O126" s="22">
        <f>417*120</f>
        <v>50040</v>
      </c>
      <c r="P126" s="22">
        <f>P125</f>
        <v>18000</v>
      </c>
      <c r="Q126" s="22">
        <f>Q125</f>
        <v>36000</v>
      </c>
      <c r="R126" s="24">
        <f>R125</f>
        <v>0</v>
      </c>
      <c r="S126" s="24"/>
      <c r="T126" s="24"/>
      <c r="U126" s="24"/>
      <c r="V126" s="24"/>
      <c r="W126" s="24"/>
      <c r="X126" s="24"/>
      <c r="Y126" s="24"/>
      <c r="Z126" s="24"/>
      <c r="AA126" s="24"/>
      <c r="AB126" s="24"/>
      <c r="AC126" s="24"/>
    </row>
    <row r="127" ht="12.7" customHeight="1">
      <c r="A127" t="s" s="18">
        <v>150</v>
      </c>
      <c r="B127" s="19">
        <v>400024</v>
      </c>
      <c r="C127" t="s" s="20">
        <v>151</v>
      </c>
      <c r="D127" t="s" s="21">
        <v>29</v>
      </c>
      <c r="E127" t="s" s="16">
        <f>A127&amp;D127</f>
        <v>156</v>
      </c>
      <c r="F127" s="22">
        <v>112396</v>
      </c>
      <c r="G127" s="22">
        <v>105320</v>
      </c>
      <c r="H127" s="22">
        <f>G128+H126-(H123-H124)-H131</f>
        <v>29987</v>
      </c>
      <c r="I127" s="22">
        <f>IF((H128+I126-I123-I131)&lt;0,0,(H128+I126-I123-I131))</f>
        <v>15405</v>
      </c>
      <c r="J127" s="22">
        <f>IF((I127+J126-(J123-J124)-J131)&lt;0,0,(I127+J126-(J123-J124)-J131))</f>
        <v>10025</v>
      </c>
      <c r="K127" s="22">
        <f>IF((J127+K126-(K123-K124)-K131)&lt;0,0,(J127+K126-(K123-K124)-K131))</f>
        <v>8825</v>
      </c>
      <c r="L127" s="22">
        <f>IF((K127+L126-(L123-L124)-L131)&lt;0,0,(K127+L126-(L123-L124)-L131))</f>
        <v>1775</v>
      </c>
      <c r="M127" s="22">
        <f>IF((L127+M126-(M123-M124)-M131)&lt;0,0,(L127+M126-(M123-M124)-M131))</f>
        <v>0</v>
      </c>
      <c r="N127" s="22">
        <f>IF((M127+N126-(N123-N124)-N131)&lt;0,0,(M127+N126-(N123-N124)-N131))</f>
        <v>29580</v>
      </c>
      <c r="O127" s="22">
        <f>IF((N127+O126-(O123-O124)-O131)&lt;0,0,(N127+O126-(O123-O124)-O131))</f>
        <v>35834</v>
      </c>
      <c r="P127" s="22">
        <f>IF((O127+P126-(P123-P124)-P131)&lt;0,0,(O127+P126-(P123-P124)-P131))</f>
        <v>19845</v>
      </c>
      <c r="Q127" s="22">
        <f>IF((P127+Q126-(Q123-Q124)-Q131)&lt;0,0,(P127+Q126-(Q123-Q124)-Q131))</f>
        <v>22881</v>
      </c>
      <c r="R127" s="22">
        <f>IF((Q127+R126-(R123-R124)-R131)&lt;0,0,(Q127+R126-(R123-R124)-R131))</f>
        <v>0</v>
      </c>
      <c r="S127" s="22"/>
      <c r="T127" s="22"/>
      <c r="U127" s="22"/>
      <c r="V127" s="22"/>
      <c r="W127" s="22"/>
      <c r="X127" s="22"/>
      <c r="Y127" s="22"/>
      <c r="Z127" s="22"/>
      <c r="AA127" s="22"/>
      <c r="AB127" s="22"/>
      <c r="AC127" s="22"/>
    </row>
    <row r="128" ht="12.7" customHeight="1">
      <c r="A128" t="s" s="18">
        <v>150</v>
      </c>
      <c r="B128" s="19">
        <v>400024</v>
      </c>
      <c r="C128" t="s" s="20">
        <v>151</v>
      </c>
      <c r="D128" t="s" s="21">
        <v>31</v>
      </c>
      <c r="E128" t="s" s="16">
        <f>A128&amp;D128</f>
        <v>157</v>
      </c>
      <c r="F128" s="22">
        <f>INDEX('Actual Stock'!$B$5:$B$70,MATCH($A128,'Actual Stock'!$A$5:$A$70,0))</f>
        <v>119480</v>
      </c>
      <c r="G128" s="22">
        <f>INDEX('Actual Stock'!$D$5:$D$70,MATCH($A128,'Actual Stock'!$C$5:$C$70,0))</f>
        <v>17940</v>
      </c>
      <c r="H128" s="22">
        <f>INDEX('Actual Stock'!$F$5:$F$70,MATCH($A128,'Actual Stock'!$E$5:$E$70,0))</f>
        <v>17045</v>
      </c>
      <c r="I128" s="22">
        <f>INDEX('Actual Stock'!$H$5:$H$70,MATCH($A128,'Actual Stock'!$G$5:$G$70,0))</f>
        <v>0</v>
      </c>
      <c r="J128" s="22">
        <f>INDEX('Actual Stock'!$J$5:$J$70,MATCH($A128,'Actual Stock'!$I$5:$I$70,0))</f>
        <v>0</v>
      </c>
      <c r="K128" s="22">
        <f>INDEX('Actual Stock'!$L$5:$L$70,MATCH($A128,'Actual Stock'!$K$5:$K$70,0))</f>
        <v>0</v>
      </c>
      <c r="L128" s="22">
        <f>INDEX('Actual Stock'!$N$5:$N$70,MATCH($A128,'Actual Stock'!$M$5:$M$70,0))</f>
        <v>0</v>
      </c>
      <c r="M128" s="22">
        <f>INDEX('Actual Stock'!$P$5:$P$70,MATCH($A128,'Actual Stock'!$O$5:$O$70,0))</f>
        <v>0</v>
      </c>
      <c r="N128" s="22">
        <f>INDEX('Actual Stock'!$R$5:$R$70,MATCH($A128,'Actual Stock'!$Q$5:$Q$70,0))</f>
        <v>0</v>
      </c>
      <c r="O128" s="22">
        <f>INDEX('Actual Stock'!$T$5:$T$70,MATCH($A128,'Actual Stock'!$S$5:$S$70,0))</f>
        <v>0</v>
      </c>
      <c r="P128" s="22">
        <f>INDEX('Actual Stock'!$V$5:$V$70,MATCH($A128,'Actual Stock'!$U$5:$U$70,0))</f>
        <v>0</v>
      </c>
      <c r="Q128" s="22">
        <f>INDEX('Actual Stock'!$X$5:$X$70,MATCH($A128,'Actual Stock'!$W$5:$W$70,0))</f>
        <v>0</v>
      </c>
      <c r="R128" s="22"/>
      <c r="S128" s="22"/>
      <c r="T128" s="22"/>
      <c r="U128" s="22"/>
      <c r="V128" s="22"/>
      <c r="W128" s="22"/>
      <c r="X128" s="22"/>
      <c r="Y128" s="22"/>
      <c r="Z128" s="22"/>
      <c r="AA128" s="22"/>
      <c r="AB128" s="22"/>
      <c r="AC128" s="22"/>
    </row>
    <row r="129" ht="12.7" customHeight="1">
      <c r="A129" t="s" s="18">
        <v>150</v>
      </c>
      <c r="B129" s="19">
        <v>400024</v>
      </c>
      <c r="C129" t="s" s="20">
        <v>151</v>
      </c>
      <c r="D129" t="s" s="21">
        <v>33</v>
      </c>
      <c r="E129" t="s" s="23">
        <f>A129&amp;D129</f>
        <v>158</v>
      </c>
      <c r="F129" s="22">
        <v>0</v>
      </c>
      <c r="G129" s="22">
        <v>0</v>
      </c>
      <c r="H129" s="22">
        <v>0</v>
      </c>
      <c r="I129" s="22">
        <f>IF((H128+I126-I123-I131)&gt;0,0,(H128+I126-I123-I131))</f>
        <v>0</v>
      </c>
      <c r="J129" s="22">
        <f>IF((I127+J126-(J123-J124)-J131)&gt;0,0,(I127+J126-(J123-J124)-J131))</f>
        <v>0</v>
      </c>
      <c r="K129" s="22">
        <f>IF((J127+K126-(K123-K124)-K131)&gt;0,0,(J127+K126-(K123-K124)-K131))</f>
        <v>0</v>
      </c>
      <c r="L129" s="22">
        <f>IF((K127+L126-(L123-L124)-L131)&gt;0,0,(K127+L126-(L123-L124)-L131))</f>
        <v>0</v>
      </c>
      <c r="M129" s="22">
        <f>IF((L127+M126-(M123-M124)-M131)&gt;0,0,(L127+M126-(M123-M124)-M131))</f>
        <v>-3564</v>
      </c>
      <c r="N129" s="22">
        <f>IF((M127+N126-(N123-N124)-N131)&gt;0,0,(M127+N126-(N123-N124)-N131))</f>
        <v>0</v>
      </c>
      <c r="O129" s="22">
        <f>IF((N127+O126-(O123-O124)-O131)&gt;0,0,(N127+O126-(O123-O124)-O131))</f>
        <v>0</v>
      </c>
      <c r="P129" s="22">
        <f>IF((O127+P126-(P123-P124)-P131)&gt;0,0,(O127+P126-(P123-P124)-P131))</f>
        <v>0</v>
      </c>
      <c r="Q129" s="22">
        <f>IF((P127+Q126-(Q123-Q124)-Q131)&gt;0,0,(P127+Q126-(Q123-Q124)-Q131))</f>
        <v>0</v>
      </c>
      <c r="R129" s="24">
        <f>IF((Q127+R126-(R123-R124)-R131)&gt;0,0,(Q127+R126-(R123-R124)-R131))</f>
        <v>-22218.100020000005</v>
      </c>
      <c r="S129" s="24"/>
      <c r="T129" s="24"/>
      <c r="U129" s="24"/>
      <c r="V129" s="24"/>
      <c r="W129" s="24"/>
      <c r="X129" s="24"/>
      <c r="Y129" s="24"/>
      <c r="Z129" s="24"/>
      <c r="AA129" s="24"/>
      <c r="AB129" s="24"/>
      <c r="AC129" s="24"/>
    </row>
    <row r="130" ht="12.7" customHeight="1">
      <c r="A130" t="s" s="18">
        <v>150</v>
      </c>
      <c r="B130" s="19">
        <v>400024</v>
      </c>
      <c r="C130" t="s" s="20">
        <v>151</v>
      </c>
      <c r="D130" t="s" s="21">
        <v>35</v>
      </c>
      <c r="E130" t="s" s="23">
        <f>A130&amp;D130</f>
        <v>159</v>
      </c>
      <c r="F130" s="25">
        <f>INDEX('Issued by date'!$B$5:$B$70,MATCH($A130,'Issued by date'!$A$5:$A$70,0))</f>
        <v>0</v>
      </c>
      <c r="G130" s="26">
        <f>INDEX('Issued by date'!$D$5:$D$70,MATCH($A130,'Issued by date'!$C$5:$C$70,0))</f>
        <v>0</v>
      </c>
      <c r="H130" s="22">
        <f>INDEX('Issued by date'!$F$5:$F$70,MATCH($A130,'Issued by date'!$E$5:$E$70,0))</f>
        <v>0</v>
      </c>
      <c r="I130" s="22">
        <f>INDEX('Issued by date'!$H$5:$H$70,MATCH($A130,'Issued by date'!$G$5:$G$70,0))</f>
        <v>0</v>
      </c>
      <c r="J130" s="22">
        <f>INDEX('Issued by date'!$J$5:$J$70,MATCH($A130,'Issued by date'!$I$5:$I$70,0))</f>
        <v>12138</v>
      </c>
      <c r="K130" s="22">
        <f>INDEX('Issued by date'!$L$5:$L$70,MATCH($A130,'Issued by date'!$K$5:$K$70,0))</f>
        <v>427</v>
      </c>
      <c r="L130" s="22">
        <f>INDEX('Issued by date'!$N$5:$N$70,MATCH($A130,'Issued by date'!$M$5:$M$70,0))</f>
        <v>20</v>
      </c>
      <c r="M130" s="22">
        <f>INDEX('Issued by date'!$P$5:$P$70,MATCH($A130,'Issued by date'!$O$5:$O$70,0))</f>
        <v>4460</v>
      </c>
      <c r="N130" s="27">
        <f>INDEX('Issued by date'!$R$5:$R$70,MATCH($A130,'Issued by date'!$Q$5:$Q$70,0))</f>
        <v>0</v>
      </c>
      <c r="O130" s="28">
        <f>INDEX('Issued by date'!$F$5:$F$70,MATCH($A130,'Issued by date'!$E$5:$E$70,0))</f>
        <v>0</v>
      </c>
      <c r="P130" s="28">
        <f>INDEX('Issued by date'!$V$5:$V$70,MATCH($A130,'Issued by date'!$U$5:$U$70,0))</f>
        <v>0</v>
      </c>
      <c r="Q130" s="29">
        <f>INDEX('Issued by date'!$X$5:$X$70,MATCH($A130,'Issued by date'!$W$5:$W$70,0))</f>
        <v>0</v>
      </c>
      <c r="R130" s="24"/>
      <c r="S130" s="24"/>
      <c r="T130" s="24"/>
      <c r="U130" s="24"/>
      <c r="V130" s="24"/>
      <c r="W130" s="24"/>
      <c r="X130" s="24"/>
      <c r="Y130" s="24"/>
      <c r="Z130" s="24"/>
      <c r="AA130" s="24"/>
      <c r="AB130" s="24"/>
      <c r="AC130" s="24"/>
    </row>
    <row r="131" ht="12.7" customHeight="1">
      <c r="A131" t="s" s="18">
        <v>150</v>
      </c>
      <c r="B131" s="19">
        <v>400024</v>
      </c>
      <c r="C131" t="s" s="20">
        <v>151</v>
      </c>
      <c r="D131" t="s" s="21">
        <v>37</v>
      </c>
      <c r="E131" t="s" s="23">
        <f>A131&amp;D131</f>
        <v>160</v>
      </c>
      <c r="F131" s="22">
        <v>0</v>
      </c>
      <c r="G131" s="30">
        <v>0</v>
      </c>
      <c r="H131" s="22">
        <v>0</v>
      </c>
      <c r="I131" s="22">
        <v>0</v>
      </c>
      <c r="J131" s="22">
        <v>0</v>
      </c>
      <c r="K131" s="22">
        <v>0</v>
      </c>
      <c r="L131" s="22">
        <v>0</v>
      </c>
      <c r="M131" s="22">
        <v>0</v>
      </c>
      <c r="N131" s="31"/>
      <c r="O131" s="32"/>
      <c r="P131" s="32"/>
      <c r="Q131" s="33"/>
      <c r="R131" s="24"/>
      <c r="S131" s="24"/>
      <c r="T131" s="24"/>
      <c r="U131" s="24"/>
      <c r="V131" s="24"/>
      <c r="W131" s="24"/>
      <c r="X131" s="24"/>
      <c r="Y131" s="24"/>
      <c r="Z131" s="24"/>
      <c r="AA131" s="24"/>
      <c r="AB131" s="24"/>
      <c r="AC131" s="24"/>
    </row>
    <row r="132" ht="12.7" customHeight="1">
      <c r="A132" t="s" s="34">
        <v>150</v>
      </c>
      <c r="B132" s="35">
        <v>400024</v>
      </c>
      <c r="C132" t="s" s="36">
        <v>151</v>
      </c>
      <c r="D132" t="s" s="37">
        <v>39</v>
      </c>
      <c r="E132" t="s" s="16">
        <f>A132&amp;D132</f>
        <v>161</v>
      </c>
      <c r="F132" s="38">
        <f>IFERROR(F128/AVERAGE(G123:H123)*30,0)</f>
        <v>173.4946757018393</v>
      </c>
      <c r="G132" s="38">
        <f>IFERROR(G128/AVERAGE(H123:I123)*30,0)</f>
        <v>23.92</v>
      </c>
      <c r="H132" s="38">
        <f>IFERROR(H127/AVERAGE(I123:J123)*30,0)</f>
        <v>54.42286751361161</v>
      </c>
      <c r="I132" s="38">
        <f>IFERROR(I127/AVERAGE(J123:K123)*30,0)</f>
        <v>36.88347964884278</v>
      </c>
      <c r="J132" s="38">
        <f>IFERROR(J127/AVERAGE(K123:L123)*30,0)</f>
        <v>25.09386733416771</v>
      </c>
      <c r="K132" s="38">
        <f>IFERROR(K127/AVERAGE(L123:M123)*30,0)</f>
        <v>18.83738304457647</v>
      </c>
      <c r="L132" s="38">
        <f>IFERROR(L127/AVERAGE(M123:N123)*30,0)</f>
        <v>2.641434559388874</v>
      </c>
      <c r="M132" s="38">
        <f>IFERROR(M127/AVERAGE(N123:O123)*30,0)</f>
        <v>0</v>
      </c>
      <c r="N132" s="38">
        <f>IFERROR(N127/AVERAGE(O123:P123)*30,0)</f>
        <v>22.81967213114754</v>
      </c>
      <c r="O132" s="38">
        <f>IFERROR(O127/AVERAGE(P123:Q123)*30,0)</f>
        <v>32.11267605633802</v>
      </c>
      <c r="P132" s="38">
        <f>IFERROR(P127/AVERAGE(Q123:R123)*30,0)</f>
        <v>15.25304528893855</v>
      </c>
      <c r="Q132" s="38">
        <f>IFERROR(Q127/AVERAGE(R123:S123)*30,0)</f>
        <v>20.47422117084095</v>
      </c>
      <c r="R132" s="38">
        <f>IFERROR(R127/AVERAGE(S123:T123)*30,0)</f>
        <v>0</v>
      </c>
      <c r="S132" s="38"/>
      <c r="T132" s="38"/>
      <c r="U132" s="38"/>
      <c r="V132" s="38"/>
      <c r="W132" s="38"/>
      <c r="X132" s="38"/>
      <c r="Y132" s="38"/>
      <c r="Z132" s="38"/>
      <c r="AA132" s="38"/>
      <c r="AB132" s="38"/>
      <c r="AC132" s="38"/>
    </row>
    <row r="133" ht="12" customHeight="1">
      <c r="A133" s="39"/>
      <c r="B133" s="40"/>
      <c r="C133" s="40"/>
      <c r="D133" s="41"/>
      <c r="E133" t="s" s="23">
        <f>A133&amp;D133</f>
      </c>
      <c r="F133" s="42"/>
      <c r="G133" s="40"/>
      <c r="H133" s="40"/>
      <c r="I133" s="40"/>
      <c r="J133" s="40"/>
      <c r="K133" s="40"/>
      <c r="L133" s="40"/>
      <c r="M133" s="40"/>
      <c r="N133" s="40"/>
      <c r="O133" s="40"/>
      <c r="P133" s="40"/>
      <c r="Q133" s="40"/>
      <c r="R133" s="40"/>
      <c r="S133" s="40"/>
      <c r="T133" s="40"/>
      <c r="U133" s="40"/>
      <c r="V133" s="40"/>
      <c r="W133" s="40"/>
      <c r="X133" s="40"/>
      <c r="Y133" s="40"/>
      <c r="Z133" s="40"/>
      <c r="AA133" s="40"/>
      <c r="AB133" s="40"/>
      <c r="AC133" s="43"/>
    </row>
    <row r="134" ht="13.5" customHeight="1">
      <c r="A134" t="s" s="8">
        <v>4</v>
      </c>
      <c r="B134" t="s" s="9">
        <v>5</v>
      </c>
      <c r="C134" t="s" s="9">
        <v>6</v>
      </c>
      <c r="D134" t="s" s="44">
        <v>7</v>
      </c>
      <c r="E134" t="s" s="23">
        <f>A134&amp;D134</f>
        <v>41</v>
      </c>
      <c r="F134" t="s" s="45">
        <v>8</v>
      </c>
      <c r="G134" t="s" s="9">
        <v>9</v>
      </c>
      <c r="H134" t="s" s="9">
        <v>10</v>
      </c>
      <c r="I134" t="s" s="9">
        <v>11</v>
      </c>
      <c r="J134" t="s" s="9">
        <v>1</v>
      </c>
      <c r="K134" t="s" s="9">
        <v>12</v>
      </c>
      <c r="L134" t="s" s="9">
        <v>13</v>
      </c>
      <c r="M134" t="s" s="9">
        <v>14</v>
      </c>
      <c r="N134" t="s" s="9">
        <v>15</v>
      </c>
      <c r="O134" t="s" s="9">
        <v>16</v>
      </c>
      <c r="P134" t="s" s="9">
        <v>17</v>
      </c>
      <c r="Q134" t="s" s="9">
        <v>18</v>
      </c>
      <c r="R134" t="s" s="9">
        <v>8</v>
      </c>
      <c r="S134" t="s" s="9">
        <v>9</v>
      </c>
      <c r="T134" t="s" s="9">
        <v>10</v>
      </c>
      <c r="U134" t="s" s="9">
        <v>11</v>
      </c>
      <c r="V134" t="s" s="9">
        <v>1</v>
      </c>
      <c r="W134" t="s" s="9">
        <v>12</v>
      </c>
      <c r="X134" t="s" s="9">
        <v>13</v>
      </c>
      <c r="Y134" t="s" s="9">
        <v>14</v>
      </c>
      <c r="Z134" t="s" s="9">
        <v>15</v>
      </c>
      <c r="AA134" t="s" s="9">
        <v>16</v>
      </c>
      <c r="AB134" t="s" s="9">
        <v>17</v>
      </c>
      <c r="AC134" t="s" s="11">
        <v>18</v>
      </c>
    </row>
    <row r="135" ht="12.7" customHeight="1">
      <c r="A135" t="s" s="12">
        <v>162</v>
      </c>
      <c r="B135" s="13">
        <v>400042</v>
      </c>
      <c r="C135" t="s" s="14">
        <v>163</v>
      </c>
      <c r="D135" t="s" s="15">
        <v>21</v>
      </c>
      <c r="E135" t="s" s="16">
        <f>A135&amp;D135</f>
        <v>164</v>
      </c>
      <c r="F135" s="17">
        <f>INDEX('Sales Forecast'!$B$5:$B$72,MATCH($A135,'Sales Forecast'!$A$5:$A$72,0))</f>
        <v>45400</v>
      </c>
      <c r="G135" s="17">
        <f>INDEX('Sales Forecast'!$D$5:$D$72,MATCH($A135,'Sales Forecast'!$C$5:$C$72,0))</f>
        <v>20320</v>
      </c>
      <c r="H135" s="17">
        <f>INDEX('Sales Forecast'!$F$5:$F$72,MATCH($A135,'Sales Forecast'!$E$5:$E$72,0))</f>
        <v>25000</v>
      </c>
      <c r="I135" s="17">
        <f>INDEX('Sales Forecast'!$H$5:$H$72,MATCH($A135,'Sales Forecast'!$G$5:$G$72,0))</f>
        <v>11876</v>
      </c>
      <c r="J135" s="17">
        <f>INDEX('Sales Forecast'!$J$5:$J$72,MATCH($A135,'Sales Forecast'!$I$5:$I$72,0))</f>
        <v>11420</v>
      </c>
      <c r="K135" s="17">
        <f>INDEX('Sales Forecast'!$L$5:$L$72,MATCH($A135,'Sales Forecast'!$K$5:$K$72,0))</f>
        <v>12000</v>
      </c>
      <c r="L135" s="17">
        <f>INDEX('Sales Forecast'!$N$5:$N$72,MATCH($A135,'Sales Forecast'!$M$5:$M$72,0))</f>
        <v>11710</v>
      </c>
      <c r="M135" s="17">
        <f>INDEX('Sales Forecast'!$P$5:$P$72,MATCH($A135,'Sales Forecast'!$O$5:$O$72,0))</f>
        <v>23734</v>
      </c>
      <c r="N135" s="17">
        <f>INDEX('Sales Forecast'!$R$5:$R$72,MATCH($A135,'Sales Forecast'!$Q$5:$Q$72,0))</f>
        <v>37200</v>
      </c>
      <c r="O135" s="17">
        <f>INDEX('Sales Forecast'!$T$5:$T$72,MATCH($A135,'Sales Forecast'!$S$5:$S$72,0))</f>
        <v>67362</v>
      </c>
      <c r="P135" s="17">
        <f>INDEX('Sales Forecast'!$V$5:$V$72,MATCH($A135,'Sales Forecast'!$U$5:$U$72,0))</f>
        <v>52290</v>
      </c>
      <c r="Q135" s="17">
        <f>INDEX('Sales Forecast'!$X$5:$X$72,MATCH($A135,'Sales Forecast'!$W$5:$W$72,0))</f>
        <v>49200</v>
      </c>
      <c r="R135" s="17">
        <v>69383.2308</v>
      </c>
      <c r="S135" s="17">
        <v>22621</v>
      </c>
      <c r="T135" s="17"/>
      <c r="U135" s="17"/>
      <c r="V135" s="17"/>
      <c r="W135" s="17"/>
      <c r="X135" s="17"/>
      <c r="Y135" s="17"/>
      <c r="Z135" s="17"/>
      <c r="AA135" s="17"/>
      <c r="AB135" s="17"/>
      <c r="AC135" s="17"/>
    </row>
    <row r="136" ht="12.7" customHeight="1">
      <c r="A136" t="s" s="18">
        <v>162</v>
      </c>
      <c r="B136" s="19">
        <v>400042</v>
      </c>
      <c r="C136" t="s" s="20">
        <v>163</v>
      </c>
      <c r="D136" t="s" s="21">
        <v>23</v>
      </c>
      <c r="E136" t="s" s="16">
        <f>A136&amp;D136</f>
        <v>165</v>
      </c>
      <c r="F136" s="22">
        <f>INDEX('Sales Actual'!$B$5:$B$70,MATCH($A136,'Sales Actual'!$A$5:$A$70,0))</f>
        <v>32316</v>
      </c>
      <c r="G136" s="22">
        <f>INDEX('Sales Actual'!$D$5:$D$70,MATCH($A136,'Sales Actual'!$C$5:$C$70,0))</f>
        <v>22475</v>
      </c>
      <c r="H136" s="22">
        <f>INDEX('Sales Actual'!$F$5:$F$70,MATCH($A136,'Sales Actual'!$E$5:$E$70,0))</f>
        <v>26986</v>
      </c>
      <c r="I136" s="22">
        <f>INDEX('Sales Actual'!$H$5:$H$70,MATCH($A136,'Sales Actual'!$G$5:$G$70,0))</f>
        <v>0</v>
      </c>
      <c r="J136" s="22">
        <f>INDEX('Sales Actual'!$J$5:$J$70,MATCH($A136,'Sales Actual'!$I$5:$I$70,0))</f>
        <v>0</v>
      </c>
      <c r="K136" s="22">
        <f>INDEX('Sales Actual'!$L$5:$L$70,MATCH($A136,'Sales Actual'!$K$5:$K$70,0))</f>
        <v>0</v>
      </c>
      <c r="L136" s="22">
        <f>INDEX('Sales Actual'!$N$5:$N$70,MATCH($A136,'Sales Actual'!$M$5:$M$70,0))</f>
        <v>0</v>
      </c>
      <c r="M136" s="22">
        <f>INDEX('Sales Actual'!$P$5:$P$70,MATCH($A136,'Sales Actual'!$O$5:$O$70,0))</f>
        <v>0</v>
      </c>
      <c r="N136" s="22">
        <f>INDEX('Sales Actual'!$R$5:$R$70,MATCH($A136,'Sales Actual'!$Q$5:$Q$70,0))</f>
        <v>0</v>
      </c>
      <c r="O136" s="22">
        <f>INDEX('Sales Actual'!$T$5:$T$70,MATCH($A136,'Sales Actual'!$S$5:$S$70,0))</f>
        <v>0</v>
      </c>
      <c r="P136" s="22">
        <f>INDEX('Sales Actual'!$V$5:$V$70,MATCH($A136,'Sales Actual'!$U$5:$U$70,0))</f>
        <v>0</v>
      </c>
      <c r="Q136" s="22">
        <f>INDEX('Sales Actual'!$X$5:$X$70,MATCH($A136,'Sales Actual'!$W$5:$W$70,0))</f>
        <v>0</v>
      </c>
      <c r="R136" s="22"/>
      <c r="S136" s="22"/>
      <c r="T136" s="22"/>
      <c r="U136" s="22"/>
      <c r="V136" s="22"/>
      <c r="W136" s="22"/>
      <c r="X136" s="22"/>
      <c r="Y136" s="22"/>
      <c r="Z136" s="22"/>
      <c r="AA136" s="22"/>
      <c r="AB136" s="22"/>
      <c r="AC136" s="22"/>
    </row>
    <row r="137" ht="12.7" customHeight="1">
      <c r="A137" t="s" s="18">
        <v>162</v>
      </c>
      <c r="B137" s="19">
        <v>400042</v>
      </c>
      <c r="C137" t="s" s="20">
        <v>163</v>
      </c>
      <c r="D137" t="s" s="21">
        <v>25</v>
      </c>
      <c r="E137" t="s" s="23">
        <f>A137&amp;D137</f>
        <v>166</v>
      </c>
      <c r="F137" s="22">
        <v>3360</v>
      </c>
      <c r="G137" s="22">
        <v>8400</v>
      </c>
      <c r="H137" s="22">
        <v>6000</v>
      </c>
      <c r="I137" s="22">
        <v>19200</v>
      </c>
      <c r="J137" s="22">
        <v>6960</v>
      </c>
      <c r="K137" s="22">
        <v>9600</v>
      </c>
      <c r="L137" s="22">
        <v>0</v>
      </c>
      <c r="M137" s="22">
        <v>0</v>
      </c>
      <c r="N137" s="22">
        <f t="shared" si="1155" ref="N137:O137">120*510</f>
        <v>61200</v>
      </c>
      <c r="O137" s="22">
        <f t="shared" si="1155"/>
        <v>61200</v>
      </c>
      <c r="P137" s="22">
        <f>120*530</f>
        <v>63600</v>
      </c>
      <c r="Q137" s="22">
        <f t="shared" si="742"/>
        <v>54000</v>
      </c>
      <c r="R137" s="24">
        <v>0</v>
      </c>
      <c r="S137" s="24"/>
      <c r="T137" s="24"/>
      <c r="U137" s="24"/>
      <c r="V137" s="24"/>
      <c r="W137" s="24"/>
      <c r="X137" s="24"/>
      <c r="Y137" s="24"/>
      <c r="Z137" s="24"/>
      <c r="AA137" s="24"/>
      <c r="AB137" s="24"/>
      <c r="AC137" s="24"/>
    </row>
    <row r="138" ht="12.7" customHeight="1">
      <c r="A138" t="s" s="18">
        <v>162</v>
      </c>
      <c r="B138" s="19">
        <v>400042</v>
      </c>
      <c r="C138" t="s" s="20">
        <v>163</v>
      </c>
      <c r="D138" t="s" s="21">
        <v>27</v>
      </c>
      <c r="E138" t="s" s="23">
        <f>A138&amp;D138</f>
        <v>167</v>
      </c>
      <c r="F138" s="22">
        <v>1560</v>
      </c>
      <c r="G138" s="22">
        <v>9840</v>
      </c>
      <c r="H138" s="22">
        <v>5520</v>
      </c>
      <c r="I138" s="22">
        <v>21120</v>
      </c>
      <c r="J138" s="22">
        <v>6480</v>
      </c>
      <c r="K138" s="22">
        <v>11400</v>
      </c>
      <c r="L138" s="22">
        <v>1560</v>
      </c>
      <c r="M138" s="22">
        <v>0</v>
      </c>
      <c r="N138" s="22">
        <f>120*506</f>
        <v>60720</v>
      </c>
      <c r="O138" s="22">
        <f>120*502</f>
        <v>60240</v>
      </c>
      <c r="P138" s="22">
        <f>P137</f>
        <v>63600</v>
      </c>
      <c r="Q138" s="22">
        <f>Q137</f>
        <v>54000</v>
      </c>
      <c r="R138" s="24">
        <f>R137</f>
        <v>0</v>
      </c>
      <c r="S138" s="24"/>
      <c r="T138" s="24"/>
      <c r="U138" s="24"/>
      <c r="V138" s="24"/>
      <c r="W138" s="24"/>
      <c r="X138" s="24"/>
      <c r="Y138" s="24"/>
      <c r="Z138" s="24"/>
      <c r="AA138" s="24"/>
      <c r="AB138" s="24"/>
      <c r="AC138" s="24"/>
    </row>
    <row r="139" ht="12.7" customHeight="1">
      <c r="A139" t="s" s="18">
        <v>162</v>
      </c>
      <c r="B139" s="19">
        <v>400042</v>
      </c>
      <c r="C139" t="s" s="20">
        <v>163</v>
      </c>
      <c r="D139" t="s" s="21">
        <v>29</v>
      </c>
      <c r="E139" t="s" s="16">
        <f>A139&amp;D139</f>
        <v>168</v>
      </c>
      <c r="F139" s="22">
        <v>93149</v>
      </c>
      <c r="G139" s="22">
        <v>123113</v>
      </c>
      <c r="H139" s="22">
        <f>G140+H138-(H135-H136)-H143</f>
        <v>74945</v>
      </c>
      <c r="I139" s="22">
        <f>IF((H140+I138-I135-I143)&lt;0,0,(H140+I138-I135-I143))</f>
        <v>42459</v>
      </c>
      <c r="J139" s="22">
        <f>IF((I139+J138-(J135-J136)-J143)&lt;0,0,(I139+J138-(J135-J136)-J143))</f>
        <v>25791</v>
      </c>
      <c r="K139" s="22">
        <f>IF((J139+K138-(K135-K136)-K143)&lt;0,0,(J139+K138-(K135-K136)-K143))</f>
        <v>25191</v>
      </c>
      <c r="L139" s="22">
        <f>IF((K139+L138-(L135-L136)-L143)&lt;0,0,(K139+L138-(L135-L136)-L143))</f>
        <v>15041</v>
      </c>
      <c r="M139" s="22">
        <f>IF((L139+M138-(M135-M136)-M143)&lt;0,0,(L139+M138-(M135-M136)-M143))</f>
        <v>0</v>
      </c>
      <c r="N139" s="22">
        <f>IF((M139+N138-(N135-N136)-N143)&lt;0,0,(M139+N138-(N135-N136)-N143))</f>
        <v>23520</v>
      </c>
      <c r="O139" s="22">
        <f>IF((N139+O138-(O135-O136)-O143)&lt;0,0,(N139+O138-(O135-O136)-O143))</f>
        <v>16398</v>
      </c>
      <c r="P139" s="22">
        <f>IF((O139+P138-(P135-P136)-P143)&lt;0,0,(O139+P138-(P135-P136)-P143))</f>
        <v>27708</v>
      </c>
      <c r="Q139" s="22">
        <f>IF((P139+Q138-(Q135-Q136)-Q143)&lt;0,0,(P139+Q138-(Q135-Q136)-Q143))</f>
        <v>32508</v>
      </c>
      <c r="R139" s="22">
        <f>IF((Q139+R138-(R135-R136)-R143)&lt;0,0,(Q139+R138-(R135-R136)-R143))</f>
        <v>0</v>
      </c>
      <c r="S139" s="22"/>
      <c r="T139" s="22"/>
      <c r="U139" s="22"/>
      <c r="V139" s="22"/>
      <c r="W139" s="22"/>
      <c r="X139" s="22"/>
      <c r="Y139" s="22"/>
      <c r="Z139" s="22"/>
      <c r="AA139" s="22"/>
      <c r="AB139" s="22"/>
      <c r="AC139" s="22"/>
    </row>
    <row r="140" ht="12.7" customHeight="1">
      <c r="A140" t="s" s="18">
        <v>162</v>
      </c>
      <c r="B140" s="19">
        <v>400042</v>
      </c>
      <c r="C140" t="s" s="20">
        <v>163</v>
      </c>
      <c r="D140" t="s" s="21">
        <v>31</v>
      </c>
      <c r="E140" t="s" s="16">
        <f>A140&amp;D140</f>
        <v>169</v>
      </c>
      <c r="F140" s="22">
        <f>INDEX('Actual Stock'!$B$5:$B$70,MATCH($A140,'Actual Stock'!$A$5:$A$70,0))</f>
        <v>111496</v>
      </c>
      <c r="G140" s="22">
        <f>INDEX('Actual Stock'!$D$5:$D$70,MATCH($A140,'Actual Stock'!$C$5:$C$70,0))</f>
        <v>67439</v>
      </c>
      <c r="H140" s="22">
        <f>INDEX('Actual Stock'!$F$5:$F$70,MATCH($A140,'Actual Stock'!$E$5:$E$70,0))</f>
        <v>62183</v>
      </c>
      <c r="I140" s="22">
        <f>INDEX('Actual Stock'!$H$5:$H$70,MATCH($A140,'Actual Stock'!$G$5:$G$70,0))</f>
        <v>0</v>
      </c>
      <c r="J140" s="22">
        <f>INDEX('Actual Stock'!$J$5:$J$70,MATCH($A140,'Actual Stock'!$I$5:$I$70,0))</f>
        <v>0</v>
      </c>
      <c r="K140" s="22">
        <f>INDEX('Actual Stock'!$L$5:$L$70,MATCH($A140,'Actual Stock'!$K$5:$K$70,0))</f>
        <v>0</v>
      </c>
      <c r="L140" s="22">
        <f>INDEX('Actual Stock'!$N$5:$N$70,MATCH($A140,'Actual Stock'!$M$5:$M$70,0))</f>
        <v>0</v>
      </c>
      <c r="M140" s="22">
        <f>INDEX('Actual Stock'!$P$5:$P$70,MATCH($A140,'Actual Stock'!$O$5:$O$70,0))</f>
        <v>0</v>
      </c>
      <c r="N140" s="22">
        <f>INDEX('Actual Stock'!$R$5:$R$70,MATCH($A140,'Actual Stock'!$Q$5:$Q$70,0))</f>
        <v>0</v>
      </c>
      <c r="O140" s="22">
        <f>INDEX('Actual Stock'!$T$5:$T$70,MATCH($A140,'Actual Stock'!$S$5:$S$70,0))</f>
        <v>0</v>
      </c>
      <c r="P140" s="22">
        <f>INDEX('Actual Stock'!$V$5:$V$70,MATCH($A140,'Actual Stock'!$U$5:$U$70,0))</f>
        <v>0</v>
      </c>
      <c r="Q140" s="22">
        <f>INDEX('Actual Stock'!$X$5:$X$70,MATCH($A140,'Actual Stock'!$W$5:$W$70,0))</f>
        <v>0</v>
      </c>
      <c r="R140" s="22"/>
      <c r="S140" s="22"/>
      <c r="T140" s="22"/>
      <c r="U140" s="22"/>
      <c r="V140" s="22"/>
      <c r="W140" s="22"/>
      <c r="X140" s="22"/>
      <c r="Y140" s="22"/>
      <c r="Z140" s="22"/>
      <c r="AA140" s="22"/>
      <c r="AB140" s="22"/>
      <c r="AC140" s="22"/>
    </row>
    <row r="141" ht="12.7" customHeight="1">
      <c r="A141" t="s" s="18">
        <v>162</v>
      </c>
      <c r="B141" s="19">
        <v>400042</v>
      </c>
      <c r="C141" t="s" s="20">
        <v>163</v>
      </c>
      <c r="D141" t="s" s="21">
        <v>33</v>
      </c>
      <c r="E141" t="s" s="23">
        <f>A141&amp;D141</f>
        <v>170</v>
      </c>
      <c r="F141" s="22">
        <v>0</v>
      </c>
      <c r="G141" s="22">
        <v>0</v>
      </c>
      <c r="H141" s="22">
        <v>0</v>
      </c>
      <c r="I141" s="22">
        <f>IF((H139+I138-(I135-I136)-I143)&gt;0,0,(H139+I138-(I135-I136)-I143))</f>
        <v>0</v>
      </c>
      <c r="J141" s="22">
        <f>IF((I139+J138-(J135-J136)-J143)&gt;0,0,(I139+J138-(J135-J136)-J143))</f>
        <v>0</v>
      </c>
      <c r="K141" s="22">
        <f>IF((J139+K138-(K135-K136)-K143)&gt;0,0,(J139+K138-(K135-K136)-K143))</f>
        <v>0</v>
      </c>
      <c r="L141" s="22">
        <f>IF((K139+L138-(L135-L136)-L143)&gt;0,0,(K139+L138-(L135-L136)-L143))</f>
        <v>0</v>
      </c>
      <c r="M141" s="22">
        <f>IF((L139+M138-(M135-M136)-M143)&gt;0,0,(L139+M138-(M135-M136)-M143))</f>
        <v>-8693</v>
      </c>
      <c r="N141" s="22">
        <f>IF((M139+N138-(N135-N136)-N143)&gt;0,0,(M139+N138-(N135-N136)-N143))</f>
        <v>0</v>
      </c>
      <c r="O141" s="22">
        <f>IF((N139+O138-(O135-O136)-O143)&gt;0,0,(N139+O138-(O135-O136)-O143))</f>
        <v>0</v>
      </c>
      <c r="P141" s="22">
        <f>IF((O139+P138-(P135-P136)-P143)&gt;0,0,(O139+P138-(P135-P136)-P143))</f>
        <v>0</v>
      </c>
      <c r="Q141" s="22">
        <f>IF((P139+Q138-(Q135-Q136)-Q143)&gt;0,0,(P139+Q138-(Q135-Q136)-Q143))</f>
        <v>0</v>
      </c>
      <c r="R141" s="24">
        <f>IF((Q139+R138-(R135-R136)-R143)&gt;0,0,(Q139+R138-(R135-R136)-R143))</f>
        <v>-36875.2308</v>
      </c>
      <c r="S141" s="24"/>
      <c r="T141" s="24"/>
      <c r="U141" s="24"/>
      <c r="V141" s="24"/>
      <c r="W141" s="24"/>
      <c r="X141" s="24"/>
      <c r="Y141" s="24"/>
      <c r="Z141" s="24"/>
      <c r="AA141" s="24"/>
      <c r="AB141" s="24"/>
      <c r="AC141" s="24"/>
    </row>
    <row r="142" ht="12.7" customHeight="1">
      <c r="A142" t="s" s="18">
        <v>162</v>
      </c>
      <c r="B142" s="19">
        <v>400042</v>
      </c>
      <c r="C142" t="s" s="20">
        <v>163</v>
      </c>
      <c r="D142" t="s" s="21">
        <v>35</v>
      </c>
      <c r="E142" t="s" s="23">
        <f>A142&amp;D142</f>
        <v>171</v>
      </c>
      <c r="F142" s="25">
        <f>INDEX('Issued by date'!$B$5:$B$70,MATCH($A142,'Issued by date'!$A$5:$A$70,0))</f>
        <v>0</v>
      </c>
      <c r="G142" s="26">
        <f>INDEX('Issued by date'!$D$5:$D$70,MATCH($A142,'Issued by date'!$C$5:$C$70,0))</f>
        <v>0</v>
      </c>
      <c r="H142" s="22">
        <f>INDEX('Issued by date'!$F$5:$F$70,MATCH($A142,'Issued by date'!$E$5:$E$70,0))</f>
        <v>0</v>
      </c>
      <c r="I142" s="22">
        <f>INDEX('Issued by date'!$H$5:$H$70,MATCH($A142,'Issued by date'!$G$5:$G$70,0))</f>
        <v>33844</v>
      </c>
      <c r="J142" s="22">
        <f>INDEX('Issued by date'!$J$5:$J$70,MATCH($A142,'Issued by date'!$I$5:$I$70,0))</f>
        <v>23148</v>
      </c>
      <c r="K142" s="22">
        <f>INDEX('Issued by date'!$L$5:$L$70,MATCH($A142,'Issued by date'!$K$5:$K$70,0))</f>
        <v>72</v>
      </c>
      <c r="L142" s="22">
        <f>INDEX('Issued by date'!$N$5:$N$70,MATCH($A142,'Issued by date'!$M$5:$M$70,0))</f>
        <v>99</v>
      </c>
      <c r="M142" s="22">
        <f>INDEX('Issued by date'!$P$5:$P$70,MATCH($A142,'Issued by date'!$O$5:$O$70,0))</f>
        <v>5020</v>
      </c>
      <c r="N142" s="27">
        <f>INDEX('Issued by date'!$R$5:$R$70,MATCH($A142,'Issued by date'!$Q$5:$Q$70,0))</f>
        <v>0</v>
      </c>
      <c r="O142" s="28">
        <f>INDEX('Issued by date'!$F$5:$F$70,MATCH($A142,'Issued by date'!$E$5:$E$70,0))</f>
        <v>0</v>
      </c>
      <c r="P142" s="28">
        <f>INDEX('Issued by date'!$V$5:$V$70,MATCH($A142,'Issued by date'!$U$5:$U$70,0))</f>
        <v>0</v>
      </c>
      <c r="Q142" s="29">
        <f>INDEX('Issued by date'!$X$5:$X$70,MATCH($A142,'Issued by date'!$W$5:$W$70,0))</f>
        <v>0</v>
      </c>
      <c r="R142" s="24"/>
      <c r="S142" s="24"/>
      <c r="T142" s="24"/>
      <c r="U142" s="24"/>
      <c r="V142" s="24"/>
      <c r="W142" s="24"/>
      <c r="X142" s="24"/>
      <c r="Y142" s="24"/>
      <c r="Z142" s="24"/>
      <c r="AA142" s="24"/>
      <c r="AB142" s="24"/>
      <c r="AC142" s="24"/>
    </row>
    <row r="143" ht="12.7" customHeight="1">
      <c r="A143" t="s" s="18">
        <v>162</v>
      </c>
      <c r="B143" s="19">
        <v>400042</v>
      </c>
      <c r="C143" t="s" s="20">
        <v>163</v>
      </c>
      <c r="D143" t="s" s="21">
        <v>37</v>
      </c>
      <c r="E143" t="s" s="23">
        <f>A143&amp;D143</f>
        <v>172</v>
      </c>
      <c r="F143" s="22">
        <v>0</v>
      </c>
      <c r="G143" s="30">
        <v>0</v>
      </c>
      <c r="H143" s="22">
        <f>IF(H142&gt;0,IF(H142-(H135-H136)&gt;0,(H142-(H135-H136)),0),0)</f>
        <v>0</v>
      </c>
      <c r="I143" s="22">
        <v>28968</v>
      </c>
      <c r="J143" s="22">
        <v>11728</v>
      </c>
      <c r="K143" s="22">
        <v>0</v>
      </c>
      <c r="L143" s="22">
        <v>0</v>
      </c>
      <c r="M143" s="22">
        <v>0</v>
      </c>
      <c r="N143" s="31"/>
      <c r="O143" s="32"/>
      <c r="P143" s="32"/>
      <c r="Q143" s="33"/>
      <c r="R143" s="24"/>
      <c r="S143" s="24"/>
      <c r="T143" s="24"/>
      <c r="U143" s="24"/>
      <c r="V143" s="24"/>
      <c r="W143" s="24"/>
      <c r="X143" s="24"/>
      <c r="Y143" s="24"/>
      <c r="Z143" s="24"/>
      <c r="AA143" s="24"/>
      <c r="AB143" s="24"/>
      <c r="AC143" s="24"/>
    </row>
    <row r="144" ht="12.7" customHeight="1">
      <c r="A144" t="s" s="34">
        <v>162</v>
      </c>
      <c r="B144" s="35">
        <v>400042</v>
      </c>
      <c r="C144" t="s" s="36">
        <v>163</v>
      </c>
      <c r="D144" t="s" s="37">
        <v>39</v>
      </c>
      <c r="E144" t="s" s="16">
        <f>A144&amp;D144</f>
        <v>173</v>
      </c>
      <c r="F144" s="38">
        <f>IFERROR(F140/AVERAGE(G135:H135)*30,0)</f>
        <v>147.6116504854369</v>
      </c>
      <c r="G144" s="38">
        <f>IFERROR(G140/AVERAGE(H135:I135)*30,0)</f>
        <v>109.7282785551578</v>
      </c>
      <c r="H144" s="38">
        <f>IFERROR(H139/AVERAGE(I135:J135)*30,0)</f>
        <v>193.0245535714286</v>
      </c>
      <c r="I144" s="38">
        <f>IFERROR(I139/AVERAGE(J135:K135)*30,0)</f>
        <v>108.7762596071734</v>
      </c>
      <c r="J144" s="38">
        <f>IFERROR(J139/AVERAGE(K135:L135)*30,0)</f>
        <v>65.26613243357232</v>
      </c>
      <c r="K144" s="38">
        <f>IFERROR(K139/AVERAGE(L135:M135)*30,0)</f>
        <v>42.64360681638641</v>
      </c>
      <c r="L144" s="38">
        <f>IFERROR(L139/AVERAGE(M135:N135)*30,0)</f>
        <v>14.8104506515246</v>
      </c>
      <c r="M144" s="38">
        <f>IFERROR(M139/AVERAGE(N135:O135)*30,0)</f>
        <v>0</v>
      </c>
      <c r="N144" s="38">
        <f>IFERROR(N139/AVERAGE(O135:P135)*30,0)</f>
        <v>11.79420318924882</v>
      </c>
      <c r="O144" s="38">
        <f>IFERROR(O139/AVERAGE(P135:Q135)*30,0)</f>
        <v>9.694354123558972</v>
      </c>
      <c r="P144" s="38">
        <f>IFERROR(P139/AVERAGE(Q135:R135)*30,0)</f>
        <v>14.01952020352611</v>
      </c>
      <c r="Q144" s="38">
        <f>IFERROR(Q139/AVERAGE(R135:S135)*30,0)</f>
        <v>21.19989464658401</v>
      </c>
      <c r="R144" s="38">
        <f>IFERROR(R139/AVERAGE(S135:T135)*30,0)</f>
        <v>0</v>
      </c>
      <c r="S144" s="38"/>
      <c r="T144" s="38"/>
      <c r="U144" s="38"/>
      <c r="V144" s="38"/>
      <c r="W144" s="38"/>
      <c r="X144" s="38"/>
      <c r="Y144" s="38"/>
      <c r="Z144" s="38"/>
      <c r="AA144" s="38"/>
      <c r="AB144" s="38"/>
      <c r="AC144" s="38"/>
    </row>
    <row r="145" ht="12" customHeight="1">
      <c r="A145" s="39"/>
      <c r="B145" s="40"/>
      <c r="C145" s="40"/>
      <c r="D145" s="41"/>
      <c r="E145" t="s" s="23">
        <f>A145&amp;D145</f>
      </c>
      <c r="F145" s="42"/>
      <c r="G145" s="40"/>
      <c r="H145" s="40"/>
      <c r="I145" s="40"/>
      <c r="J145" s="40"/>
      <c r="K145" s="40"/>
      <c r="L145" s="40"/>
      <c r="M145" s="40"/>
      <c r="N145" s="40"/>
      <c r="O145" s="40"/>
      <c r="P145" s="40"/>
      <c r="Q145" s="40"/>
      <c r="R145" s="40"/>
      <c r="S145" s="40"/>
      <c r="T145" s="40"/>
      <c r="U145" s="40"/>
      <c r="V145" s="40"/>
      <c r="W145" s="40"/>
      <c r="X145" s="40"/>
      <c r="Y145" s="40"/>
      <c r="Z145" s="40"/>
      <c r="AA145" s="40"/>
      <c r="AB145" s="40"/>
      <c r="AC145" s="43"/>
    </row>
    <row r="146" ht="13.5" customHeight="1">
      <c r="A146" t="s" s="8">
        <v>4</v>
      </c>
      <c r="B146" t="s" s="9">
        <v>5</v>
      </c>
      <c r="C146" t="s" s="9">
        <v>6</v>
      </c>
      <c r="D146" t="s" s="44">
        <v>7</v>
      </c>
      <c r="E146" t="s" s="23">
        <f>A146&amp;D146</f>
        <v>41</v>
      </c>
      <c r="F146" t="s" s="45">
        <v>8</v>
      </c>
      <c r="G146" t="s" s="9">
        <v>9</v>
      </c>
      <c r="H146" t="s" s="9">
        <v>10</v>
      </c>
      <c r="I146" t="s" s="9">
        <v>11</v>
      </c>
      <c r="J146" t="s" s="9">
        <v>1</v>
      </c>
      <c r="K146" t="s" s="9">
        <v>12</v>
      </c>
      <c r="L146" t="s" s="9">
        <v>13</v>
      </c>
      <c r="M146" t="s" s="9">
        <v>14</v>
      </c>
      <c r="N146" t="s" s="9">
        <v>15</v>
      </c>
      <c r="O146" t="s" s="9">
        <v>16</v>
      </c>
      <c r="P146" t="s" s="9">
        <v>17</v>
      </c>
      <c r="Q146" t="s" s="9">
        <v>18</v>
      </c>
      <c r="R146" t="s" s="9">
        <v>8</v>
      </c>
      <c r="S146" t="s" s="9">
        <v>9</v>
      </c>
      <c r="T146" t="s" s="9">
        <v>10</v>
      </c>
      <c r="U146" t="s" s="9">
        <v>11</v>
      </c>
      <c r="V146" t="s" s="9">
        <v>1</v>
      </c>
      <c r="W146" t="s" s="9">
        <v>12</v>
      </c>
      <c r="X146" t="s" s="9">
        <v>13</v>
      </c>
      <c r="Y146" t="s" s="9">
        <v>14</v>
      </c>
      <c r="Z146" t="s" s="9">
        <v>15</v>
      </c>
      <c r="AA146" t="s" s="9">
        <v>16</v>
      </c>
      <c r="AB146" t="s" s="9">
        <v>17</v>
      </c>
      <c r="AC146" t="s" s="11">
        <v>18</v>
      </c>
    </row>
    <row r="147" ht="12.7" customHeight="1">
      <c r="A147" t="s" s="12">
        <v>174</v>
      </c>
      <c r="B147" s="13">
        <v>400043</v>
      </c>
      <c r="C147" t="s" s="14">
        <v>175</v>
      </c>
      <c r="D147" t="s" s="15">
        <v>21</v>
      </c>
      <c r="E147" t="s" s="16">
        <f>A147&amp;D147</f>
        <v>176</v>
      </c>
      <c r="F147" s="17">
        <f>INDEX('Sales Forecast'!$B$5:$B$72,MATCH($A147,'Sales Forecast'!$A$5:$A$72,0))</f>
        <v>25200</v>
      </c>
      <c r="G147" s="17">
        <f>INDEX('Sales Forecast'!$D$5:$D$72,MATCH($A147,'Sales Forecast'!$C$5:$C$72,0))</f>
        <v>11160</v>
      </c>
      <c r="H147" s="17">
        <f>INDEX('Sales Forecast'!$F$5:$F$72,MATCH($A147,'Sales Forecast'!$E$5:$E$72,0))</f>
        <v>15000</v>
      </c>
      <c r="I147" s="17">
        <f>INDEX('Sales Forecast'!$H$5:$H$72,MATCH($A147,'Sales Forecast'!$G$5:$G$72,0))</f>
        <v>8438</v>
      </c>
      <c r="J147" s="17">
        <f>INDEX('Sales Forecast'!$J$5:$J$72,MATCH($A147,'Sales Forecast'!$I$5:$I$72,0))</f>
        <v>7324</v>
      </c>
      <c r="K147" s="17">
        <f>INDEX('Sales Forecast'!$L$5:$L$72,MATCH($A147,'Sales Forecast'!$K$5:$K$72,0))</f>
        <v>10000</v>
      </c>
      <c r="L147" s="17">
        <f>INDEX('Sales Forecast'!$N$5:$N$72,MATCH($A147,'Sales Forecast'!$M$5:$M$72,0))</f>
        <v>5926</v>
      </c>
      <c r="M147" s="17">
        <f>INDEX('Sales Forecast'!$P$5:$P$72,MATCH($A147,'Sales Forecast'!$O$5:$O$72,0))</f>
        <v>16614</v>
      </c>
      <c r="N147" s="17">
        <f>INDEX('Sales Forecast'!$R$5:$R$72,MATCH($A147,'Sales Forecast'!$Q$5:$Q$72,0))</f>
        <v>26040</v>
      </c>
      <c r="O147" s="17">
        <f>INDEX('Sales Forecast'!$T$5:$T$72,MATCH($A147,'Sales Forecast'!$S$5:$S$72,0))</f>
        <v>47154</v>
      </c>
      <c r="P147" s="17">
        <f>INDEX('Sales Forecast'!$V$5:$V$72,MATCH($A147,'Sales Forecast'!$U$5:$U$72,0))</f>
        <v>36603</v>
      </c>
      <c r="Q147" s="17">
        <f>INDEX('Sales Forecast'!$X$5:$X$72,MATCH($A147,'Sales Forecast'!$W$5:$W$72,0))</f>
        <v>3440</v>
      </c>
      <c r="R147" s="17">
        <v>48568.26156</v>
      </c>
      <c r="S147" s="17">
        <v>11042</v>
      </c>
      <c r="T147" s="17"/>
      <c r="U147" s="17"/>
      <c r="V147" s="17"/>
      <c r="W147" s="17"/>
      <c r="X147" s="17"/>
      <c r="Y147" s="17"/>
      <c r="Z147" s="17"/>
      <c r="AA147" s="17"/>
      <c r="AB147" s="17"/>
      <c r="AC147" s="17"/>
    </row>
    <row r="148" ht="12.7" customHeight="1">
      <c r="A148" t="s" s="18">
        <v>174</v>
      </c>
      <c r="B148" s="19">
        <v>400043</v>
      </c>
      <c r="C148" t="s" s="20">
        <v>175</v>
      </c>
      <c r="D148" t="s" s="21">
        <v>23</v>
      </c>
      <c r="E148" t="s" s="16">
        <f>A148&amp;D148</f>
        <v>177</v>
      </c>
      <c r="F148" s="22">
        <f>INDEX('Sales Actual'!$B$5:$B$70,MATCH($A148,'Sales Actual'!$A$5:$A$70,0))</f>
        <v>15774</v>
      </c>
      <c r="G148" s="22">
        <f>INDEX('Sales Actual'!$D$5:$D$70,MATCH($A148,'Sales Actual'!$C$5:$C$70,0))</f>
        <v>14532</v>
      </c>
      <c r="H148" s="22">
        <f>INDEX('Sales Actual'!$F$5:$F$70,MATCH($A148,'Sales Actual'!$E$5:$E$70,0))</f>
        <v>11386</v>
      </c>
      <c r="I148" s="22">
        <f>INDEX('Sales Actual'!$H$5:$H$70,MATCH($A148,'Sales Actual'!$G$5:$G$70,0))</f>
        <v>0</v>
      </c>
      <c r="J148" s="22">
        <f>INDEX('Sales Actual'!$J$5:$J$70,MATCH($A148,'Sales Actual'!$I$5:$I$70,0))</f>
        <v>0</v>
      </c>
      <c r="K148" s="22">
        <f>INDEX('Sales Actual'!$L$5:$L$70,MATCH($A148,'Sales Actual'!$K$5:$K$70,0))</f>
        <v>0</v>
      </c>
      <c r="L148" s="22">
        <f>INDEX('Sales Actual'!$N$5:$N$70,MATCH($A148,'Sales Actual'!$M$5:$M$70,0))</f>
        <v>0</v>
      </c>
      <c r="M148" s="22">
        <f>INDEX('Sales Actual'!$P$5:$P$70,MATCH($A148,'Sales Actual'!$O$5:$O$70,0))</f>
        <v>0</v>
      </c>
      <c r="N148" s="22">
        <f>INDEX('Sales Actual'!$R$5:$R$70,MATCH($A148,'Sales Actual'!$Q$5:$Q$70,0))</f>
        <v>0</v>
      </c>
      <c r="O148" s="22">
        <f>INDEX('Sales Actual'!$T$5:$T$70,MATCH($A148,'Sales Actual'!$S$5:$S$70,0))</f>
        <v>0</v>
      </c>
      <c r="P148" s="22">
        <f>INDEX('Sales Actual'!$V$5:$V$70,MATCH($A148,'Sales Actual'!$U$5:$U$70,0))</f>
        <v>0</v>
      </c>
      <c r="Q148" s="22">
        <f>INDEX('Sales Actual'!$X$5:$X$70,MATCH($A148,'Sales Actual'!$W$5:$W$70,0))</f>
        <v>0</v>
      </c>
      <c r="R148" s="22"/>
      <c r="S148" s="22"/>
      <c r="T148" s="22"/>
      <c r="U148" s="22"/>
      <c r="V148" s="22"/>
      <c r="W148" s="22"/>
      <c r="X148" s="22"/>
      <c r="Y148" s="22"/>
      <c r="Z148" s="22"/>
      <c r="AA148" s="22"/>
      <c r="AB148" s="22"/>
      <c r="AC148" s="22"/>
    </row>
    <row r="149" ht="12.7" customHeight="1">
      <c r="A149" t="s" s="18">
        <v>174</v>
      </c>
      <c r="B149" s="19">
        <v>400043</v>
      </c>
      <c r="C149" t="s" s="20">
        <v>175</v>
      </c>
      <c r="D149" t="s" s="21">
        <v>25</v>
      </c>
      <c r="E149" t="s" s="23">
        <f>A149&amp;D149</f>
        <v>178</v>
      </c>
      <c r="F149" s="22">
        <v>5400</v>
      </c>
      <c r="G149" s="22">
        <v>3024</v>
      </c>
      <c r="H149" s="22">
        <v>4320</v>
      </c>
      <c r="I149" s="22">
        <v>8640</v>
      </c>
      <c r="J149" s="22">
        <v>5940</v>
      </c>
      <c r="K149" s="22">
        <v>5400</v>
      </c>
      <c r="L149" s="22">
        <v>0</v>
      </c>
      <c r="M149" s="22">
        <f>130*108</f>
        <v>14040</v>
      </c>
      <c r="N149" s="22">
        <f>108*420</f>
        <v>45360</v>
      </c>
      <c r="O149" s="22">
        <f t="shared" si="1261" ref="O149:O150">108*400</f>
        <v>43200</v>
      </c>
      <c r="P149" s="22">
        <f>108*380</f>
        <v>41040</v>
      </c>
      <c r="Q149" s="22">
        <f>108*320</f>
        <v>34560</v>
      </c>
      <c r="R149" s="24">
        <v>0</v>
      </c>
      <c r="S149" s="24"/>
      <c r="T149" s="24"/>
      <c r="U149" s="24"/>
      <c r="V149" s="24"/>
      <c r="W149" s="24"/>
      <c r="X149" s="24"/>
      <c r="Y149" s="24"/>
      <c r="Z149" s="24"/>
      <c r="AA149" s="24"/>
      <c r="AB149" s="24"/>
      <c r="AC149" s="24"/>
    </row>
    <row r="150" ht="12.7" customHeight="1">
      <c r="A150" t="s" s="18">
        <v>174</v>
      </c>
      <c r="B150" s="19">
        <v>400043</v>
      </c>
      <c r="C150" t="s" s="20">
        <v>175</v>
      </c>
      <c r="D150" t="s" s="21">
        <v>27</v>
      </c>
      <c r="E150" t="s" s="23">
        <f>A150&amp;D150</f>
        <v>179</v>
      </c>
      <c r="F150" s="22">
        <v>2808</v>
      </c>
      <c r="G150" s="22">
        <v>4752</v>
      </c>
      <c r="H150" s="22">
        <v>4968</v>
      </c>
      <c r="I150" s="22">
        <v>7452</v>
      </c>
      <c r="J150" s="22">
        <v>5832</v>
      </c>
      <c r="K150" s="22">
        <v>4428</v>
      </c>
      <c r="L150" s="22">
        <v>0</v>
      </c>
      <c r="M150" s="22">
        <f>M149</f>
        <v>14040</v>
      </c>
      <c r="N150" s="22">
        <f>108*422</f>
        <v>45576</v>
      </c>
      <c r="O150" s="22">
        <f t="shared" si="1261"/>
        <v>43200</v>
      </c>
      <c r="P150" s="22">
        <f>P149</f>
        <v>41040</v>
      </c>
      <c r="Q150" s="22">
        <f>Q149</f>
        <v>34560</v>
      </c>
      <c r="R150" s="24">
        <f>R149</f>
        <v>0</v>
      </c>
      <c r="S150" s="24"/>
      <c r="T150" s="24"/>
      <c r="U150" s="24"/>
      <c r="V150" s="24"/>
      <c r="W150" s="24"/>
      <c r="X150" s="24"/>
      <c r="Y150" s="24"/>
      <c r="Z150" s="24"/>
      <c r="AA150" s="24"/>
      <c r="AB150" s="24"/>
      <c r="AC150" s="24"/>
    </row>
    <row r="151" ht="12.7" customHeight="1">
      <c r="A151" t="s" s="18">
        <v>174</v>
      </c>
      <c r="B151" s="19">
        <v>400043</v>
      </c>
      <c r="C151" t="s" s="20">
        <v>175</v>
      </c>
      <c r="D151" t="s" s="21">
        <v>29</v>
      </c>
      <c r="E151" t="s" s="16">
        <f>A151&amp;D151</f>
        <v>180</v>
      </c>
      <c r="F151" s="22">
        <v>14774</v>
      </c>
      <c r="G151" s="22">
        <v>17840</v>
      </c>
      <c r="H151" s="22">
        <f>G152+H150-(H147-H148)-H155</f>
        <v>2842</v>
      </c>
      <c r="I151" s="22">
        <f>IF((H152+I150-I147-I155)&lt;0,0,(H152+I150-I147-I155))</f>
        <v>1150</v>
      </c>
      <c r="J151" s="22">
        <f>IF((I151+J150-(J147-J148)-J155)&lt;0,0,(I151+J150-(J147-J148)-J155))</f>
        <v>0</v>
      </c>
      <c r="K151" s="22">
        <f>IF((J151+K150-(K147-K148)-K155)&lt;0,0,(J151+K150-(K147-K148)-K155))</f>
        <v>0</v>
      </c>
      <c r="L151" s="22">
        <f>IF((K151+L150-(L147-L148)-L155)&lt;0,0,(K151+L150-(L147-L148)-L155))</f>
        <v>0</v>
      </c>
      <c r="M151" s="22">
        <f>IF((L151+M150-(M147-M148)-M155)&lt;0,0,(L151+M150-(M147-M148)-M155))</f>
        <v>0</v>
      </c>
      <c r="N151" s="22">
        <f>IF((M151+N150-(N147-N148)-N155)&lt;0,0,(M151+N150-(N147-N148)-N155))</f>
        <v>19536</v>
      </c>
      <c r="O151" s="22">
        <f>IF((N151+O150-(O147-O148)-O155)&lt;0,0,(N151+O150-(O147-O148)-O155))</f>
        <v>15582</v>
      </c>
      <c r="P151" s="22">
        <f>IF((O151+P150-(P147-P148)-P155)&lt;0,0,(O151+P150-(P147-P148)-P155))</f>
        <v>20019</v>
      </c>
      <c r="Q151" s="22">
        <f>IF((P151+Q150-(Q147-Q148)-Q155)&lt;0,0,(P151+Q150-(Q147-Q148)-Q155))</f>
        <v>51139</v>
      </c>
      <c r="R151" s="22">
        <f>IF((Q151+R150-(R147-R148)-R155)&lt;0,0,(Q151+R150-(R147-R148)-R155))</f>
        <v>2570.738440000001</v>
      </c>
      <c r="S151" s="22"/>
      <c r="T151" s="22"/>
      <c r="U151" s="22"/>
      <c r="V151" s="22"/>
      <c r="W151" s="22"/>
      <c r="X151" s="22"/>
      <c r="Y151" s="22"/>
      <c r="Z151" s="22"/>
      <c r="AA151" s="22"/>
      <c r="AB151" s="22"/>
      <c r="AC151" s="22"/>
    </row>
    <row r="152" ht="12.7" customHeight="1">
      <c r="A152" t="s" s="18">
        <v>174</v>
      </c>
      <c r="B152" s="19">
        <v>400043</v>
      </c>
      <c r="C152" t="s" s="20">
        <v>175</v>
      </c>
      <c r="D152" t="s" s="21">
        <v>31</v>
      </c>
      <c r="E152" t="s" s="16">
        <f>A152&amp;D152</f>
        <v>181</v>
      </c>
      <c r="F152" s="22">
        <f>INDEX('Actual Stock'!$B$5:$B$70,MATCH($A152,'Actual Stock'!$A$5:$A$70,0))</f>
        <v>24248</v>
      </c>
      <c r="G152" s="22">
        <f>INDEX('Actual Stock'!$D$5:$D$70,MATCH($A152,'Actual Stock'!$C$5:$C$70,0))</f>
        <v>1488</v>
      </c>
      <c r="H152" s="22">
        <f>INDEX('Actual Stock'!$F$5:$F$70,MATCH($A152,'Actual Stock'!$E$5:$E$70,0))</f>
        <v>2136</v>
      </c>
      <c r="I152" s="22">
        <f>INDEX('Actual Stock'!$H$5:$H$70,MATCH($A152,'Actual Stock'!$G$5:$G$70,0))</f>
        <v>0</v>
      </c>
      <c r="J152" s="22">
        <f>INDEX('Actual Stock'!$J$5:$J$70,MATCH($A152,'Actual Stock'!$I$5:$I$70,0))</f>
        <v>0</v>
      </c>
      <c r="K152" s="22">
        <f>INDEX('Actual Stock'!$L$5:$L$70,MATCH($A152,'Actual Stock'!$K$5:$K$70,0))</f>
        <v>0</v>
      </c>
      <c r="L152" s="22">
        <f>INDEX('Actual Stock'!$N$5:$N$70,MATCH($A152,'Actual Stock'!$M$5:$M$70,0))</f>
        <v>0</v>
      </c>
      <c r="M152" s="22">
        <f>INDEX('Actual Stock'!$P$5:$P$70,MATCH($A152,'Actual Stock'!$O$5:$O$70,0))</f>
        <v>0</v>
      </c>
      <c r="N152" s="22">
        <f>INDEX('Actual Stock'!$R$5:$R$70,MATCH($A152,'Actual Stock'!$Q$5:$Q$70,0))</f>
        <v>0</v>
      </c>
      <c r="O152" s="22">
        <f>INDEX('Actual Stock'!$T$5:$T$70,MATCH($A152,'Actual Stock'!$S$5:$S$70,0))</f>
        <v>0</v>
      </c>
      <c r="P152" s="22">
        <f>INDEX('Actual Stock'!$V$5:$V$70,MATCH($A152,'Actual Stock'!$U$5:$U$70,0))</f>
        <v>0</v>
      </c>
      <c r="Q152" s="22">
        <f>INDEX('Actual Stock'!$X$5:$X$70,MATCH($A152,'Actual Stock'!$W$5:$W$70,0))</f>
        <v>0</v>
      </c>
      <c r="R152" s="22"/>
      <c r="S152" s="22"/>
      <c r="T152" s="22"/>
      <c r="U152" s="22"/>
      <c r="V152" s="22"/>
      <c r="W152" s="22"/>
      <c r="X152" s="22"/>
      <c r="Y152" s="22"/>
      <c r="Z152" s="22"/>
      <c r="AA152" s="22"/>
      <c r="AB152" s="22"/>
      <c r="AC152" s="22"/>
    </row>
    <row r="153" ht="12.7" customHeight="1">
      <c r="A153" t="s" s="18">
        <v>174</v>
      </c>
      <c r="B153" s="19">
        <v>400043</v>
      </c>
      <c r="C153" t="s" s="20">
        <v>175</v>
      </c>
      <c r="D153" t="s" s="21">
        <v>33</v>
      </c>
      <c r="E153" t="s" s="23">
        <f>A153&amp;D153</f>
        <v>182</v>
      </c>
      <c r="F153" s="22">
        <v>0</v>
      </c>
      <c r="G153" s="22">
        <v>0</v>
      </c>
      <c r="H153" s="22">
        <v>0</v>
      </c>
      <c r="I153" s="22">
        <f>IF((H151+I150-(I147-I148)-I155)&gt;0,0,(H151+I150-(I147-I148)-I155))</f>
        <v>0</v>
      </c>
      <c r="J153" s="22">
        <f>IF((I151+J150-(J147-J148)-J155)&gt;0,0,(I151+J150-(J147-J148)-J155))</f>
        <v>-342</v>
      </c>
      <c r="K153" s="22">
        <f>IF((J151+K150-(K147-K148)-K155)&gt;0,0,(J151+K150-(K147-K148)-K155))</f>
        <v>-5572</v>
      </c>
      <c r="L153" s="22">
        <f>IF((K151+L150-(L147-L148)-L155)&gt;0,0,(K151+L150-(L147-L148)-L155))</f>
        <v>-5926</v>
      </c>
      <c r="M153" s="22">
        <f>IF((L151+M150-(M147-M148)-M155)&gt;0,0,(L151+M150-(M147-M148)-M155))</f>
        <v>-2574</v>
      </c>
      <c r="N153" s="22">
        <f>IF((M151+N150-(N147-N148)-N155)&gt;0,0,(M151+N150-(N147-N148)-N155))</f>
        <v>0</v>
      </c>
      <c r="O153" s="22">
        <f>IF((N151+O150-(O147-O148)-O155)&gt;0,0,(N151+O150-(O147-O148)-O155))</f>
        <v>0</v>
      </c>
      <c r="P153" s="46"/>
      <c r="Q153" s="47"/>
      <c r="R153" s="24">
        <f>IF((Q151+R150-(R147-R148)-R155)&gt;0,0,(Q151+R150-(R147-R148)-R155))</f>
        <v>0</v>
      </c>
      <c r="S153" s="24"/>
      <c r="T153" s="24"/>
      <c r="U153" s="24"/>
      <c r="V153" s="24"/>
      <c r="W153" s="24"/>
      <c r="X153" s="24"/>
      <c r="Y153" s="24"/>
      <c r="Z153" s="24"/>
      <c r="AA153" s="24"/>
      <c r="AB153" s="24"/>
      <c r="AC153" s="24"/>
    </row>
    <row r="154" ht="12.7" customHeight="1">
      <c r="A154" t="s" s="18">
        <v>174</v>
      </c>
      <c r="B154" s="19">
        <v>400043</v>
      </c>
      <c r="C154" t="s" s="20">
        <v>175</v>
      </c>
      <c r="D154" t="s" s="21">
        <v>35</v>
      </c>
      <c r="E154" t="s" s="23">
        <f>A154&amp;D154</f>
        <v>183</v>
      </c>
      <c r="F154" s="25">
        <f>INDEX('Issued by date'!$B$5:$B$70,MATCH($A154,'Issued by date'!$A$5:$A$70,0))</f>
        <v>0</v>
      </c>
      <c r="G154" s="26">
        <f>INDEX('Issued by date'!$D$5:$D$70,MATCH($A154,'Issued by date'!$C$5:$C$70,0))</f>
        <v>0</v>
      </c>
      <c r="H154" s="22">
        <f>INDEX('Issued by date'!$F$5:$F$70,MATCH($A154,'Issued by date'!$E$5:$E$70,0))</f>
        <v>0</v>
      </c>
      <c r="I154" s="22">
        <f>INDEX('Issued by date'!$H$5:$H$70,MATCH($A154,'Issued by date'!$G$5:$G$70,0))</f>
        <v>1632</v>
      </c>
      <c r="J154" s="22">
        <f>INDEX('Issued by date'!$J$5:$J$70,MATCH($A154,'Issued by date'!$I$5:$I$70,0))</f>
        <v>0</v>
      </c>
      <c r="K154" s="22">
        <f>INDEX('Issued by date'!$L$5:$L$70,MATCH($A154,'Issued by date'!$K$5:$K$70,0))</f>
        <v>375</v>
      </c>
      <c r="L154" s="22">
        <f>INDEX('Issued by date'!$N$5:$N$70,MATCH($A154,'Issued by date'!$M$5:$M$70,0))</f>
        <v>49</v>
      </c>
      <c r="M154" s="22">
        <f>INDEX('Issued by date'!$P$5:$P$70,MATCH($A154,'Issued by date'!$O$5:$O$70,0))</f>
        <v>80</v>
      </c>
      <c r="N154" s="27">
        <f>INDEX('Issued by date'!$R$5:$R$70,MATCH($A154,'Issued by date'!$Q$5:$Q$70,0))</f>
        <v>0</v>
      </c>
      <c r="O154" s="28">
        <f>INDEX('Issued by date'!$F$5:$F$70,MATCH($A154,'Issued by date'!$E$5:$E$70,0))</f>
        <v>0</v>
      </c>
      <c r="P154" s="28">
        <f>INDEX('Issued by date'!$V$5:$V$70,MATCH($A154,'Issued by date'!$U$5:$U$70,0))</f>
        <v>0</v>
      </c>
      <c r="Q154" s="29">
        <f>INDEX('Issued by date'!$X$5:$X$70,MATCH($A154,'Issued by date'!$W$5:$W$70,0))</f>
        <v>0</v>
      </c>
      <c r="R154" s="24"/>
      <c r="S154" s="24"/>
      <c r="T154" s="24"/>
      <c r="U154" s="24"/>
      <c r="V154" s="24"/>
      <c r="W154" s="24"/>
      <c r="X154" s="24"/>
      <c r="Y154" s="24"/>
      <c r="Z154" s="24"/>
      <c r="AA154" s="24"/>
      <c r="AB154" s="24"/>
      <c r="AC154" s="24"/>
    </row>
    <row r="155" ht="12.7" customHeight="1">
      <c r="A155" t="s" s="18">
        <v>174</v>
      </c>
      <c r="B155" s="19">
        <v>400043</v>
      </c>
      <c r="C155" t="s" s="20">
        <v>175</v>
      </c>
      <c r="D155" t="s" s="21">
        <v>37</v>
      </c>
      <c r="E155" t="s" s="23">
        <f>A155&amp;D155</f>
        <v>184</v>
      </c>
      <c r="F155" s="22">
        <v>0</v>
      </c>
      <c r="G155" s="30">
        <v>0</v>
      </c>
      <c r="H155" s="22">
        <v>0</v>
      </c>
      <c r="I155" s="22">
        <v>0</v>
      </c>
      <c r="J155" s="22">
        <v>0</v>
      </c>
      <c r="K155" s="22">
        <v>0</v>
      </c>
      <c r="L155" s="46"/>
      <c r="M155" s="49"/>
      <c r="N155" s="32"/>
      <c r="O155" s="32"/>
      <c r="P155" s="32"/>
      <c r="Q155" s="33"/>
      <c r="R155" s="24"/>
      <c r="S155" s="24"/>
      <c r="T155" s="24"/>
      <c r="U155" s="24"/>
      <c r="V155" s="24"/>
      <c r="W155" s="24"/>
      <c r="X155" s="24"/>
      <c r="Y155" s="24"/>
      <c r="Z155" s="24"/>
      <c r="AA155" s="24"/>
      <c r="AB155" s="24"/>
      <c r="AC155" s="24"/>
    </row>
    <row r="156" ht="12.7" customHeight="1">
      <c r="A156" t="s" s="34">
        <v>174</v>
      </c>
      <c r="B156" s="35">
        <v>400043</v>
      </c>
      <c r="C156" t="s" s="36">
        <v>175</v>
      </c>
      <c r="D156" t="s" s="37">
        <v>39</v>
      </c>
      <c r="E156" t="s" s="16">
        <f>A156&amp;D156</f>
        <v>185</v>
      </c>
      <c r="F156" s="38">
        <f>IFERROR(F152/AVERAGE(G147:H147)*30,0)</f>
        <v>55.61467889908257</v>
      </c>
      <c r="G156" s="38">
        <f>IFERROR(G152/AVERAGE(H147:I147)*30,0)</f>
        <v>3.809198737093609</v>
      </c>
      <c r="H156" s="38">
        <f>IFERROR(H151/AVERAGE(I147:J147)*30,0)</f>
        <v>10.81842405786068</v>
      </c>
      <c r="I156" s="38">
        <f>IFERROR(I151/AVERAGE(J147:K147)*30,0)</f>
        <v>3.98291387670284</v>
      </c>
      <c r="J156" s="38">
        <f>IFERROR(J151/AVERAGE(K147:L147)*30,0)</f>
        <v>0</v>
      </c>
      <c r="K156" s="38">
        <f>IFERROR(K151/AVERAGE(L147:M147)*30,0)</f>
        <v>0</v>
      </c>
      <c r="L156" s="38">
        <f>IFERROR(L151/AVERAGE(M147:N147)*30,0)</f>
        <v>0</v>
      </c>
      <c r="M156" s="38">
        <f>IFERROR(M151/AVERAGE(N147:O147)*30,0)</f>
        <v>0</v>
      </c>
      <c r="N156" s="38">
        <f>IFERROR(N151/AVERAGE(O147:P147)*30,0)</f>
        <v>13.99477058633905</v>
      </c>
      <c r="O156" s="38">
        <f>IFERROR(O151/AVERAGE(P147:Q147)*30,0)</f>
        <v>23.3479010064181</v>
      </c>
      <c r="P156" s="38">
        <f>IFERROR(P151/AVERAGE(Q147:R147)*30,0)</f>
        <v>23.09517688097091</v>
      </c>
      <c r="Q156" s="38">
        <f>IFERROR(Q151/AVERAGE(R147:S147)*30,0)</f>
        <v>51.47335240110629</v>
      </c>
      <c r="R156" s="38">
        <f>IFERROR(R151/AVERAGE(S147:T147)*30,0)</f>
        <v>6.984436986053254</v>
      </c>
      <c r="S156" s="38"/>
      <c r="T156" s="38"/>
      <c r="U156" s="38"/>
      <c r="V156" s="38"/>
      <c r="W156" s="38"/>
      <c r="X156" s="38"/>
      <c r="Y156" s="38"/>
      <c r="Z156" s="38"/>
      <c r="AA156" s="38"/>
      <c r="AB156" s="38"/>
      <c r="AC156" s="38"/>
    </row>
    <row r="157" ht="12" customHeight="1">
      <c r="A157" s="52"/>
      <c r="B157" s="53"/>
      <c r="C157" s="54"/>
      <c r="D157" s="55"/>
      <c r="E157" t="s" s="23">
        <f>A157&amp;D157</f>
      </c>
      <c r="F157" s="56"/>
      <c r="G157" s="40"/>
      <c r="H157" s="40"/>
      <c r="I157" s="40"/>
      <c r="J157" s="40"/>
      <c r="K157" s="40"/>
      <c r="L157" s="40"/>
      <c r="M157" s="40"/>
      <c r="N157" s="40"/>
      <c r="O157" s="40"/>
      <c r="P157" s="40"/>
      <c r="Q157" s="40"/>
      <c r="R157" s="40"/>
      <c r="S157" s="40"/>
      <c r="T157" s="40"/>
      <c r="U157" s="40"/>
      <c r="V157" s="40"/>
      <c r="W157" s="40"/>
      <c r="X157" s="40"/>
      <c r="Y157" s="40"/>
      <c r="Z157" s="40"/>
      <c r="AA157" s="40"/>
      <c r="AB157" s="40"/>
      <c r="AC157" s="43"/>
    </row>
    <row r="158" ht="13.5" customHeight="1">
      <c r="A158" t="s" s="8">
        <v>4</v>
      </c>
      <c r="B158" t="s" s="9">
        <v>5</v>
      </c>
      <c r="C158" t="s" s="9">
        <v>6</v>
      </c>
      <c r="D158" t="s" s="44">
        <v>7</v>
      </c>
      <c r="E158" t="s" s="23">
        <f>A158&amp;D158</f>
        <v>41</v>
      </c>
      <c r="F158" t="s" s="45">
        <v>8</v>
      </c>
      <c r="G158" t="s" s="9">
        <v>9</v>
      </c>
      <c r="H158" t="s" s="9">
        <v>10</v>
      </c>
      <c r="I158" t="s" s="9">
        <v>11</v>
      </c>
      <c r="J158" t="s" s="9">
        <v>1</v>
      </c>
      <c r="K158" t="s" s="9">
        <v>12</v>
      </c>
      <c r="L158" t="s" s="9">
        <v>13</v>
      </c>
      <c r="M158" t="s" s="9">
        <v>14</v>
      </c>
      <c r="N158" t="s" s="9">
        <v>15</v>
      </c>
      <c r="O158" t="s" s="9">
        <v>16</v>
      </c>
      <c r="P158" t="s" s="9">
        <v>17</v>
      </c>
      <c r="Q158" t="s" s="9">
        <v>18</v>
      </c>
      <c r="R158" t="s" s="9">
        <v>8</v>
      </c>
      <c r="S158" t="s" s="9">
        <v>9</v>
      </c>
      <c r="T158" t="s" s="9">
        <v>10</v>
      </c>
      <c r="U158" t="s" s="9">
        <v>11</v>
      </c>
      <c r="V158" t="s" s="9">
        <v>1</v>
      </c>
      <c r="W158" t="s" s="9">
        <v>12</v>
      </c>
      <c r="X158" t="s" s="9">
        <v>13</v>
      </c>
      <c r="Y158" t="s" s="9">
        <v>14</v>
      </c>
      <c r="Z158" t="s" s="9">
        <v>15</v>
      </c>
      <c r="AA158" t="s" s="9">
        <v>16</v>
      </c>
      <c r="AB158" t="s" s="9">
        <v>17</v>
      </c>
      <c r="AC158" t="s" s="11">
        <v>18</v>
      </c>
    </row>
    <row r="159" ht="12.7" customHeight="1">
      <c r="A159" t="s" s="12">
        <v>186</v>
      </c>
      <c r="B159" s="13">
        <v>400089</v>
      </c>
      <c r="C159" t="s" s="14">
        <v>187</v>
      </c>
      <c r="D159" t="s" s="15">
        <v>21</v>
      </c>
      <c r="E159" t="s" s="16">
        <f>A159&amp;D159</f>
        <v>188</v>
      </c>
      <c r="F159" s="17">
        <f>INDEX('Sales Forecast'!$B$5:$B$72,MATCH($A159,'Sales Forecast'!$A$5:$A$72,0))</f>
        <v>0</v>
      </c>
      <c r="G159" s="17">
        <f>INDEX('Sales Forecast'!$D$5:$D$72,MATCH($A159,'Sales Forecast'!$C$5:$C$72,0))</f>
        <v>0</v>
      </c>
      <c r="H159" s="17">
        <f>INDEX('Sales Forecast'!$F$5:$F$72,MATCH($A159,'Sales Forecast'!$E$5:$E$72,0))</f>
        <v>0</v>
      </c>
      <c r="I159" s="17">
        <f>INDEX('Sales Forecast'!$H$5:$H$72,MATCH($A159,'Sales Forecast'!$G$5:$G$72,0))</f>
        <v>0</v>
      </c>
      <c r="J159" s="17">
        <f>INDEX('Sales Forecast'!$J$5:$J$72,MATCH($A159,'Sales Forecast'!$I$5:$I$72,0))</f>
        <v>0</v>
      </c>
      <c r="K159" s="17">
        <f>INDEX('Sales Forecast'!$L$5:$L$72,MATCH($A159,'Sales Forecast'!$K$5:$K$72,0))</f>
        <v>0</v>
      </c>
      <c r="L159" s="17">
        <f>INDEX('Sales Forecast'!$N$5:$N$72,MATCH($A159,'Sales Forecast'!$M$5:$M$72,0))</f>
        <v>0</v>
      </c>
      <c r="M159" s="17">
        <f>INDEX('Sales Forecast'!$P$5:$P$72,MATCH($A159,'Sales Forecast'!$O$5:$O$72,0))</f>
        <v>0</v>
      </c>
      <c r="N159" s="17">
        <f>INDEX('Sales Forecast'!$R$5:$R$72,MATCH($A159,'Sales Forecast'!$Q$5:$Q$72,0))</f>
        <v>0</v>
      </c>
      <c r="O159" s="17">
        <f>INDEX('Sales Forecast'!$T$5:$T$72,MATCH($A159,'Sales Forecast'!$S$5:$S$72,0))</f>
        <v>0</v>
      </c>
      <c r="P159" s="17">
        <f>INDEX('Sales Forecast'!$V$5:$V$72,MATCH($A159,'Sales Forecast'!$U$5:$U$72,0))</f>
        <v>0</v>
      </c>
      <c r="Q159" s="17">
        <f>INDEX('Sales Forecast'!$X$5:$X$72,MATCH($A159,'Sales Forecast'!$W$5:$W$72,0))</f>
        <v>0</v>
      </c>
      <c r="R159" s="17">
        <v>54000</v>
      </c>
      <c r="S159" s="17">
        <v>9600</v>
      </c>
      <c r="T159" s="17"/>
      <c r="U159" s="17"/>
      <c r="V159" s="17"/>
      <c r="W159" s="17"/>
      <c r="X159" s="17"/>
      <c r="Y159" s="17"/>
      <c r="Z159" s="17"/>
      <c r="AA159" s="17"/>
      <c r="AB159" s="17"/>
      <c r="AC159" s="17"/>
    </row>
    <row r="160" ht="12.7" customHeight="1">
      <c r="A160" t="s" s="18">
        <v>186</v>
      </c>
      <c r="B160" s="19">
        <v>400089</v>
      </c>
      <c r="C160" t="s" s="20">
        <v>187</v>
      </c>
      <c r="D160" t="s" s="21">
        <v>23</v>
      </c>
      <c r="E160" t="s" s="16">
        <f>A160&amp;D160</f>
        <v>189</v>
      </c>
      <c r="F160" s="22">
        <f>INDEX('Sales Actual'!$B$5:$B$70,MATCH($A160,'Sales Actual'!$A$5:$A$70,0))</f>
        <v>0</v>
      </c>
      <c r="G160" s="22">
        <f>INDEX('Sales Actual'!$D$5:$D$70,MATCH($A160,'Sales Actual'!$C$5:$C$70,0))</f>
        <v>0</v>
      </c>
      <c r="H160" s="22">
        <f>INDEX('Sales Actual'!$F$5:$F$70,MATCH($A160,'Sales Actual'!$E$5:$E$70,0))</f>
        <v>0</v>
      </c>
      <c r="I160" s="22">
        <f>INDEX('Sales Actual'!$H$5:$H$70,MATCH($A160,'Sales Actual'!$G$5:$G$70,0))</f>
        <v>0</v>
      </c>
      <c r="J160" s="22">
        <f>INDEX('Sales Actual'!$J$5:$J$70,MATCH($A160,'Sales Actual'!$I$5:$I$70,0))</f>
        <v>0</v>
      </c>
      <c r="K160" s="22">
        <f>INDEX('Sales Actual'!$L$5:$L$70,MATCH($A160,'Sales Actual'!$K$5:$K$70,0))</f>
        <v>0</v>
      </c>
      <c r="L160" s="22">
        <f>INDEX('Sales Actual'!$N$5:$N$70,MATCH($A160,'Sales Actual'!$M$5:$M$70,0))</f>
        <v>0</v>
      </c>
      <c r="M160" s="22">
        <f>INDEX('Sales Actual'!$P$5:$P$70,MATCH($A160,'Sales Actual'!$O$5:$O$70,0))</f>
        <v>0</v>
      </c>
      <c r="N160" s="22">
        <f>INDEX('Sales Actual'!$R$5:$R$70,MATCH($A160,'Sales Actual'!$Q$5:$Q$70,0))</f>
        <v>0</v>
      </c>
      <c r="O160" s="22">
        <f>INDEX('Sales Actual'!$T$5:$T$70,MATCH($A160,'Sales Actual'!$S$5:$S$70,0))</f>
        <v>0</v>
      </c>
      <c r="P160" s="22">
        <f>INDEX('Sales Actual'!$V$5:$V$70,MATCH($A160,'Sales Actual'!$U$5:$U$70,0))</f>
        <v>0</v>
      </c>
      <c r="Q160" s="22">
        <f>INDEX('Sales Actual'!$X$5:$X$70,MATCH($A160,'Sales Actual'!$W$5:$W$70,0))</f>
        <v>0</v>
      </c>
      <c r="R160" s="22"/>
      <c r="S160" s="22"/>
      <c r="T160" s="22"/>
      <c r="U160" s="22"/>
      <c r="V160" s="22"/>
      <c r="W160" s="22"/>
      <c r="X160" s="22"/>
      <c r="Y160" s="22"/>
      <c r="Z160" s="22"/>
      <c r="AA160" s="22"/>
      <c r="AB160" s="22"/>
      <c r="AC160" s="22"/>
    </row>
    <row r="161" ht="12.7" customHeight="1">
      <c r="A161" t="s" s="18">
        <v>186</v>
      </c>
      <c r="B161" s="19">
        <v>400089</v>
      </c>
      <c r="C161" t="s" s="20">
        <v>187</v>
      </c>
      <c r="D161" t="s" s="21">
        <v>25</v>
      </c>
      <c r="E161" t="s" s="23">
        <f>A161&amp;D161</f>
        <v>190</v>
      </c>
      <c r="F161" s="57"/>
      <c r="G161" s="58"/>
      <c r="H161" s="58"/>
      <c r="I161" s="58"/>
      <c r="J161" s="58"/>
      <c r="K161" s="58"/>
      <c r="L161" s="59"/>
      <c r="M161" s="22">
        <f>406*120</f>
        <v>48720</v>
      </c>
      <c r="N161" s="22">
        <f t="shared" si="1363" ref="N161:P161">250*120</f>
        <v>30000</v>
      </c>
      <c r="O161" s="22">
        <f>120*530</f>
        <v>63600</v>
      </c>
      <c r="P161" s="22">
        <f t="shared" si="1363"/>
        <v>30000</v>
      </c>
      <c r="Q161" s="22">
        <f>410*120</f>
        <v>49200</v>
      </c>
      <c r="R161" s="24">
        <v>0</v>
      </c>
      <c r="S161" s="24"/>
      <c r="T161" s="24"/>
      <c r="U161" s="24"/>
      <c r="V161" s="24"/>
      <c r="W161" s="24"/>
      <c r="X161" s="24"/>
      <c r="Y161" s="24"/>
      <c r="Z161" s="24"/>
      <c r="AA161" s="24"/>
      <c r="AB161" s="24"/>
      <c r="AC161" s="24"/>
    </row>
    <row r="162" ht="12.7" customHeight="1">
      <c r="A162" t="s" s="18">
        <v>186</v>
      </c>
      <c r="B162" s="19">
        <v>400089</v>
      </c>
      <c r="C162" t="s" s="20">
        <v>187</v>
      </c>
      <c r="D162" t="s" s="21">
        <v>27</v>
      </c>
      <c r="E162" t="s" s="23">
        <f>A162&amp;D162</f>
        <v>191</v>
      </c>
      <c r="F162" s="60"/>
      <c r="G162" s="61"/>
      <c r="H162" s="61"/>
      <c r="I162" s="61"/>
      <c r="J162" s="61"/>
      <c r="K162" s="61"/>
      <c r="L162" s="62"/>
      <c r="M162" s="22">
        <f>602*120</f>
        <v>72240</v>
      </c>
      <c r="N162" s="22">
        <v>0</v>
      </c>
      <c r="O162" s="22">
        <f>O161</f>
        <v>63600</v>
      </c>
      <c r="P162" s="22">
        <f>P161</f>
        <v>30000</v>
      </c>
      <c r="Q162" s="22">
        <f>Q161</f>
        <v>49200</v>
      </c>
      <c r="R162" s="24">
        <f>R161</f>
        <v>0</v>
      </c>
      <c r="S162" s="24"/>
      <c r="T162" s="24"/>
      <c r="U162" s="24"/>
      <c r="V162" s="24"/>
      <c r="W162" s="24"/>
      <c r="X162" s="24"/>
      <c r="Y162" s="24"/>
      <c r="Z162" s="24"/>
      <c r="AA162" s="24"/>
      <c r="AB162" s="24"/>
      <c r="AC162" s="24"/>
    </row>
    <row r="163" ht="12.7" customHeight="1">
      <c r="A163" t="s" s="18">
        <v>186</v>
      </c>
      <c r="B163" s="19">
        <v>400089</v>
      </c>
      <c r="C163" t="s" s="20">
        <v>187</v>
      </c>
      <c r="D163" t="s" s="21">
        <v>29</v>
      </c>
      <c r="E163" t="s" s="16">
        <f>A163&amp;D163</f>
        <v>192</v>
      </c>
      <c r="F163" s="31"/>
      <c r="G163" s="32"/>
      <c r="H163" s="32"/>
      <c r="I163" s="32"/>
      <c r="J163" s="32"/>
      <c r="K163" s="32"/>
      <c r="L163" s="33"/>
      <c r="M163" s="22">
        <f>L163-M159+M162</f>
        <v>72240</v>
      </c>
      <c r="N163" s="22">
        <f>M163-N159+N162</f>
        <v>72240</v>
      </c>
      <c r="O163" s="22">
        <f>N163-O159+O162</f>
        <v>135840</v>
      </c>
      <c r="P163" s="22">
        <f>O163-P159+P162</f>
        <v>165840</v>
      </c>
      <c r="Q163" s="22">
        <f>P163-Q159+Q162</f>
        <v>215040</v>
      </c>
      <c r="R163" s="22">
        <f>IF((Q163+R162-(R159-R160)-R167)&lt;0,0,(Q163+R162-(R159-R160)-R167))</f>
        <v>161040</v>
      </c>
      <c r="S163" s="22"/>
      <c r="T163" s="22"/>
      <c r="U163" s="22"/>
      <c r="V163" s="22"/>
      <c r="W163" s="22"/>
      <c r="X163" s="22"/>
      <c r="Y163" s="22"/>
      <c r="Z163" s="22"/>
      <c r="AA163" s="22"/>
      <c r="AB163" s="22"/>
      <c r="AC163" s="22"/>
    </row>
    <row r="164" ht="12.7" customHeight="1">
      <c r="A164" t="s" s="18">
        <v>186</v>
      </c>
      <c r="B164" s="19">
        <v>400089</v>
      </c>
      <c r="C164" t="s" s="20">
        <v>187</v>
      </c>
      <c r="D164" t="s" s="21">
        <v>31</v>
      </c>
      <c r="E164" t="s" s="16">
        <f>A164&amp;D164</f>
        <v>193</v>
      </c>
      <c r="F164" s="22">
        <f>INDEX('Actual Stock'!$B$5:$B$70,MATCH($A164,'Actual Stock'!$A$5:$A$70,0))</f>
        <v>0</v>
      </c>
      <c r="G164" s="22">
        <f>INDEX('Actual Stock'!$D$5:$D$70,MATCH($A164,'Actual Stock'!$C$5:$C$70,0))</f>
        <v>0</v>
      </c>
      <c r="H164" s="22">
        <f>INDEX('Actual Stock'!$F$5:$F$70,MATCH($A164,'Actual Stock'!$E$5:$E$70,0))</f>
        <v>0</v>
      </c>
      <c r="I164" s="22">
        <f>INDEX('Actual Stock'!$H$5:$H$70,MATCH($A164,'Actual Stock'!$G$5:$G$70,0))</f>
        <v>0</v>
      </c>
      <c r="J164" s="22">
        <f>INDEX('Actual Stock'!$J$5:$J$70,MATCH($A164,'Actual Stock'!$I$5:$I$70,0))</f>
        <v>0</v>
      </c>
      <c r="K164" s="22">
        <f>INDEX('Actual Stock'!$L$5:$L$70,MATCH($A164,'Actual Stock'!$K$5:$K$70,0))</f>
        <v>0</v>
      </c>
      <c r="L164" s="22">
        <f>INDEX('Actual Stock'!$N$5:$N$70,MATCH($A164,'Actual Stock'!$M$5:$M$70,0))</f>
        <v>0</v>
      </c>
      <c r="M164" s="22">
        <f>INDEX('Actual Stock'!$P$5:$P$70,MATCH($A164,'Actual Stock'!$O$5:$O$70,0))</f>
        <v>0</v>
      </c>
      <c r="N164" s="22">
        <f>INDEX('Actual Stock'!$R$5:$R$70,MATCH($A164,'Actual Stock'!$Q$5:$Q$70,0))</f>
        <v>0</v>
      </c>
      <c r="O164" s="22">
        <f>INDEX('Actual Stock'!$T$5:$T$70,MATCH($A164,'Actual Stock'!$S$5:$S$70,0))</f>
        <v>0</v>
      </c>
      <c r="P164" s="22">
        <f>INDEX('Actual Stock'!$V$5:$V$70,MATCH($A164,'Actual Stock'!$U$5:$U$70,0))</f>
        <v>0</v>
      </c>
      <c r="Q164" s="22">
        <f>INDEX('Actual Stock'!$X$5:$X$70,MATCH($A164,'Actual Stock'!$W$5:$W$70,0))</f>
        <v>0</v>
      </c>
      <c r="R164" s="22"/>
      <c r="S164" s="22"/>
      <c r="T164" s="22"/>
      <c r="U164" s="22"/>
      <c r="V164" s="22"/>
      <c r="W164" s="22"/>
      <c r="X164" s="22"/>
      <c r="Y164" s="22"/>
      <c r="Z164" s="22"/>
      <c r="AA164" s="22"/>
      <c r="AB164" s="22"/>
      <c r="AC164" s="22"/>
    </row>
    <row r="165" ht="12.7" customHeight="1">
      <c r="A165" t="s" s="18">
        <v>186</v>
      </c>
      <c r="B165" s="19">
        <v>400089</v>
      </c>
      <c r="C165" t="s" s="20">
        <v>187</v>
      </c>
      <c r="D165" t="s" s="21">
        <v>33</v>
      </c>
      <c r="E165" t="s" s="23">
        <f>A165&amp;D165</f>
        <v>194</v>
      </c>
      <c r="F165" s="25"/>
      <c r="G165" s="47"/>
      <c r="H165" s="22">
        <v>0</v>
      </c>
      <c r="I165" s="22">
        <f>IF((H163+I162-(I159-I160)-I167)&gt;0,0,(H163+I162-(I159-I160)-I167))</f>
        <v>0</v>
      </c>
      <c r="J165" s="22">
        <f>IF((I163+J162-(J159-J160)-J167)&gt;0,0,(I163+J162-(J159-J160)-J167))</f>
        <v>0</v>
      </c>
      <c r="K165" s="22">
        <f>IF((J163+K162-(K159-K160)-K167)&gt;0,0,(J163+K162-(K159-K160)-K167))</f>
        <v>0</v>
      </c>
      <c r="L165" s="22">
        <f>IF((K163+L162-(L159-L160)-L167)&gt;0,0,(K163+L162-(L159-L160)-L167))</f>
        <v>0</v>
      </c>
      <c r="M165" s="22">
        <f>IF((L163+M162-(M159-M160)-M167)&gt;0,0,(L163+M162-(M159-M160)-M167))</f>
        <v>0</v>
      </c>
      <c r="N165" s="22">
        <f>IF((M163+N162-(N159-N160)-N167)&gt;0,0,(M163+N162-(N159-N160)-N167))</f>
        <v>0</v>
      </c>
      <c r="O165" s="22">
        <f>IF((N163+O162-(O159-O160)-O167)&gt;0,0,(N163+O162-(O159-O160)-O167))</f>
        <v>0</v>
      </c>
      <c r="P165" s="46"/>
      <c r="Q165" s="47"/>
      <c r="R165" s="24">
        <f>IF((Q163+R162-(R159-R160)-R167)&gt;0,0,(Q163+R162-(R159-R160)-R167))</f>
        <v>0</v>
      </c>
      <c r="S165" s="24"/>
      <c r="T165" s="24"/>
      <c r="U165" s="24"/>
      <c r="V165" s="24"/>
      <c r="W165" s="24"/>
      <c r="X165" s="24"/>
      <c r="Y165" s="24"/>
      <c r="Z165" s="24"/>
      <c r="AA165" s="24"/>
      <c r="AB165" s="24"/>
      <c r="AC165" s="24"/>
    </row>
    <row r="166" ht="12.7" customHeight="1">
      <c r="A166" t="s" s="18">
        <v>186</v>
      </c>
      <c r="B166" s="19">
        <v>400089</v>
      </c>
      <c r="C166" t="s" s="20">
        <v>187</v>
      </c>
      <c r="D166" t="s" s="21">
        <v>35</v>
      </c>
      <c r="E166" t="s" s="23">
        <f>A166&amp;D166</f>
        <v>195</v>
      </c>
      <c r="F166" s="25">
        <f>INDEX('Issued by date'!$B$5:$B$70,MATCH($A166,'Issued by date'!$A$5:$A$70,0))</f>
        <v>0</v>
      </c>
      <c r="G166" s="26">
        <f>INDEX('Issued by date'!$D$5:$D$70,MATCH($A166,'Issued by date'!$C$5:$C$70,0))</f>
        <v>0</v>
      </c>
      <c r="H166" s="22">
        <f>INDEX('Issued by date'!$F$5:$F$70,MATCH($A166,'Issued by date'!$E$5:$E$70,0))</f>
        <v>0</v>
      </c>
      <c r="I166" s="22">
        <f>INDEX('Issued by date'!$H$5:$H$70,MATCH($A166,'Issued by date'!$G$5:$G$70,0))</f>
        <v>0</v>
      </c>
      <c r="J166" s="22">
        <f>INDEX('Issued by date'!$J$5:$J$70,MATCH($A166,'Issued by date'!$I$5:$I$70,0))</f>
        <v>0</v>
      </c>
      <c r="K166" s="22">
        <f>INDEX('Issued by date'!$L$5:$L$70,MATCH($A166,'Issued by date'!$K$5:$K$70,0))</f>
        <v>0</v>
      </c>
      <c r="L166" s="22">
        <f>INDEX('Issued by date'!$N$5:$N$70,MATCH($A166,'Issued by date'!$M$5:$M$70,0))</f>
        <v>0</v>
      </c>
      <c r="M166" s="22">
        <f>INDEX('Issued by date'!$P$5:$P$70,MATCH($A166,'Issued by date'!$O$5:$O$70,0))</f>
        <v>0</v>
      </c>
      <c r="N166" s="27">
        <f>INDEX('Issued by date'!$R$5:$R$70,MATCH($A166,'Issued by date'!$Q$5:$Q$70,0))</f>
        <v>0</v>
      </c>
      <c r="O166" s="28">
        <f>INDEX('Issued by date'!$F$5:$F$70,MATCH($A166,'Issued by date'!$E$5:$E$70,0))</f>
        <v>0</v>
      </c>
      <c r="P166" s="28">
        <f>INDEX('Issued by date'!$V$5:$V$70,MATCH($A166,'Issued by date'!$U$5:$U$70,0))</f>
        <v>0</v>
      </c>
      <c r="Q166" s="29">
        <f>INDEX('Issued by date'!$X$5:$X$70,MATCH($A166,'Issued by date'!$W$5:$W$70,0))</f>
        <v>0</v>
      </c>
      <c r="R166" s="24"/>
      <c r="S166" s="24"/>
      <c r="T166" s="24"/>
      <c r="U166" s="24"/>
      <c r="V166" s="24"/>
      <c r="W166" s="24"/>
      <c r="X166" s="24"/>
      <c r="Y166" s="24"/>
      <c r="Z166" s="24"/>
      <c r="AA166" s="24"/>
      <c r="AB166" s="24"/>
      <c r="AC166" s="24"/>
    </row>
    <row r="167" ht="12.7" customHeight="1">
      <c r="A167" t="s" s="18">
        <v>186</v>
      </c>
      <c r="B167" s="19">
        <v>400089</v>
      </c>
      <c r="C167" t="s" s="20">
        <v>187</v>
      </c>
      <c r="D167" t="s" s="21">
        <v>37</v>
      </c>
      <c r="E167" t="s" s="23">
        <f>A167&amp;D167</f>
        <v>196</v>
      </c>
      <c r="F167" s="22"/>
      <c r="G167" s="30"/>
      <c r="H167" s="57"/>
      <c r="I167" s="58"/>
      <c r="J167" s="58"/>
      <c r="K167" s="58"/>
      <c r="L167" s="58"/>
      <c r="M167" s="58"/>
      <c r="N167" s="32"/>
      <c r="O167" s="32"/>
      <c r="P167" s="32"/>
      <c r="Q167" s="33"/>
      <c r="R167" s="24"/>
      <c r="S167" s="24"/>
      <c r="T167" s="24"/>
      <c r="U167" s="24"/>
      <c r="V167" s="24"/>
      <c r="W167" s="24"/>
      <c r="X167" s="24"/>
      <c r="Y167" s="24"/>
      <c r="Z167" s="24"/>
      <c r="AA167" s="24"/>
      <c r="AB167" s="24"/>
      <c r="AC167" s="24"/>
    </row>
    <row r="168" ht="12.7" customHeight="1">
      <c r="A168" t="s" s="34">
        <v>186</v>
      </c>
      <c r="B168" s="35">
        <v>400089</v>
      </c>
      <c r="C168" t="s" s="36">
        <v>187</v>
      </c>
      <c r="D168" t="s" s="37">
        <v>39</v>
      </c>
      <c r="E168" t="s" s="16">
        <f>A168&amp;D168</f>
        <v>197</v>
      </c>
      <c r="F168" s="57"/>
      <c r="G168" s="58"/>
      <c r="H168" s="61"/>
      <c r="I168" s="61"/>
      <c r="J168" s="61"/>
      <c r="K168" s="61"/>
      <c r="L168" s="61"/>
      <c r="M168" s="62"/>
      <c r="N168" s="38">
        <f>IFERROR(N163/AVERAGE(O159:P159)*30,0)</f>
        <v>0</v>
      </c>
      <c r="O168" s="38">
        <f>IFERROR(O163/AVERAGE(P159:Q159)*30,0)</f>
        <v>0</v>
      </c>
      <c r="P168" s="38">
        <f>IFERROR(P163/AVERAGE(Q159:R159)*30,0)</f>
        <v>184.2666666666667</v>
      </c>
      <c r="Q168" s="38">
        <f>IFERROR(Q163/AVERAGE(R159:S159)*30,0)</f>
        <v>202.8679245283019</v>
      </c>
      <c r="R168" s="38">
        <f>IFERROR(R163/AVERAGE(S159:T159)*30,0)</f>
        <v>503.2499999999999</v>
      </c>
      <c r="S168" s="38"/>
      <c r="T168" s="38"/>
      <c r="U168" s="38"/>
      <c r="V168" s="38"/>
      <c r="W168" s="38"/>
      <c r="X168" s="38"/>
      <c r="Y168" s="38"/>
      <c r="Z168" s="38"/>
      <c r="AA168" s="38"/>
      <c r="AB168" s="38"/>
      <c r="AC168" s="38"/>
    </row>
    <row r="169" ht="12" customHeight="1">
      <c r="A169" s="52"/>
      <c r="B169" s="53"/>
      <c r="C169" s="54"/>
      <c r="D169" s="55"/>
      <c r="E169" t="s" s="23">
        <f>A169&amp;D169</f>
      </c>
      <c r="F169" s="63"/>
      <c r="G169" s="64"/>
      <c r="H169" s="64"/>
      <c r="I169" s="64"/>
      <c r="J169" s="64"/>
      <c r="K169" s="64"/>
      <c r="L169" s="64"/>
      <c r="M169" s="64"/>
      <c r="N169" s="40"/>
      <c r="O169" s="40"/>
      <c r="P169" s="40"/>
      <c r="Q169" s="40"/>
      <c r="R169" s="40"/>
      <c r="S169" s="40"/>
      <c r="T169" s="40"/>
      <c r="U169" s="40"/>
      <c r="V169" s="40"/>
      <c r="W169" s="40"/>
      <c r="X169" s="40"/>
      <c r="Y169" s="40"/>
      <c r="Z169" s="40"/>
      <c r="AA169" s="40"/>
      <c r="AB169" s="40"/>
      <c r="AC169" s="43"/>
    </row>
    <row r="170" ht="13.5" customHeight="1">
      <c r="A170" t="s" s="8">
        <v>4</v>
      </c>
      <c r="B170" t="s" s="9">
        <v>5</v>
      </c>
      <c r="C170" t="s" s="9">
        <v>6</v>
      </c>
      <c r="D170" t="s" s="44">
        <v>7</v>
      </c>
      <c r="E170" t="s" s="23">
        <f>A170&amp;D170</f>
        <v>41</v>
      </c>
      <c r="F170" t="s" s="45">
        <v>8</v>
      </c>
      <c r="G170" t="s" s="9">
        <v>9</v>
      </c>
      <c r="H170" t="s" s="9">
        <v>10</v>
      </c>
      <c r="I170" t="s" s="9">
        <v>11</v>
      </c>
      <c r="J170" t="s" s="9">
        <v>1</v>
      </c>
      <c r="K170" t="s" s="9">
        <v>12</v>
      </c>
      <c r="L170" t="s" s="9">
        <v>13</v>
      </c>
      <c r="M170" t="s" s="9">
        <v>14</v>
      </c>
      <c r="N170" t="s" s="9">
        <v>15</v>
      </c>
      <c r="O170" t="s" s="9">
        <v>16</v>
      </c>
      <c r="P170" t="s" s="9">
        <v>17</v>
      </c>
      <c r="Q170" t="s" s="9">
        <v>18</v>
      </c>
      <c r="R170" t="s" s="9">
        <v>8</v>
      </c>
      <c r="S170" t="s" s="9">
        <v>9</v>
      </c>
      <c r="T170" t="s" s="9">
        <v>10</v>
      </c>
      <c r="U170" t="s" s="9">
        <v>11</v>
      </c>
      <c r="V170" t="s" s="9">
        <v>1</v>
      </c>
      <c r="W170" t="s" s="9">
        <v>12</v>
      </c>
      <c r="X170" t="s" s="9">
        <v>13</v>
      </c>
      <c r="Y170" t="s" s="9">
        <v>14</v>
      </c>
      <c r="Z170" t="s" s="9">
        <v>15</v>
      </c>
      <c r="AA170" t="s" s="9">
        <v>16</v>
      </c>
      <c r="AB170" t="s" s="9">
        <v>17</v>
      </c>
      <c r="AC170" t="s" s="11">
        <v>18</v>
      </c>
    </row>
    <row r="171" ht="12.7" customHeight="1">
      <c r="A171" t="s" s="12">
        <v>198</v>
      </c>
      <c r="B171" s="13">
        <v>400041</v>
      </c>
      <c r="C171" t="s" s="14">
        <v>199</v>
      </c>
      <c r="D171" t="s" s="15">
        <v>21</v>
      </c>
      <c r="E171" t="s" s="16">
        <f>A171&amp;D171</f>
        <v>200</v>
      </c>
      <c r="F171" s="17">
        <f>INDEX('Sales Forecast'!$B$5:$B$72,MATCH($A171,'Sales Forecast'!$A$5:$A$72,0))</f>
        <v>0</v>
      </c>
      <c r="G171" s="17">
        <f>INDEX('Sales Forecast'!$D$5:$D$72,MATCH($A171,'Sales Forecast'!$C$5:$C$72,0))</f>
        <v>0</v>
      </c>
      <c r="H171" s="17">
        <f>INDEX('Sales Forecast'!$F$5:$F$72,MATCH($A171,'Sales Forecast'!$E$5:$E$72,0))</f>
        <v>0</v>
      </c>
      <c r="I171" s="17">
        <f>INDEX('Sales Forecast'!$H$5:$H$72,MATCH($A171,'Sales Forecast'!$G$5:$G$72,0))</f>
        <v>0</v>
      </c>
      <c r="J171" s="17">
        <f>INDEX('Sales Forecast'!$J$5:$J$72,MATCH($A171,'Sales Forecast'!$I$5:$I$72,0))</f>
        <v>0</v>
      </c>
      <c r="K171" s="17">
        <f>INDEX('Sales Forecast'!$L$5:$L$72,MATCH($A171,'Sales Forecast'!$K$5:$K$72,0))</f>
        <v>0</v>
      </c>
      <c r="L171" s="17">
        <f>INDEX('Sales Forecast'!$N$5:$N$72,MATCH($A171,'Sales Forecast'!$M$5:$M$72,0))</f>
        <v>0</v>
      </c>
      <c r="M171" s="17">
        <f>INDEX('Sales Forecast'!$P$5:$P$72,MATCH($A171,'Sales Forecast'!$O$5:$O$72,0))</f>
        <v>0</v>
      </c>
      <c r="N171" s="17">
        <f>INDEX('Sales Forecast'!$R$5:$R$72,MATCH($A171,'Sales Forecast'!$Q$5:$Q$72,0))</f>
        <v>0</v>
      </c>
      <c r="O171" s="17">
        <f>INDEX('Sales Forecast'!$T$5:$T$72,MATCH($A171,'Sales Forecast'!$S$5:$S$72,0))</f>
        <v>0</v>
      </c>
      <c r="P171" s="17">
        <f>INDEX('Sales Forecast'!$V$5:$V$72,MATCH($A171,'Sales Forecast'!$U$5:$U$72,0))</f>
        <v>0</v>
      </c>
      <c r="Q171" s="17">
        <f>INDEX('Sales Forecast'!$X$5:$X$72,MATCH($A171,'Sales Forecast'!$W$5:$W$72,0))</f>
        <v>0</v>
      </c>
      <c r="R171" s="17">
        <v>70200</v>
      </c>
      <c r="S171" s="17">
        <v>14400</v>
      </c>
      <c r="T171" s="17"/>
      <c r="U171" s="17"/>
      <c r="V171" s="17"/>
      <c r="W171" s="17"/>
      <c r="X171" s="17"/>
      <c r="Y171" s="17"/>
      <c r="Z171" s="17"/>
      <c r="AA171" s="17"/>
      <c r="AB171" s="17"/>
      <c r="AC171" s="17"/>
    </row>
    <row r="172" ht="12.7" customHeight="1">
      <c r="A172" t="s" s="18">
        <v>198</v>
      </c>
      <c r="B172" s="19">
        <v>400041</v>
      </c>
      <c r="C172" t="s" s="20">
        <v>199</v>
      </c>
      <c r="D172" t="s" s="21">
        <v>23</v>
      </c>
      <c r="E172" t="s" s="16">
        <f>A172&amp;D172</f>
        <v>201</v>
      </c>
      <c r="F172" s="22">
        <f>INDEX('Sales Actual'!$B$5:$B$70,MATCH($A172,'Sales Actual'!$A$5:$A$70,0))</f>
        <v>0</v>
      </c>
      <c r="G172" s="22">
        <f>INDEX('Sales Actual'!$D$5:$D$70,MATCH($A172,'Sales Actual'!$C$5:$C$70,0))</f>
        <v>0</v>
      </c>
      <c r="H172" s="22">
        <f>INDEX('Sales Actual'!$F$5:$F$70,MATCH($A172,'Sales Actual'!$E$5:$E$70,0))</f>
        <v>0</v>
      </c>
      <c r="I172" s="22">
        <f>INDEX('Sales Actual'!$H$5:$H$70,MATCH($A172,'Sales Actual'!$G$5:$G$70,0))</f>
        <v>0</v>
      </c>
      <c r="J172" s="22">
        <f>INDEX('Sales Actual'!$J$5:$J$70,MATCH($A172,'Sales Actual'!$I$5:$I$70,0))</f>
        <v>0</v>
      </c>
      <c r="K172" s="22">
        <f>INDEX('Sales Actual'!$L$5:$L$70,MATCH($A172,'Sales Actual'!$K$5:$K$70,0))</f>
        <v>0</v>
      </c>
      <c r="L172" s="22">
        <f>INDEX('Sales Actual'!$N$5:$N$70,MATCH($A172,'Sales Actual'!$M$5:$M$70,0))</f>
        <v>0</v>
      </c>
      <c r="M172" s="22">
        <f>INDEX('Sales Actual'!$P$5:$P$70,MATCH($A172,'Sales Actual'!$O$5:$O$70,0))</f>
        <v>0</v>
      </c>
      <c r="N172" s="22">
        <f>INDEX('Sales Actual'!$R$5:$R$70,MATCH($A172,'Sales Actual'!$Q$5:$Q$70,0))</f>
        <v>0</v>
      </c>
      <c r="O172" s="22">
        <f>INDEX('Sales Actual'!$T$5:$T$70,MATCH($A172,'Sales Actual'!$S$5:$S$70,0))</f>
        <v>0</v>
      </c>
      <c r="P172" s="22">
        <f>INDEX('Sales Actual'!$V$5:$V$70,MATCH($A172,'Sales Actual'!$U$5:$U$70,0))</f>
        <v>0</v>
      </c>
      <c r="Q172" s="22">
        <f>INDEX('Sales Actual'!$X$5:$X$70,MATCH($A172,'Sales Actual'!$W$5:$W$70,0))</f>
        <v>0</v>
      </c>
      <c r="R172" s="22"/>
      <c r="S172" s="22"/>
      <c r="T172" s="22"/>
      <c r="U172" s="22"/>
      <c r="V172" s="22"/>
      <c r="W172" s="22"/>
      <c r="X172" s="22"/>
      <c r="Y172" s="22"/>
      <c r="Z172" s="22"/>
      <c r="AA172" s="22"/>
      <c r="AB172" s="22"/>
      <c r="AC172" s="22"/>
    </row>
    <row r="173" ht="12.7" customHeight="1">
      <c r="A173" t="s" s="18">
        <v>198</v>
      </c>
      <c r="B173" s="19">
        <v>400041</v>
      </c>
      <c r="C173" t="s" s="20">
        <v>199</v>
      </c>
      <c r="D173" t="s" s="21">
        <v>25</v>
      </c>
      <c r="E173" t="s" s="23">
        <f>A173&amp;D173</f>
        <v>202</v>
      </c>
      <c r="F173" s="57"/>
      <c r="G173" s="58"/>
      <c r="H173" s="58"/>
      <c r="I173" s="58"/>
      <c r="J173" s="58"/>
      <c r="K173" s="58"/>
      <c r="L173" s="59"/>
      <c r="M173" s="22">
        <f>120*600</f>
        <v>72000</v>
      </c>
      <c r="N173" s="22">
        <v>0</v>
      </c>
      <c r="O173" s="22">
        <f t="shared" si="1052"/>
        <v>51600</v>
      </c>
      <c r="P173" s="22">
        <f>120*370</f>
        <v>44400</v>
      </c>
      <c r="Q173" s="22">
        <f>130*600</f>
        <v>78000</v>
      </c>
      <c r="R173" s="24">
        <v>0</v>
      </c>
      <c r="S173" s="24"/>
      <c r="T173" s="24"/>
      <c r="U173" s="24"/>
      <c r="V173" s="24"/>
      <c r="W173" s="24"/>
      <c r="X173" s="24"/>
      <c r="Y173" s="24"/>
      <c r="Z173" s="24"/>
      <c r="AA173" s="24"/>
      <c r="AB173" s="24"/>
      <c r="AC173" s="24"/>
    </row>
    <row r="174" ht="12.7" customHeight="1">
      <c r="A174" t="s" s="18">
        <v>198</v>
      </c>
      <c r="B174" s="19">
        <v>400041</v>
      </c>
      <c r="C174" t="s" s="20">
        <v>199</v>
      </c>
      <c r="D174" t="s" s="21">
        <v>27</v>
      </c>
      <c r="E174" t="s" s="23">
        <f>A174&amp;D174</f>
        <v>203</v>
      </c>
      <c r="F174" s="60"/>
      <c r="G174" s="61"/>
      <c r="H174" s="61"/>
      <c r="I174" s="61"/>
      <c r="J174" s="61"/>
      <c r="K174" s="61"/>
      <c r="L174" s="62"/>
      <c r="M174" s="22">
        <f>120*497</f>
        <v>59640</v>
      </c>
      <c r="N174" s="22">
        <f>160*0</f>
        <v>0</v>
      </c>
      <c r="O174" s="22">
        <f t="shared" si="1052"/>
        <v>51600</v>
      </c>
      <c r="P174" s="22">
        <f>P173</f>
        <v>44400</v>
      </c>
      <c r="Q174" s="22">
        <f>Q173</f>
        <v>78000</v>
      </c>
      <c r="R174" s="24">
        <f>R173</f>
        <v>0</v>
      </c>
      <c r="S174" s="24"/>
      <c r="T174" s="24"/>
      <c r="U174" s="24"/>
      <c r="V174" s="24"/>
      <c r="W174" s="24"/>
      <c r="X174" s="24"/>
      <c r="Y174" s="24"/>
      <c r="Z174" s="24"/>
      <c r="AA174" s="24"/>
      <c r="AB174" s="24"/>
      <c r="AC174" s="24"/>
    </row>
    <row r="175" ht="12.7" customHeight="1">
      <c r="A175" t="s" s="18">
        <v>198</v>
      </c>
      <c r="B175" s="19">
        <v>400041</v>
      </c>
      <c r="C175" t="s" s="20">
        <v>199</v>
      </c>
      <c r="D175" t="s" s="21">
        <v>29</v>
      </c>
      <c r="E175" t="s" s="16">
        <f>A175&amp;D175</f>
        <v>204</v>
      </c>
      <c r="F175" s="31"/>
      <c r="G175" s="32"/>
      <c r="H175" s="32"/>
      <c r="I175" s="32"/>
      <c r="J175" s="32"/>
      <c r="K175" s="32"/>
      <c r="L175" s="33"/>
      <c r="M175" s="22">
        <f>M174-M171</f>
        <v>59640</v>
      </c>
      <c r="N175" s="22">
        <f>M175+N174-(N171-N172)-N179</f>
        <v>59640</v>
      </c>
      <c r="O175" s="22">
        <f>N175+O174-(O171-O172)-O179</f>
        <v>111240</v>
      </c>
      <c r="P175" s="22">
        <f>O175+P174-(P171-P172)-P179</f>
        <v>155640</v>
      </c>
      <c r="Q175" s="22">
        <f>P175+Q174-(Q171-Q172)-Q179</f>
        <v>233640</v>
      </c>
      <c r="R175" s="22">
        <f>IF((Q175+R174-(R171-R172)-R179)&lt;0,0,(Q175+R174-(R171-R172)-R179))</f>
        <v>163440</v>
      </c>
      <c r="S175" s="22"/>
      <c r="T175" s="22"/>
      <c r="U175" s="22"/>
      <c r="V175" s="22"/>
      <c r="W175" s="22"/>
      <c r="X175" s="22"/>
      <c r="Y175" s="22"/>
      <c r="Z175" s="22"/>
      <c r="AA175" s="22"/>
      <c r="AB175" s="22"/>
      <c r="AC175" s="22"/>
    </row>
    <row r="176" ht="12.7" customHeight="1">
      <c r="A176" t="s" s="18">
        <v>198</v>
      </c>
      <c r="B176" s="19">
        <v>400041</v>
      </c>
      <c r="C176" t="s" s="20">
        <v>199</v>
      </c>
      <c r="D176" t="s" s="21">
        <v>31</v>
      </c>
      <c r="E176" t="s" s="16">
        <f>A176&amp;D176</f>
        <v>205</v>
      </c>
      <c r="F176" s="22">
        <f>INDEX('Actual Stock'!$B$5:$B$70,MATCH($A176,'Actual Stock'!$A$5:$A$70,0))</f>
        <v>0</v>
      </c>
      <c r="G176" s="22">
        <f>INDEX('Actual Stock'!$D$5:$D$70,MATCH($A176,'Actual Stock'!$C$5:$C$70,0))</f>
        <v>0</v>
      </c>
      <c r="H176" s="22">
        <f>INDEX('Actual Stock'!$F$5:$F$70,MATCH($A176,'Actual Stock'!$E$5:$E$70,0))</f>
        <v>0</v>
      </c>
      <c r="I176" s="22">
        <f>INDEX('Actual Stock'!$H$5:$H$70,MATCH($A176,'Actual Stock'!$G$5:$G$70,0))</f>
        <v>0</v>
      </c>
      <c r="J176" s="22">
        <f>INDEX('Actual Stock'!$J$5:$J$70,MATCH($A176,'Actual Stock'!$I$5:$I$70,0))</f>
        <v>0</v>
      </c>
      <c r="K176" s="22">
        <f>INDEX('Actual Stock'!$L$5:$L$70,MATCH($A176,'Actual Stock'!$K$5:$K$70,0))</f>
        <v>0</v>
      </c>
      <c r="L176" s="22">
        <f>INDEX('Actual Stock'!$N$5:$N$70,MATCH($A176,'Actual Stock'!$M$5:$M$70,0))</f>
        <v>0</v>
      </c>
      <c r="M176" s="22">
        <f>INDEX('Actual Stock'!$P$5:$P$70,MATCH($A176,'Actual Stock'!$O$5:$O$70,0))</f>
        <v>0</v>
      </c>
      <c r="N176" s="22">
        <f>INDEX('Actual Stock'!$R$5:$R$70,MATCH($A176,'Actual Stock'!$Q$5:$Q$70,0))</f>
        <v>0</v>
      </c>
      <c r="O176" s="22">
        <f>INDEX('Actual Stock'!$T$5:$T$70,MATCH($A176,'Actual Stock'!$S$5:$S$70,0))</f>
        <v>0</v>
      </c>
      <c r="P176" s="22">
        <f>INDEX('Actual Stock'!$V$5:$V$70,MATCH($A176,'Actual Stock'!$U$5:$U$70,0))</f>
        <v>0</v>
      </c>
      <c r="Q176" s="22">
        <f>INDEX('Actual Stock'!$X$5:$X$70,MATCH($A176,'Actual Stock'!$W$5:$W$70,0))</f>
        <v>0</v>
      </c>
      <c r="R176" s="22"/>
      <c r="S176" s="22"/>
      <c r="T176" s="22"/>
      <c r="U176" s="22"/>
      <c r="V176" s="22"/>
      <c r="W176" s="22"/>
      <c r="X176" s="22"/>
      <c r="Y176" s="22"/>
      <c r="Z176" s="22"/>
      <c r="AA176" s="22"/>
      <c r="AB176" s="22"/>
      <c r="AC176" s="22"/>
    </row>
    <row r="177" ht="12.7" customHeight="1">
      <c r="A177" t="s" s="18">
        <v>198</v>
      </c>
      <c r="B177" s="19">
        <v>400041</v>
      </c>
      <c r="C177" t="s" s="20">
        <v>199</v>
      </c>
      <c r="D177" t="s" s="21">
        <v>33</v>
      </c>
      <c r="E177" t="s" s="23">
        <f>A177&amp;D177</f>
        <v>206</v>
      </c>
      <c r="F177" s="25"/>
      <c r="G177" s="49"/>
      <c r="H177" s="49"/>
      <c r="I177" s="49"/>
      <c r="J177" s="49"/>
      <c r="K177" s="49"/>
      <c r="L177" s="49"/>
      <c r="M177" s="49"/>
      <c r="N177" s="49"/>
      <c r="O177" s="49"/>
      <c r="P177" s="49"/>
      <c r="Q177" s="47"/>
      <c r="R177" s="24">
        <f>IF((Q175+R174-(R171-R172)-R179)&gt;0,0,(Q175+R174-(R171-R172)-R179))</f>
        <v>0</v>
      </c>
      <c r="S177" s="24"/>
      <c r="T177" s="24"/>
      <c r="U177" s="24"/>
      <c r="V177" s="24"/>
      <c r="W177" s="24"/>
      <c r="X177" s="24"/>
      <c r="Y177" s="24"/>
      <c r="Z177" s="24"/>
      <c r="AA177" s="24"/>
      <c r="AB177" s="24"/>
      <c r="AC177" s="24"/>
    </row>
    <row r="178" ht="12.7" customHeight="1">
      <c r="A178" t="s" s="18">
        <v>198</v>
      </c>
      <c r="B178" s="19">
        <v>400041</v>
      </c>
      <c r="C178" t="s" s="20">
        <v>199</v>
      </c>
      <c r="D178" t="s" s="21">
        <v>35</v>
      </c>
      <c r="E178" t="s" s="23">
        <f>A178&amp;D178</f>
        <v>207</v>
      </c>
      <c r="F178" s="25">
        <f>INDEX('Issued by date'!$B$5:$B$70,MATCH($A178,'Issued by date'!$A$5:$A$70,0))</f>
        <v>0</v>
      </c>
      <c r="G178" s="26">
        <f>INDEX('Issued by date'!$D$5:$D$70,MATCH($A178,'Issued by date'!$C$5:$C$70,0))</f>
        <v>0</v>
      </c>
      <c r="H178" s="22">
        <f>INDEX('Issued by date'!$F$5:$F$70,MATCH($A178,'Issued by date'!$E$5:$E$70,0))</f>
        <v>0</v>
      </c>
      <c r="I178" s="22">
        <f>INDEX('Issued by date'!$H$5:$H$70,MATCH($A178,'Issued by date'!$G$5:$G$70,0))</f>
        <v>0</v>
      </c>
      <c r="J178" s="22">
        <f>INDEX('Issued by date'!$J$5:$J$70,MATCH($A178,'Issued by date'!$I$5:$I$70,0))</f>
        <v>0</v>
      </c>
      <c r="K178" s="22">
        <f>INDEX('Issued by date'!$L$5:$L$70,MATCH($A178,'Issued by date'!$K$5:$K$70,0))</f>
        <v>0</v>
      </c>
      <c r="L178" s="22">
        <f>INDEX('Issued by date'!$N$5:$N$70,MATCH($A178,'Issued by date'!$M$5:$M$70,0))</f>
        <v>0</v>
      </c>
      <c r="M178" s="22">
        <f>INDEX('Issued by date'!$P$5:$P$70,MATCH($A178,'Issued by date'!$O$5:$O$70,0))</f>
        <v>0</v>
      </c>
      <c r="N178" s="27">
        <f>INDEX('Issued by date'!$R$5:$R$70,MATCH($A178,'Issued by date'!$Q$5:$Q$70,0))</f>
        <v>0</v>
      </c>
      <c r="O178" s="28">
        <f>INDEX('Issued by date'!$F$5:$F$70,MATCH($A178,'Issued by date'!$E$5:$E$70,0))</f>
        <v>0</v>
      </c>
      <c r="P178" s="28">
        <f>INDEX('Issued by date'!$V$5:$V$70,MATCH($A178,'Issued by date'!$U$5:$U$70,0))</f>
        <v>0</v>
      </c>
      <c r="Q178" s="29">
        <f>INDEX('Issued by date'!$X$5:$X$70,MATCH($A178,'Issued by date'!$W$5:$W$70,0))</f>
        <v>0</v>
      </c>
      <c r="R178" s="24"/>
      <c r="S178" s="24"/>
      <c r="T178" s="24"/>
      <c r="U178" s="24"/>
      <c r="V178" s="24"/>
      <c r="W178" s="24"/>
      <c r="X178" s="24"/>
      <c r="Y178" s="24"/>
      <c r="Z178" s="24"/>
      <c r="AA178" s="24"/>
      <c r="AB178" s="24"/>
      <c r="AC178" s="24"/>
    </row>
    <row r="179" ht="12.7" customHeight="1">
      <c r="A179" t="s" s="18">
        <v>198</v>
      </c>
      <c r="B179" s="19">
        <v>400041</v>
      </c>
      <c r="C179" t="s" s="20">
        <v>199</v>
      </c>
      <c r="D179" t="s" s="21">
        <v>37</v>
      </c>
      <c r="E179" t="s" s="23">
        <f>A179&amp;D179</f>
        <v>208</v>
      </c>
      <c r="F179" s="22"/>
      <c r="G179" s="30"/>
      <c r="H179" s="57"/>
      <c r="I179" s="58"/>
      <c r="J179" s="58"/>
      <c r="K179" s="58"/>
      <c r="L179" s="58"/>
      <c r="M179" s="58"/>
      <c r="N179" s="32"/>
      <c r="O179" s="32"/>
      <c r="P179" s="32"/>
      <c r="Q179" s="33"/>
      <c r="R179" s="24"/>
      <c r="S179" s="24"/>
      <c r="T179" s="24"/>
      <c r="U179" s="24"/>
      <c r="V179" s="24"/>
      <c r="W179" s="24"/>
      <c r="X179" s="24"/>
      <c r="Y179" s="24"/>
      <c r="Z179" s="24"/>
      <c r="AA179" s="24"/>
      <c r="AB179" s="24"/>
      <c r="AC179" s="24"/>
    </row>
    <row r="180" ht="12.7" customHeight="1">
      <c r="A180" t="s" s="34">
        <v>198</v>
      </c>
      <c r="B180" s="35">
        <v>400041</v>
      </c>
      <c r="C180" t="s" s="36">
        <v>199</v>
      </c>
      <c r="D180" t="s" s="37">
        <v>39</v>
      </c>
      <c r="E180" t="s" s="15">
        <f>A180&amp;D180</f>
        <v>209</v>
      </c>
      <c r="F180" s="57"/>
      <c r="G180" s="58"/>
      <c r="H180" s="61"/>
      <c r="I180" s="61"/>
      <c r="J180" s="61"/>
      <c r="K180" s="61"/>
      <c r="L180" s="61"/>
      <c r="M180" s="62"/>
      <c r="N180" s="38">
        <f>IFERROR(N175/AVERAGE(O171:P171)*30,0)</f>
        <v>0</v>
      </c>
      <c r="O180" s="38">
        <f>IFERROR(O175/AVERAGE(P171:Q171)*30,0)</f>
        <v>0</v>
      </c>
      <c r="P180" s="38">
        <f>IFERROR(P175/AVERAGE(Q171:R171)*30,0)</f>
        <v>133.025641025641</v>
      </c>
      <c r="Q180" s="38">
        <f>IFERROR(Q175/AVERAGE(R171:S171)*30,0)</f>
        <v>165.7021276595745</v>
      </c>
      <c r="R180" s="38">
        <f>IFERROR(R175/AVERAGE(S171:T171)*30,0)</f>
        <v>340.5</v>
      </c>
      <c r="S180" s="38"/>
      <c r="T180" s="38"/>
      <c r="U180" s="38"/>
      <c r="V180" s="38"/>
      <c r="W180" s="38"/>
      <c r="X180" s="38"/>
      <c r="Y180" s="38"/>
      <c r="Z180" s="38"/>
      <c r="AA180" s="38"/>
      <c r="AB180" s="38"/>
      <c r="AC180" s="38"/>
    </row>
    <row r="181" ht="12" customHeight="1">
      <c r="A181" s="39"/>
      <c r="B181" s="40"/>
      <c r="C181" s="40"/>
      <c r="D181" s="40"/>
      <c r="E181" s="65"/>
      <c r="F181" s="64"/>
      <c r="G181" s="64"/>
      <c r="H181" s="64"/>
      <c r="I181" s="64"/>
      <c r="J181" s="64"/>
      <c r="K181" s="64"/>
      <c r="L181" s="64"/>
      <c r="M181" s="64"/>
      <c r="N181" s="40"/>
      <c r="O181" s="40"/>
      <c r="P181" s="40"/>
      <c r="Q181" s="40"/>
      <c r="R181" s="40"/>
      <c r="S181" s="40"/>
      <c r="T181" s="40"/>
      <c r="U181" s="40"/>
      <c r="V181" s="40"/>
      <c r="W181" s="40"/>
      <c r="X181" s="40"/>
      <c r="Y181" s="40"/>
      <c r="Z181" s="40"/>
      <c r="AA181" s="40"/>
      <c r="AB181" s="40"/>
      <c r="AC181" s="43"/>
    </row>
    <row r="182" ht="13.5" customHeight="1">
      <c r="A182" t="s" s="8">
        <v>210</v>
      </c>
      <c r="B182" s="40"/>
      <c r="C182" s="10"/>
      <c r="D182" t="s" s="9">
        <v>7</v>
      </c>
      <c r="E182" s="10"/>
      <c r="F182" t="s" s="9">
        <v>8</v>
      </c>
      <c r="G182" t="s" s="9">
        <v>9</v>
      </c>
      <c r="H182" t="s" s="9">
        <v>10</v>
      </c>
      <c r="I182" t="s" s="9">
        <v>11</v>
      </c>
      <c r="J182" t="s" s="9">
        <v>1</v>
      </c>
      <c r="K182" t="s" s="9">
        <v>12</v>
      </c>
      <c r="L182" t="s" s="9">
        <v>13</v>
      </c>
      <c r="M182" t="s" s="9">
        <v>14</v>
      </c>
      <c r="N182" t="s" s="9">
        <v>15</v>
      </c>
      <c r="O182" t="s" s="9">
        <v>16</v>
      </c>
      <c r="P182" t="s" s="9">
        <v>17</v>
      </c>
      <c r="Q182" t="s" s="9">
        <v>18</v>
      </c>
      <c r="R182" t="s" s="9">
        <v>8</v>
      </c>
      <c r="S182" t="s" s="9">
        <v>9</v>
      </c>
      <c r="T182" t="s" s="9">
        <v>10</v>
      </c>
      <c r="U182" t="s" s="9">
        <v>11</v>
      </c>
      <c r="V182" t="s" s="9">
        <v>1</v>
      </c>
      <c r="W182" t="s" s="9">
        <v>12</v>
      </c>
      <c r="X182" t="s" s="9">
        <v>13</v>
      </c>
      <c r="Y182" t="s" s="9">
        <v>14</v>
      </c>
      <c r="Z182" t="s" s="9">
        <v>15</v>
      </c>
      <c r="AA182" t="s" s="9">
        <v>16</v>
      </c>
      <c r="AB182" t="s" s="9">
        <v>17</v>
      </c>
      <c r="AC182" t="s" s="11">
        <v>18</v>
      </c>
    </row>
    <row r="183" ht="12.7" customHeight="1">
      <c r="A183" s="66"/>
      <c r="B183" s="67"/>
      <c r="C183" s="68"/>
      <c r="D183" t="s" s="15">
        <v>21</v>
      </c>
      <c r="E183" s="69"/>
      <c r="F183" s="17">
        <f>SUM(F147,F135,F123,F111,F99,F87,F75,F63,F51,F39,F27,F15,F3,F171,F159)</f>
        <v>260540</v>
      </c>
      <c r="G183" s="17">
        <f>SUM(G147,G135,G123,G111,G99,G87,G75,G63,G51,G39,G27,G15,G3,G171,G159)</f>
        <v>138350</v>
      </c>
      <c r="H183" s="17">
        <f>SUM(H147,H135,H123,H111,H99,H87,H75,H63,H51,H39,H27,H15,H3,H171,H159)</f>
        <v>128596</v>
      </c>
      <c r="I183" s="17">
        <f>SUM(I147,I135,I123,I111,I99,I87,I75,I63,I51,I39,I27,I15,I3,I171,I159)</f>
        <v>102592</v>
      </c>
      <c r="J183" s="17">
        <f>SUM(J147,J135,J123,J111,J99,J87,J75,J63,J51,J39,J27,J15,J3,J171,J159)</f>
        <v>93070</v>
      </c>
      <c r="K183" s="17">
        <f>SUM(K147,K135,K123,K111,K99,K87,K75,K63,K51,K39,K27,K15,K3,K171,K159)</f>
        <v>84008</v>
      </c>
      <c r="L183" s="17">
        <f>SUM(L147,L135,L123,L111,L99,L87,L75,L63,L51,L39,L27,L15,L3,L171,L159)</f>
        <v>93149</v>
      </c>
      <c r="M183" s="17">
        <f>SUM(M147,M135,M123,M111,M99,M87,M75,M63,M51,M39,M27,M15,M3,M171,M159)</f>
        <v>172771</v>
      </c>
      <c r="N183" s="17">
        <f>SUM(N147,N135,N123,N111,N99,N87,N75,N63,N51,N39,N27,N15,N3,N171,N159)</f>
        <v>222370</v>
      </c>
      <c r="O183" s="17">
        <f>SUM(O147,O135,O123,O111,O99,O87,O75,O63,O51,O39,O27,O15,O3,O171,O159)</f>
        <v>356262</v>
      </c>
      <c r="P183" s="17">
        <f>SUM(P147,P135,P123,P111,P99,P87,P75,P63,P51,P39,P27,P15,P3,P171,P159)</f>
        <v>304930</v>
      </c>
      <c r="Q183" s="17">
        <f>SUM(Q147,Q135,Q123,Q111,Q99,Q87,Q75,Q63,Q51,Q39,Q27,Q15,Q3,Q171,Q159)</f>
        <v>284640</v>
      </c>
      <c r="R183" s="17">
        <f>SUM(R147,R135,R123,R111,R99,R87,R75,R63,R51,R39,R27,R15,R3,R171,R159)</f>
        <v>510055.20414</v>
      </c>
      <c r="S183" s="17"/>
      <c r="T183" s="17"/>
      <c r="U183" s="17"/>
      <c r="V183" s="17"/>
      <c r="W183" s="17"/>
      <c r="X183" s="17"/>
      <c r="Y183" s="17"/>
      <c r="Z183" s="17"/>
      <c r="AA183" s="17"/>
      <c r="AB183" s="17"/>
      <c r="AC183" s="17"/>
    </row>
    <row r="184" ht="12.7" customHeight="1">
      <c r="A184" s="70"/>
      <c r="B184" s="71"/>
      <c r="C184" s="72"/>
      <c r="D184" t="s" s="21">
        <v>23</v>
      </c>
      <c r="E184" s="73"/>
      <c r="F184" s="22">
        <f>SUM(F148,F136,F124,F112,F100,F88,F76,F64,F52,F40,F28,F16,F4,F172,F160)</f>
        <v>191549</v>
      </c>
      <c r="G184" s="22">
        <f>SUM(G148,G136,G124,G112,G100,G88,G76,G64,G52,G40,G28,G16,G4,G172,G160)</f>
        <v>128866</v>
      </c>
      <c r="H184" s="22">
        <f>SUM(H148,H136,H124,H112,H100,H88,H76,H64,H52,H40,H28,H16,H4,H172,H160)</f>
        <v>140547</v>
      </c>
      <c r="I184" s="22">
        <f>SUM(I148,I136,I124,I112,I100,I88,I76,I64,I52,I40,I28,I16,I4,I172,I160)</f>
        <v>0</v>
      </c>
      <c r="J184" s="22">
        <f>SUM(J148,J136,J124,J112,J100,J88,J76,J64,J52,J40,J28,J16,J4,J172,J160)</f>
        <v>0</v>
      </c>
      <c r="K184" s="22">
        <f>SUM(K148,K136,K124,K112,K100,K88,K76,K64,K52,K40,K28,K16,K4,K172,K160)</f>
        <v>0</v>
      </c>
      <c r="L184" s="22">
        <f>SUM(L148,L136,L124,L112,L100,L88,L76,L64,L52,L40,L28,L16,L4,L172,L160)</f>
        <v>0</v>
      </c>
      <c r="M184" s="22">
        <f>SUM(M148,M136,M124,M112,M100,M88,M76,M64,M52,M40,M28,M16,M4,M172,M160)</f>
        <v>0</v>
      </c>
      <c r="N184" s="22">
        <f>SUM(N148,N136,N124,N112,N100,N88,N76,N64,N52,N40,N28,N16,N4,N172,N160)</f>
        <v>0</v>
      </c>
      <c r="O184" s="22">
        <f>SUM(O148,O136,O124,O112,O100,O88,O76,O64,O52,O40,O28,O16,O4,O172,O160)</f>
        <v>0</v>
      </c>
      <c r="P184" s="22">
        <f>SUM(P148,P136,P124,P112,P100,P88,P76,P64,P52,P40,P28,P16,P4,P172,P160)</f>
        <v>0</v>
      </c>
      <c r="Q184" s="22">
        <f>SUM(Q148,Q136,Q124,Q112,Q100,Q88,Q76,Q64,Q52,Q40,Q28,Q16,Q4,Q172,Q160)</f>
        <v>0</v>
      </c>
      <c r="R184" s="22">
        <f>SUM(R148,R136,R124,R112,R100,R88,R76,R64,R52,R40,R28,R16,R4,R172,R160)</f>
        <v>0</v>
      </c>
      <c r="S184" s="22"/>
      <c r="T184" s="22"/>
      <c r="U184" s="22"/>
      <c r="V184" s="22"/>
      <c r="W184" s="22"/>
      <c r="X184" s="22"/>
      <c r="Y184" s="22"/>
      <c r="Z184" s="22"/>
      <c r="AA184" s="22"/>
      <c r="AB184" s="22"/>
      <c r="AC184" s="22"/>
    </row>
    <row r="185" ht="12.7" customHeight="1">
      <c r="A185" s="70"/>
      <c r="B185" s="71"/>
      <c r="C185" s="72"/>
      <c r="D185" t="s" s="21">
        <v>25</v>
      </c>
      <c r="E185" s="73"/>
      <c r="F185" s="22">
        <f>SUM(F149,F137,F125,F113,F101,F89,F77,F65,F53,F41,F29,F17,F5,F173,F161)</f>
        <v>68280</v>
      </c>
      <c r="G185" s="22">
        <f>SUM(G149,G137,G125,G113,G101,G89,G77,G65,G53,G41,G29,G17,G5,G173,G161)</f>
        <v>57408</v>
      </c>
      <c r="H185" s="22">
        <f>SUM(H149,H137,H125,H113,H101,H89,H77,H65,H53,H41,H29,H17,H5,H173,H161)</f>
        <v>68640</v>
      </c>
      <c r="I185" s="22">
        <f>SUM(I149,I137,I125,I113,I101,I89,I77,I65,I53,I41,I29,I17,I5,I173,I161)</f>
        <v>120480</v>
      </c>
      <c r="J185" s="22">
        <f>SUM(J149,J137,J125,J113,J101,J89,J77,J65,J53,J41,J29,J17,J5,J173,J161)</f>
        <v>78828</v>
      </c>
      <c r="K185" s="22">
        <f>SUM(K149,K137,K125,K113,K101,K89,K77,K65,K53,K41,K29,K17,K5,K173,K161)</f>
        <v>76800</v>
      </c>
      <c r="L185" s="22">
        <f>SUM(L149,L137,L125,L113,L101,L89,L77,L65,L53,L41,L29,L17,L5,L173,L161)</f>
        <v>40128</v>
      </c>
      <c r="M185" s="22">
        <f>SUM(M149,M137,M125,M113,M101,M89,M77,M65,M53,M41,M29,M17,M5,M173,M161)</f>
        <v>191080</v>
      </c>
      <c r="N185" s="22">
        <f>SUM(N149,N137,N125,N113,N101,N89,N77,N65,N53,N41,N29,N17,N5,N173,N161)</f>
        <v>385200</v>
      </c>
      <c r="O185" s="22">
        <f>SUM(O149,O137,O125,O113,O101,O89,O77,O65,O53,O41,O29,O17,O5,O173,O161)</f>
        <v>470736</v>
      </c>
      <c r="P185" s="22">
        <f>SUM(P149,P137,P125,P113,P101,P89,P77,P65,P53,P41,P29,P17,P5,P173,P161)</f>
        <v>394920</v>
      </c>
      <c r="Q185" s="22">
        <f>SUM(Q149,Q137,Q125,Q113,Q101,Q89,Q77,Q65,Q53,Q41,Q29,Q17,Q5,Q173,Q161)</f>
        <v>494040</v>
      </c>
      <c r="R185" s="24">
        <f>SUM(R149,R137,R125,R113,R101,R89,R77,R65,R53,R41,R29,R17,R5,R173,R161)</f>
        <v>0</v>
      </c>
      <c r="S185" s="24"/>
      <c r="T185" s="24"/>
      <c r="U185" s="24"/>
      <c r="V185" s="24"/>
      <c r="W185" s="24"/>
      <c r="X185" s="24"/>
      <c r="Y185" s="24"/>
      <c r="Z185" s="24"/>
      <c r="AA185" s="24"/>
      <c r="AB185" s="24"/>
      <c r="AC185" s="24"/>
    </row>
    <row r="186" ht="12.7" customHeight="1">
      <c r="A186" s="70"/>
      <c r="B186" s="71"/>
      <c r="C186" s="72"/>
      <c r="D186" t="s" s="21">
        <v>27</v>
      </c>
      <c r="E186" s="73"/>
      <c r="F186" s="22">
        <f>SUM(F150,F138,F126,F114,F102,F90,F78,F66,F54,F42,F30,F18,F6,F174,F162)</f>
        <v>57960</v>
      </c>
      <c r="G186" s="22">
        <f>SUM(G150,G138,G126,G114,G102,G90,G78,G66,G54,G42,G30,G18,G6,G174,G162)</f>
        <v>62544</v>
      </c>
      <c r="H186" s="22">
        <f>SUM(H150,H138,H126,H114,H102,H90,H78,H66,H54,H42,H30,H18,H6,H174,H162)</f>
        <v>72576</v>
      </c>
      <c r="I186" s="22">
        <f>SUM(I150,I138,I126,I114,I102,I90,I78,I66,I54,I42,I30,I18,I6,I174,I162)</f>
        <v>120948</v>
      </c>
      <c r="J186" s="22">
        <f>SUM(J150,J138,J126,J114,J102,J90,J78,J66,J54,J42,J30,J18,J6,J174,J162)</f>
        <v>81024</v>
      </c>
      <c r="K186" s="22">
        <f>SUM(K150,K138,K126,K114,K102,K90,K78,K66,K54,K42,K30,K18,K6,K174,K162)</f>
        <v>77388</v>
      </c>
      <c r="L186" s="22">
        <f>SUM(L150,L138,L126,L114,L102,L90,L78,L66,L54,L42,L30,L18,L6,L174,L162)</f>
        <v>47112</v>
      </c>
      <c r="M186" s="22">
        <f>SUM(M150,M138,M126,M114,M102,M90,M78,M66,M54,M42,M30,M18,M6,M174,M162)</f>
        <v>194328</v>
      </c>
      <c r="N186" s="22">
        <f>SUM(N150,N138,N126,N114,N102,N90,N78,N66,N54,N42,N30,N18,N6,N174,N162)</f>
        <v>358536</v>
      </c>
      <c r="O186" s="22">
        <f>SUM(O150,O138,O126,O114,O102,O90,O78,O66,O54,O42,O30,O18,O6,O174,O162)</f>
        <v>474552</v>
      </c>
      <c r="P186" s="22">
        <f>SUM(P150,P138,P126,P114,P102,P90,P78,P66,P54,P42,P30,P18,P6,P174,P162)</f>
        <v>394920</v>
      </c>
      <c r="Q186" s="22">
        <f>SUM(Q150,Q138,Q126,Q114,Q102,Q90,Q78,Q66,Q54,Q42,Q30,Q18,Q6,Q174,Q162)</f>
        <v>494040</v>
      </c>
      <c r="R186" s="24">
        <f>SUM(R150,R138,R126,R114,R102,R90,R78,R66,R54,R42,R30,R18,R6,R174,R162)</f>
        <v>0</v>
      </c>
      <c r="S186" s="24"/>
      <c r="T186" s="24"/>
      <c r="U186" s="24"/>
      <c r="V186" s="24"/>
      <c r="W186" s="24"/>
      <c r="X186" s="24"/>
      <c r="Y186" s="24"/>
      <c r="Z186" s="24"/>
      <c r="AA186" s="24"/>
      <c r="AB186" s="24"/>
      <c r="AC186" s="24"/>
    </row>
    <row r="187" ht="12.7" customHeight="1">
      <c r="A187" s="70"/>
      <c r="B187" s="71"/>
      <c r="C187" s="72"/>
      <c r="D187" t="s" s="21">
        <v>29</v>
      </c>
      <c r="E187" s="73"/>
      <c r="F187" s="22">
        <f>SUM(F151,F139,F127,F115,F103,F91,F79,F67,F55,F43,F31,F19,F7,F175,F163)</f>
        <v>476497.2</v>
      </c>
      <c r="G187" s="22">
        <f>SUM(G151,G139,G127,G115,G103,G91,G79,G67,G55,G43,G31,G19,G7,G175,G163)</f>
        <v>605770</v>
      </c>
      <c r="H187" s="22">
        <f>SUM(H151,H139,H127,H115,H103,H91,H79,H67,H55,H43,H31,H19,H7,H175,H163)</f>
        <v>384724</v>
      </c>
      <c r="I187" s="22">
        <f>SUM(I151,I139,I127,I115,I103,I91,I79,I67,I55,I43,I31,I19,I7,I175,I163)</f>
        <v>204737</v>
      </c>
      <c r="J187" s="22">
        <f>SUM(J151,J139,J127,J115,J103,J91,J79,J67,J55,J43,J31,J19,J7,J175,J163)</f>
        <v>138947</v>
      </c>
      <c r="K187" s="22">
        <f>SUM(K151,K139,K127,K115,K103,K91,K79,K67,K55,K43,K31,K19,K7,K175,K163)</f>
        <v>137899</v>
      </c>
      <c r="L187" s="22">
        <f>SUM(L151,L139,L127,L115,L103,L91,L79,L67,L55,L43,L31,L19,L7,L175,L163)</f>
        <v>101456</v>
      </c>
      <c r="M187" s="22">
        <f>SUM(M151,M139,M127,M115,M103,M91,M79,M67,M55,M43,M31,M19,M7,M175,M163)</f>
        <v>150100</v>
      </c>
      <c r="N187" s="22">
        <f>SUM(N151,N139,N127,N115,N103,N91,N79,N67,N55,N43,N31,N19,N7,N175,N163)</f>
        <v>286266</v>
      </c>
      <c r="O187" s="22">
        <f>SUM(O151,O139,O127,O115,O103,O91,O79,O67,O55,O43,O31,O19,O7,O175,O163)</f>
        <v>408193</v>
      </c>
      <c r="P187" s="22">
        <f>SUM(P151,P139,P127,P115,P103,P91,P79,P67,P55,P43,P31,P19,P7,P175,P163)</f>
        <v>498183</v>
      </c>
      <c r="Q187" s="22">
        <f>SUM(Q151,Q139,Q127,Q115,Q103,Q91,Q79,Q67,Q55,Q43,Q31,Q19,Q7,Q175,Q163)</f>
        <v>707583</v>
      </c>
      <c r="R187" s="22">
        <f>SUM(R151,R139,R127,R115,R103,R91,R79,R67,R55,R43,R31,R19,R7,R175,R163)</f>
        <v>327050.73844</v>
      </c>
      <c r="S187" s="22"/>
      <c r="T187" s="22"/>
      <c r="U187" s="22"/>
      <c r="V187" s="22"/>
      <c r="W187" s="22"/>
      <c r="X187" s="22"/>
      <c r="Y187" s="22"/>
      <c r="Z187" s="22"/>
      <c r="AA187" s="22"/>
      <c r="AB187" s="22"/>
      <c r="AC187" s="22"/>
    </row>
    <row r="188" ht="12.7" customHeight="1">
      <c r="A188" s="70"/>
      <c r="B188" s="71"/>
      <c r="C188" s="72"/>
      <c r="D188" t="s" s="21">
        <v>31</v>
      </c>
      <c r="E188" s="73"/>
      <c r="F188" s="22">
        <f>SUM(F152,F140,F128,F116,F104,F92,F80,F68,F56,F44,F32,F20,F8,F176,F164)</f>
        <v>619052</v>
      </c>
      <c r="G188" s="22">
        <f>SUM(G152,G140,G128,G116,G104,G92,G80,G68,G56,G44,G32,G20,G8,G176,G164)</f>
        <v>332157</v>
      </c>
      <c r="H188" s="22">
        <f>SUM(H152,H140,H128,H116,H104,H92,H80,H68,H56,H44,H32,H20,H8,H176,H164)</f>
        <v>348394</v>
      </c>
      <c r="I188" s="22">
        <f>SUM(I152,I140,I128,I116,I104,I92,I80,I68,I56,I44,I32,I20,I8,I176,I164)</f>
        <v>0</v>
      </c>
      <c r="J188" s="22">
        <f>SUM(J152,J140,J128,J116,J104,J92,J80,J68,J56,J44,J32,J20,J8,J176,J164)</f>
        <v>0</v>
      </c>
      <c r="K188" s="22">
        <f>SUM(K152,K140,K128,K116,K104,K92,K80,K68,K56,K44,K32,K20,K8,K176,K164)</f>
        <v>0</v>
      </c>
      <c r="L188" s="22">
        <f>SUM(L152,L140,L128,L116,L104,L92,L80,L68,L56,L44,L32,L20,L8,L176,L164)</f>
        <v>0</v>
      </c>
      <c r="M188" s="22">
        <f>SUM(M152,M140,M128,M116,M104,M92,M80,M68,M56,M44,M32,M20,M8,M176,M164)</f>
        <v>0</v>
      </c>
      <c r="N188" s="22">
        <f>SUM(N152,N140,N128,N116,N104,N92,N80,N68,N56,N44,N32,N20,N8,N176,N164)</f>
        <v>0</v>
      </c>
      <c r="O188" s="22">
        <f>SUM(O152,O140,O128,O116,O104,O92,O80,O68,O56,O44,O32,O20,O8,O176,O164)</f>
        <v>0</v>
      </c>
      <c r="P188" s="22">
        <f>SUM(P152,P140,P128,P116,P104,P92,P80,P68,P56,P44,P32,P20,P8,P176,P164)</f>
        <v>0</v>
      </c>
      <c r="Q188" s="22">
        <f>SUM(Q152,Q140,Q128,Q116,Q104,Q92,Q80,Q68,Q56,Q44,Q32,Q20,Q8,Q176,Q164)</f>
        <v>0</v>
      </c>
      <c r="R188" s="22">
        <f>SUM(R151,R139,R127,R115,R103,R91,R79,R67,R55,R43,R31,R19,R7,R176,R164)</f>
        <v>2570.738440000001</v>
      </c>
      <c r="S188" s="22"/>
      <c r="T188" s="22"/>
      <c r="U188" s="22"/>
      <c r="V188" s="22"/>
      <c r="W188" s="22"/>
      <c r="X188" s="22"/>
      <c r="Y188" s="22"/>
      <c r="Z188" s="22"/>
      <c r="AA188" s="22"/>
      <c r="AB188" s="22"/>
      <c r="AC188" s="22"/>
    </row>
    <row r="189" ht="12.7" customHeight="1">
      <c r="A189" s="70"/>
      <c r="B189" s="71"/>
      <c r="C189" s="72"/>
      <c r="D189" t="s" s="21">
        <v>33</v>
      </c>
      <c r="E189" s="73"/>
      <c r="F189" s="22">
        <f>SUM(F153,F141,F129,F117,F105,F93,F81,F69,F57,F45,F33,F21,F9,F177,F165)</f>
        <v>0</v>
      </c>
      <c r="G189" s="22">
        <f>SUM(G153,G141,G129,G117,G105,G93,G81,G69,G57,G45,G33,G21,G9,G177,G165)</f>
        <v>0</v>
      </c>
      <c r="H189" s="22">
        <f>SUM(H153,H141,H129,H117,H105,H93,H81,H69,H57,H45,H33,H21,H9,H177,H165)</f>
        <v>0</v>
      </c>
      <c r="I189" s="22">
        <f>SUM(I153,I141,I129,I117,I105,I93,I81,I69,I57,I45,I33,I21,I9,I177,I165)</f>
        <v>-251</v>
      </c>
      <c r="J189" s="22">
        <f>SUM(J153,J141,J129,J117,J105,J93,J81,J69,J57,J45,J33,J21,J9,J177,J165)</f>
        <v>-803</v>
      </c>
      <c r="K189" s="22">
        <f>SUM(K153,K141,K129,K117,K105,K93,K81,K69,K57,K45,K33,K21,K9,K177,K165)</f>
        <v>-5572</v>
      </c>
      <c r="L189" s="22">
        <f>SUM(L153,L141,L129,L117,L105,L93,L81,L69,L57,L45,L33,L21,L9,L177,L165)</f>
        <v>-9594</v>
      </c>
      <c r="M189" s="22">
        <f>SUM(M153,M141,M129,M117,M105,M93,M81,M69,M57,M45,M33,M21,M9,M177,M165)</f>
        <v>-28511</v>
      </c>
      <c r="N189" s="22">
        <f>SUM(N153,N141,N129,N117,N105,N93,N81,N69,N57,N45,N33,N21,N9,N177,N165)</f>
        <v>0</v>
      </c>
      <c r="O189" s="22">
        <f>SUM(O153,O141,O129,O117,O105,O93,O81,O69,O57,O45,O33,O21,O9,O177,O165)</f>
        <v>-3637</v>
      </c>
      <c r="P189" s="22">
        <f>SUM(P153,P141,P129,P117,P105,P93,P81,P69,P57,P45,P33,P21,P9,P177,P165)</f>
        <v>0</v>
      </c>
      <c r="Q189" s="22">
        <f>SUM(Q153,Q141,Q129,Q117,Q105,Q93,Q81,Q69,Q57,Q45,Q33,Q21,Q9,Q177,Q165)</f>
        <v>0</v>
      </c>
      <c r="R189" s="24">
        <f>SUM(R152,R140,R128,R116,R104,R92,R80,R68,R56,R44,R32,R20,R8,R177,R165)</f>
        <v>0</v>
      </c>
      <c r="S189" s="24"/>
      <c r="T189" s="24"/>
      <c r="U189" s="24"/>
      <c r="V189" s="24"/>
      <c r="W189" s="24"/>
      <c r="X189" s="24"/>
      <c r="Y189" s="24"/>
      <c r="Z189" s="24"/>
      <c r="AA189" s="24"/>
      <c r="AB189" s="24"/>
      <c r="AC189" s="24"/>
    </row>
    <row r="190" ht="12.7" customHeight="1">
      <c r="A190" s="70"/>
      <c r="B190" s="71"/>
      <c r="C190" s="72"/>
      <c r="D190" t="s" s="21">
        <v>35</v>
      </c>
      <c r="E190" s="73"/>
      <c r="F190" s="22">
        <f>SUM(F154,F142,F130,F118,F106,F94,F82,F70,F58,F46,F34,F22,F10,F178,F166)</f>
        <v>0</v>
      </c>
      <c r="G190" s="22">
        <f>SUM(G154,G142,G130,G118,G106,G94,G82,G70,G58,G46,G34,G22,G10,G178,G166)</f>
        <v>39621</v>
      </c>
      <c r="H190" s="22">
        <f>SUM(H154,H142,H130,H118,H106,H94,H82,H70,H58,H46,H34,H22,H10,H178,H166)</f>
        <v>24064</v>
      </c>
      <c r="I190" s="22">
        <f>SUM(I154,I142,I130,I118,I106,I94,I82,I70,I58,I46,I34,I22,I10,I178,I166)</f>
        <v>197446</v>
      </c>
      <c r="J190" s="22">
        <f>SUM(J154,J142,J130,J118,J106,J94,J82,J70,J58,J46,J34,J22,J10,J178,J166)</f>
        <v>101441</v>
      </c>
      <c r="K190" s="22">
        <f>SUM(K154,K142,K130,K118,K106,K94,K82,K70,K58,K46,K34,K22,K10,K178,K166)</f>
        <v>18593</v>
      </c>
      <c r="L190" s="22">
        <f>SUM(L154,L142,L130,L118,L106,L94,L82,L70,L58,L46,L34,L22,L10,L178,L166)</f>
        <v>988</v>
      </c>
      <c r="M190" s="22">
        <f>SUM(M154,M142,M130,M118,M106,M94,M82,M70,M58,M46,M34,M22,M10,M178,M166)</f>
        <v>25799</v>
      </c>
      <c r="N190" s="22">
        <f>SUM(N154,N142,N130,N118,N106,N94,N82,N70,N58,N46,N34,N22,N10,N178,N166)</f>
        <v>1600</v>
      </c>
      <c r="O190" s="22">
        <f>SUM(O154,O142,O130,O118,O106,O94,O82,O70,O58,O46,O34,O22,O10,O178,O166)</f>
        <v>24064</v>
      </c>
      <c r="P190" s="22">
        <f>SUM(P154,P142,P130,P118,P106,P94,P82,P70,P58,P46,P34,P22,P10,P178,P166)</f>
        <v>0</v>
      </c>
      <c r="Q190" s="22">
        <f>SUM(Q154,Q142,Q130,Q118,Q106,Q94,Q82,Q70,Q58,Q46,Q34,Q22,Q10,Q178,Q166)</f>
        <v>0</v>
      </c>
      <c r="R190" s="24">
        <f>SUM(R153,R141,R129,R117,R105,R93,R81,R69,R57,R45,R33,R21,R9,R178,R166)</f>
        <v>-129522.94258</v>
      </c>
      <c r="S190" s="24"/>
      <c r="T190" s="24"/>
      <c r="U190" s="24"/>
      <c r="V190" s="24"/>
      <c r="W190" s="24"/>
      <c r="X190" s="24"/>
      <c r="Y190" s="24"/>
      <c r="Z190" s="24"/>
      <c r="AA190" s="24"/>
      <c r="AB190" s="24"/>
      <c r="AC190" s="24"/>
    </row>
    <row r="191" ht="12.7" customHeight="1">
      <c r="A191" s="70"/>
      <c r="B191" s="71"/>
      <c r="C191" s="72"/>
      <c r="D191" t="s" s="21">
        <v>37</v>
      </c>
      <c r="E191" s="73"/>
      <c r="F191" s="22">
        <f>SUM(F155,F143,F131,F119,F107,F95,F83,F71,F59,F47,F35,F23,F11,F179,F167)</f>
        <v>0</v>
      </c>
      <c r="G191" s="22">
        <f>SUM(G155,G143,G131,G119,G107,G95,G83,G71,G59,G47,G35,G23,G11,G179,G167)</f>
        <v>6556</v>
      </c>
      <c r="H191" s="22">
        <f>SUM(H155,H143,H131,H119,H107,H95,H83,H71,H59,H47,H35,H23,H11,H179,H167)</f>
        <v>31960</v>
      </c>
      <c r="I191" s="22">
        <f>SUM(I155,I143,I131,I119,I107,I95,I83,I71,I59,I47,I35,I23,I11,I179,I167)</f>
        <v>163454</v>
      </c>
      <c r="J191" s="22">
        <f>SUM(J155,J143,J131,J119,J107,J95,J83,J71,J59,J47,J35,J23,J11,J179,J167)</f>
        <v>54547</v>
      </c>
      <c r="K191" s="22">
        <f>SUM(K155,K143,K131,K119,K107,K95,K83,K71,K59,K47,K35,K23,K11,K179,K167)</f>
        <v>0</v>
      </c>
      <c r="L191" s="22">
        <f>SUM(L155,L143,L131,L119,L107,L95,L83,L71,L59,L47,L35,L23,L11,L179,L167)</f>
        <v>0</v>
      </c>
      <c r="M191" s="22">
        <f>SUM(M155,M143,M131,M119,M107,M95,M83,M71,M59,M47,M35,M23,M11,M179,M167)</f>
        <v>0</v>
      </c>
      <c r="N191" s="22">
        <f>SUM(N155,N143,N131,N119,N107,N95,N83,N71,N59,N47,N35,N23,N11,N179,N167)</f>
        <v>0</v>
      </c>
      <c r="O191" s="22">
        <f>SUM(O155,O143,O131,O119,O107,O95,O83,O71,O59,O47,O35,O23,O11,O179,O167)</f>
        <v>0</v>
      </c>
      <c r="P191" s="22">
        <f>SUM(P155,P143,P131,P119,P107,P95,P83,P71,P59,P47,P35,P23,P11,P179,P167)</f>
        <v>0</v>
      </c>
      <c r="Q191" s="22">
        <f>SUM(Q155,Q143,Q131,Q119,Q107,Q95,Q83,Q71,Q59,Q47,Q35,Q23,Q11,Q179,Q167)</f>
        <v>0</v>
      </c>
      <c r="R191" s="24">
        <f>SUM(R155,R143,R131,R119,R107,R95,R83,R71,R59,R47,R35,R23,R11,R179,R167)</f>
        <v>0</v>
      </c>
      <c r="S191" s="24"/>
      <c r="T191" s="24"/>
      <c r="U191" s="24"/>
      <c r="V191" s="24"/>
      <c r="W191" s="24"/>
      <c r="X191" s="24"/>
      <c r="Y191" s="24"/>
      <c r="Z191" s="24"/>
      <c r="AA191" s="24"/>
      <c r="AB191" s="24"/>
      <c r="AC191" s="24"/>
    </row>
    <row r="192" ht="12.7" customHeight="1">
      <c r="A192" s="74"/>
      <c r="B192" s="75"/>
      <c r="C192" s="76"/>
      <c r="D192" t="s" s="37">
        <v>39</v>
      </c>
      <c r="E192" s="77"/>
      <c r="F192" s="38">
        <f>IFERROR(F189/AVERAGE(G183:H183)*30,0)</f>
        <v>0</v>
      </c>
      <c r="G192" s="38">
        <f>IFERROR(G189/AVERAGE(H183:I183)*30,0)</f>
        <v>0</v>
      </c>
      <c r="H192" s="38">
        <f>IFERROR(H188/AVERAGE(I183:J183)*30,0)</f>
        <v>106.8354611523955</v>
      </c>
      <c r="I192" s="38">
        <f>IFERROR(I188/AVERAGE(J183:K183)*30,0)</f>
        <v>0</v>
      </c>
      <c r="J192" s="38">
        <f>IFERROR(J188/AVERAGE(K183:L183)*30,0)</f>
        <v>0</v>
      </c>
      <c r="K192" s="38">
        <f>IFERROR(K188/AVERAGE(L183:M183)*30,0)</f>
        <v>0</v>
      </c>
      <c r="L192" s="38">
        <f>IFERROR(L188/AVERAGE(M183:N183)*30,0)</f>
        <v>0</v>
      </c>
      <c r="M192" s="38">
        <f>IFERROR(M188/AVERAGE(N183:O183)*30,0)</f>
        <v>0</v>
      </c>
      <c r="N192" s="38">
        <f>IFERROR(N188/AVERAGE(O183:P183)*30,0)</f>
        <v>0</v>
      </c>
      <c r="O192" s="38">
        <f>IFERROR(O188/AVERAGE(P183:Q183)*30,0)</f>
        <v>0</v>
      </c>
      <c r="P192" s="38">
        <f>IFERROR(P188/AVERAGE(Q183:R183)*30,0)</f>
        <v>0</v>
      </c>
      <c r="Q192" s="38">
        <f>IFERROR(Q188/AVERAGE(R183:S183)*30,0)</f>
        <v>0</v>
      </c>
      <c r="R192" s="38">
        <f>IFERROR(R188/AVERAGE(S183:T183)*30,0)</f>
        <v>0</v>
      </c>
      <c r="S192" s="38"/>
      <c r="T192" s="38"/>
      <c r="U192" s="38"/>
      <c r="V192" s="38"/>
      <c r="W192" s="38"/>
      <c r="X192" s="38"/>
      <c r="Y192" s="38"/>
      <c r="Z192" s="38"/>
      <c r="AA192" s="38"/>
      <c r="AB192" s="38"/>
      <c r="AC192" s="38"/>
    </row>
  </sheetData>
  <mergeCells count="3">
    <mergeCell ref="F1:Q1"/>
    <mergeCell ref="A1:B1"/>
    <mergeCell ref="R1:AC1"/>
  </mergeCells>
  <conditionalFormatting sqref="F1:AC12 G13:AC13 F14:AC24 G25:AC25 F26:AC36 G37:AC37 F38:AC44 G45:AC45 F46:AC48 G49:AC49 F50:AC60 G61:AC61 F62:AC72 G73:AC73 F74:AC84 G85:AC85 F86:AC96 G97:AC97 F98:AC108 G109:AC109 F110:AC120 G121:AC121 F122:AC132 G133:AC133 F134:AC144 G145:AC145 F146:AC156 G157:AC157 F158:AC164 G165:AC165 F166:AC166 G167:AC167 F168:AC168 G169:AC169 F170:AC176 G177:AC177 F178:AC178 G179:AC179 F180:AC192">
    <cfRule type="cellIs" dxfId="0" priority="1" operator="lessThan"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10.xml><?xml version="1.0" encoding="utf-8"?>
<worksheet xmlns:r="http://schemas.openxmlformats.org/officeDocument/2006/relationships" xmlns="http://schemas.openxmlformats.org/spreadsheetml/2006/main">
  <dimension ref="A1:R386"/>
  <sheetViews>
    <sheetView workbookViewId="0" showGridLines="0" defaultGridColor="1"/>
  </sheetViews>
  <sheetFormatPr defaultColWidth="9" defaultRowHeight="13.5" customHeight="1" outlineLevelRow="0" outlineLevelCol="0"/>
  <cols>
    <col min="1" max="1" width="7.67188" style="238" customWidth="1"/>
    <col min="2" max="2" width="8" style="238" customWidth="1"/>
    <col min="3" max="3" width="10.3516" style="238" customWidth="1"/>
    <col min="4" max="4" width="10.3516" style="238" customWidth="1"/>
    <col min="5" max="5" width="10.3516" style="238" customWidth="1"/>
    <col min="6" max="6" width="5.85156" style="238" customWidth="1"/>
    <col min="7" max="7" width="8" style="238" customWidth="1"/>
    <col min="8" max="8" width="4.67188" style="238" customWidth="1"/>
    <col min="9" max="9" width="6.67188" style="238" customWidth="1"/>
    <col min="10" max="10" width="6" style="238" customWidth="1"/>
    <col min="11" max="11" width="8.5" style="238" customWidth="1"/>
    <col min="12" max="12" width="10.6719" style="238" customWidth="1"/>
    <col min="13" max="13" width="9" style="238" customWidth="1"/>
    <col min="14" max="14" width="16.5" style="238" customWidth="1"/>
    <col min="15" max="15" width="12.3516" style="238" customWidth="1"/>
    <col min="16" max="16" width="3" style="238" customWidth="1"/>
    <col min="17" max="17" width="9" style="238" customWidth="1"/>
    <col min="18" max="18" width="14.1719" style="238" customWidth="1"/>
    <col min="19" max="256" width="9" style="238" customWidth="1"/>
  </cols>
  <sheetData>
    <row r="1" ht="12.75" customHeight="1">
      <c r="A1" t="s" s="216">
        <v>642</v>
      </c>
      <c r="B1" t="s" s="216">
        <v>643</v>
      </c>
      <c r="C1" t="s" s="216">
        <v>644</v>
      </c>
      <c r="D1" t="s" s="216">
        <v>645</v>
      </c>
      <c r="E1" t="s" s="216">
        <v>646</v>
      </c>
      <c r="F1" t="s" s="216">
        <v>647</v>
      </c>
      <c r="G1" t="s" s="216">
        <v>648</v>
      </c>
      <c r="H1" t="s" s="216">
        <v>649</v>
      </c>
      <c r="I1" t="s" s="216">
        <v>650</v>
      </c>
      <c r="J1" t="s" s="216">
        <v>651</v>
      </c>
      <c r="K1" t="s" s="216">
        <v>652</v>
      </c>
      <c r="L1" t="s" s="216">
        <v>653</v>
      </c>
      <c r="M1" s="239"/>
      <c r="N1" t="s" s="240">
        <v>654</v>
      </c>
      <c r="O1" t="s" s="240">
        <v>655</v>
      </c>
      <c r="P1" s="241"/>
      <c r="Q1" s="242"/>
      <c r="R1" t="s" s="243">
        <v>656</v>
      </c>
    </row>
    <row r="2" ht="12.75" customHeight="1">
      <c r="A2" t="s" s="216">
        <v>19</v>
      </c>
      <c r="B2" t="s" s="216">
        <v>657</v>
      </c>
      <c r="C2" t="s" s="216">
        <v>658</v>
      </c>
      <c r="D2" s="244">
        <v>42559</v>
      </c>
      <c r="E2" s="244">
        <v>43008</v>
      </c>
      <c r="F2" s="245">
        <v>11</v>
      </c>
      <c r="G2" s="245">
        <v>0</v>
      </c>
      <c r="H2" t="s" s="216">
        <v>659</v>
      </c>
      <c r="I2" s="245">
        <v>449</v>
      </c>
      <c r="J2" s="245">
        <v>182</v>
      </c>
      <c r="K2" s="246">
        <v>0.4053452115812918</v>
      </c>
      <c r="L2" s="244">
        <f>E2-I2*0.4</f>
        <v>42828.4</v>
      </c>
      <c r="M2" s="215"/>
      <c r="N2" t="s" s="247">
        <v>19</v>
      </c>
      <c r="O2" s="248">
        <v>119849</v>
      </c>
      <c r="P2" s="249"/>
      <c r="Q2" s="250"/>
      <c r="R2" t="s" s="243">
        <v>660</v>
      </c>
    </row>
    <row r="3" ht="12.75" customHeight="1">
      <c r="A3" t="s" s="216">
        <v>19</v>
      </c>
      <c r="B3" t="s" s="216">
        <v>657</v>
      </c>
      <c r="C3" t="s" s="216">
        <v>661</v>
      </c>
      <c r="D3" s="244">
        <v>42590</v>
      </c>
      <c r="E3" s="244">
        <v>43039</v>
      </c>
      <c r="F3" s="245">
        <v>36</v>
      </c>
      <c r="G3" s="245">
        <v>0</v>
      </c>
      <c r="H3" t="s" s="216">
        <v>659</v>
      </c>
      <c r="I3" s="245">
        <v>449</v>
      </c>
      <c r="J3" s="245">
        <v>213</v>
      </c>
      <c r="K3" s="246">
        <v>0.4743875278396437</v>
      </c>
      <c r="L3" s="244">
        <f>E3-I3*0.4</f>
        <v>42859.4</v>
      </c>
      <c r="M3" s="215"/>
      <c r="N3" s="251">
        <v>42767.4</v>
      </c>
      <c r="O3" s="245">
        <v>12</v>
      </c>
      <c r="P3" s="252"/>
      <c r="Q3" s="253"/>
      <c r="R3" s="215"/>
    </row>
    <row r="4" ht="12.75" customHeight="1">
      <c r="A4" t="s" s="216">
        <v>19</v>
      </c>
      <c r="B4" t="s" s="216">
        <v>657</v>
      </c>
      <c r="C4" t="s" s="216">
        <v>662</v>
      </c>
      <c r="D4" s="244">
        <v>42710</v>
      </c>
      <c r="E4" s="244">
        <v>43159</v>
      </c>
      <c r="F4" s="245">
        <v>12</v>
      </c>
      <c r="G4" s="245">
        <v>0</v>
      </c>
      <c r="H4" t="s" s="216">
        <v>659</v>
      </c>
      <c r="I4" s="245">
        <v>449</v>
      </c>
      <c r="J4" s="245">
        <v>333</v>
      </c>
      <c r="K4" s="246">
        <v>0.7416481069042317</v>
      </c>
      <c r="L4" s="244">
        <f>E4-I4*0.4</f>
        <v>42979.4</v>
      </c>
      <c r="M4" s="215"/>
      <c r="N4" s="251">
        <v>42798.4</v>
      </c>
      <c r="O4" s="254">
        <v>46</v>
      </c>
      <c r="P4" s="252"/>
      <c r="Q4" s="215"/>
      <c r="R4" s="215"/>
    </row>
    <row r="5" ht="12.75" customHeight="1">
      <c r="A5" t="s" s="216">
        <v>19</v>
      </c>
      <c r="B5" t="s" s="216">
        <v>657</v>
      </c>
      <c r="C5" t="s" s="216">
        <v>663</v>
      </c>
      <c r="D5" s="244">
        <v>42529</v>
      </c>
      <c r="E5" s="244">
        <v>42978</v>
      </c>
      <c r="F5" s="245">
        <v>36</v>
      </c>
      <c r="G5" s="245">
        <v>0</v>
      </c>
      <c r="H5" t="s" s="216">
        <v>659</v>
      </c>
      <c r="I5" s="245">
        <v>449</v>
      </c>
      <c r="J5" s="245">
        <v>152</v>
      </c>
      <c r="K5" s="246">
        <v>0.3385300668151447</v>
      </c>
      <c r="L5" s="244">
        <f>E5-I5*0.4</f>
        <v>42798.4</v>
      </c>
      <c r="M5" s="215"/>
      <c r="N5" s="255">
        <v>42828.4</v>
      </c>
      <c r="O5" s="256">
        <v>5770</v>
      </c>
      <c r="P5" s="257"/>
      <c r="Q5" s="215"/>
      <c r="R5" s="215"/>
    </row>
    <row r="6" ht="12.75" customHeight="1">
      <c r="A6" t="s" s="216">
        <v>19</v>
      </c>
      <c r="B6" t="s" s="216">
        <v>657</v>
      </c>
      <c r="C6" t="s" s="216">
        <v>661</v>
      </c>
      <c r="D6" s="244">
        <v>42590</v>
      </c>
      <c r="E6" s="244">
        <v>43039</v>
      </c>
      <c r="F6" s="245">
        <v>300</v>
      </c>
      <c r="G6" s="245">
        <v>0</v>
      </c>
      <c r="H6" t="s" s="216">
        <v>659</v>
      </c>
      <c r="I6" s="245">
        <v>449</v>
      </c>
      <c r="J6" s="245">
        <v>213</v>
      </c>
      <c r="K6" s="246">
        <v>0.4743875278396437</v>
      </c>
      <c r="L6" s="244">
        <f>E6-I6*0.4</f>
        <v>42859.4</v>
      </c>
      <c r="M6" s="215"/>
      <c r="N6" s="255">
        <v>42859.4</v>
      </c>
      <c r="O6" s="256">
        <v>45635</v>
      </c>
      <c r="P6" s="257"/>
      <c r="Q6" s="215"/>
      <c r="R6" s="215"/>
    </row>
    <row r="7" ht="12.75" customHeight="1">
      <c r="A7" t="s" s="216">
        <v>19</v>
      </c>
      <c r="B7" t="s" s="216">
        <v>657</v>
      </c>
      <c r="C7" t="s" s="216">
        <v>662</v>
      </c>
      <c r="D7" s="244">
        <v>42710</v>
      </c>
      <c r="E7" s="244">
        <v>43159</v>
      </c>
      <c r="F7" s="245">
        <v>336</v>
      </c>
      <c r="G7" s="245">
        <v>0</v>
      </c>
      <c r="H7" t="s" s="216">
        <v>659</v>
      </c>
      <c r="I7" s="245">
        <v>449</v>
      </c>
      <c r="J7" s="245">
        <v>333</v>
      </c>
      <c r="K7" s="246">
        <v>0.7416481069042317</v>
      </c>
      <c r="L7" s="244">
        <f>E7-I7*0.4</f>
        <v>42979.4</v>
      </c>
      <c r="M7" s="215"/>
      <c r="N7" s="255">
        <v>42889.4</v>
      </c>
      <c r="O7" s="256">
        <v>55474</v>
      </c>
      <c r="P7" s="257"/>
      <c r="Q7" s="215"/>
      <c r="R7" s="215"/>
    </row>
    <row r="8" ht="12.75" customHeight="1">
      <c r="A8" t="s" s="216">
        <v>19</v>
      </c>
      <c r="B8" t="s" s="216">
        <v>657</v>
      </c>
      <c r="C8" t="s" s="216">
        <v>661</v>
      </c>
      <c r="D8" s="244">
        <v>42590</v>
      </c>
      <c r="E8" s="244">
        <v>43039</v>
      </c>
      <c r="F8" s="245">
        <v>44496</v>
      </c>
      <c r="G8" s="245">
        <v>0</v>
      </c>
      <c r="H8" t="s" s="216">
        <v>659</v>
      </c>
      <c r="I8" s="245">
        <v>449</v>
      </c>
      <c r="J8" s="245">
        <v>213</v>
      </c>
      <c r="K8" s="246">
        <v>0.4743875278396437</v>
      </c>
      <c r="L8" s="244">
        <f>E8-I8*0.4</f>
        <v>42859.4</v>
      </c>
      <c r="M8" s="215"/>
      <c r="N8" s="255">
        <v>42920.4</v>
      </c>
      <c r="O8" s="256">
        <v>6528</v>
      </c>
      <c r="P8" s="257"/>
      <c r="Q8" s="215"/>
      <c r="R8" s="215"/>
    </row>
    <row r="9" ht="12.75" customHeight="1">
      <c r="A9" t="s" s="216">
        <v>19</v>
      </c>
      <c r="B9" t="s" s="216">
        <v>657</v>
      </c>
      <c r="C9" t="s" s="216">
        <v>664</v>
      </c>
      <c r="D9" s="244">
        <v>42620</v>
      </c>
      <c r="E9" s="244">
        <v>43069</v>
      </c>
      <c r="F9" s="245">
        <v>54744</v>
      </c>
      <c r="G9" s="245">
        <v>0</v>
      </c>
      <c r="H9" t="s" s="216">
        <v>659</v>
      </c>
      <c r="I9" s="245">
        <v>449</v>
      </c>
      <c r="J9" s="245">
        <v>243</v>
      </c>
      <c r="K9" s="246">
        <v>0.5412026726057907</v>
      </c>
      <c r="L9" s="244">
        <f>E9-I9*0.4</f>
        <v>42889.4</v>
      </c>
      <c r="M9" s="215"/>
      <c r="N9" s="255">
        <v>42979.4</v>
      </c>
      <c r="O9" s="256">
        <v>6384</v>
      </c>
      <c r="P9" s="257"/>
      <c r="Q9" s="215"/>
      <c r="R9" s="215"/>
    </row>
    <row r="10" ht="12.75" customHeight="1">
      <c r="A10" t="s" s="216">
        <v>19</v>
      </c>
      <c r="B10" t="s" s="216">
        <v>657</v>
      </c>
      <c r="C10" t="s" s="216">
        <v>665</v>
      </c>
      <c r="D10" s="244">
        <v>42651</v>
      </c>
      <c r="E10" s="244">
        <v>43100</v>
      </c>
      <c r="F10" s="245">
        <v>2868</v>
      </c>
      <c r="G10" s="245">
        <v>0</v>
      </c>
      <c r="H10" t="s" s="216">
        <v>659</v>
      </c>
      <c r="I10" s="245">
        <v>449</v>
      </c>
      <c r="J10" s="245">
        <v>274</v>
      </c>
      <c r="K10" s="246">
        <v>0.6102449888641426</v>
      </c>
      <c r="L10" s="244">
        <f>E10-I10*0.4</f>
        <v>42920.4</v>
      </c>
      <c r="M10" s="215"/>
      <c r="N10" t="s" s="258">
        <v>42</v>
      </c>
      <c r="O10" s="248">
        <v>11828</v>
      </c>
      <c r="P10" s="252"/>
      <c r="Q10" s="215"/>
      <c r="R10" s="215"/>
    </row>
    <row r="11" ht="12.75" customHeight="1">
      <c r="A11" t="s" s="216">
        <v>19</v>
      </c>
      <c r="B11" t="s" s="216">
        <v>657</v>
      </c>
      <c r="C11" t="s" s="216">
        <v>662</v>
      </c>
      <c r="D11" s="244">
        <v>42710</v>
      </c>
      <c r="E11" s="244">
        <v>43159</v>
      </c>
      <c r="F11" s="245">
        <v>5316</v>
      </c>
      <c r="G11" s="245">
        <v>4320</v>
      </c>
      <c r="H11" t="s" s="216">
        <v>659</v>
      </c>
      <c r="I11" s="245">
        <v>449</v>
      </c>
      <c r="J11" s="245">
        <v>333</v>
      </c>
      <c r="K11" s="246">
        <v>0.7416481069042317</v>
      </c>
      <c r="L11" s="244">
        <f>E11-I11*0.4</f>
        <v>42979.4</v>
      </c>
      <c r="M11" s="215"/>
      <c r="N11" s="251">
        <v>42749.4</v>
      </c>
      <c r="O11" s="245">
        <v>819</v>
      </c>
      <c r="P11" s="252"/>
      <c r="Q11" s="215"/>
      <c r="R11" s="215"/>
    </row>
    <row r="12" ht="12.75" customHeight="1">
      <c r="A12" t="s" s="216">
        <v>19</v>
      </c>
      <c r="B12" t="s" s="216">
        <v>657</v>
      </c>
      <c r="C12" t="s" s="216">
        <v>664</v>
      </c>
      <c r="D12" s="244">
        <v>42620</v>
      </c>
      <c r="E12" s="244">
        <v>43069</v>
      </c>
      <c r="F12" s="245">
        <v>1</v>
      </c>
      <c r="G12" s="245">
        <v>0</v>
      </c>
      <c r="H12" t="s" s="216">
        <v>659</v>
      </c>
      <c r="I12" s="245">
        <v>449</v>
      </c>
      <c r="J12" s="245">
        <v>243</v>
      </c>
      <c r="K12" s="246">
        <v>0.5412026726057907</v>
      </c>
      <c r="L12" s="244">
        <f>E12-I12*0.4</f>
        <v>42889.4</v>
      </c>
      <c r="M12" s="215"/>
      <c r="N12" s="251">
        <v>42775.4</v>
      </c>
      <c r="O12" s="245">
        <v>911</v>
      </c>
      <c r="P12" s="252"/>
      <c r="Q12" s="215"/>
      <c r="R12" s="215"/>
    </row>
    <row r="13" ht="12.75" customHeight="1">
      <c r="A13" t="s" s="216">
        <v>19</v>
      </c>
      <c r="B13" t="s" s="216">
        <v>657</v>
      </c>
      <c r="C13" t="s" s="216">
        <v>665</v>
      </c>
      <c r="D13" s="244">
        <v>42651</v>
      </c>
      <c r="E13" s="244">
        <v>43100</v>
      </c>
      <c r="F13" s="245">
        <v>48</v>
      </c>
      <c r="G13" s="245">
        <v>0</v>
      </c>
      <c r="H13" t="s" s="216">
        <v>659</v>
      </c>
      <c r="I13" s="245">
        <v>449</v>
      </c>
      <c r="J13" s="245">
        <v>274</v>
      </c>
      <c r="K13" s="246">
        <v>0.6102449888641426</v>
      </c>
      <c r="L13" s="244">
        <f>E13-I13*0.4</f>
        <v>42920.4</v>
      </c>
      <c r="M13" s="215"/>
      <c r="N13" s="251">
        <v>42812.4</v>
      </c>
      <c r="O13" s="254">
        <v>4079</v>
      </c>
      <c r="P13" s="252"/>
      <c r="Q13" s="215"/>
      <c r="R13" s="215"/>
    </row>
    <row r="14" ht="12.75" customHeight="1">
      <c r="A14" t="s" s="216">
        <v>19</v>
      </c>
      <c r="B14" t="s" s="216">
        <v>666</v>
      </c>
      <c r="C14" t="s" s="216">
        <v>663</v>
      </c>
      <c r="D14" s="244">
        <v>42529</v>
      </c>
      <c r="E14" s="244">
        <v>42978</v>
      </c>
      <c r="F14" s="245">
        <v>1</v>
      </c>
      <c r="G14" s="245">
        <v>0</v>
      </c>
      <c r="H14" t="s" s="216">
        <v>659</v>
      </c>
      <c r="I14" s="245">
        <v>449</v>
      </c>
      <c r="J14" s="245">
        <v>152</v>
      </c>
      <c r="K14" s="246">
        <v>0.3385300668151447</v>
      </c>
      <c r="L14" s="244">
        <f>E14-I14*0.4</f>
        <v>42798.4</v>
      </c>
      <c r="M14" s="215"/>
      <c r="N14" s="255">
        <v>42843.4</v>
      </c>
      <c r="O14" s="256">
        <v>2527</v>
      </c>
      <c r="P14" s="257"/>
      <c r="Q14" s="215"/>
      <c r="R14" s="215"/>
    </row>
    <row r="15" ht="12.75" customHeight="1">
      <c r="A15" t="s" s="216">
        <v>19</v>
      </c>
      <c r="B15" t="s" s="216">
        <v>666</v>
      </c>
      <c r="C15" t="s" s="216">
        <v>658</v>
      </c>
      <c r="D15" s="244">
        <v>42559</v>
      </c>
      <c r="E15" s="244">
        <v>43008</v>
      </c>
      <c r="F15" s="245">
        <v>5759</v>
      </c>
      <c r="G15" s="245">
        <v>0</v>
      </c>
      <c r="H15" t="s" s="216">
        <v>659</v>
      </c>
      <c r="I15" s="245">
        <v>449</v>
      </c>
      <c r="J15" s="245">
        <v>182</v>
      </c>
      <c r="K15" s="246">
        <v>0.4053452115812918</v>
      </c>
      <c r="L15" s="244">
        <f>E15-I15*0.4</f>
        <v>42828.4</v>
      </c>
      <c r="M15" s="215"/>
      <c r="N15" s="255">
        <v>42887.4</v>
      </c>
      <c r="O15" s="256">
        <v>3492</v>
      </c>
      <c r="P15" s="257"/>
      <c r="Q15" s="215"/>
      <c r="R15" s="215"/>
    </row>
    <row r="16" ht="12.75" customHeight="1">
      <c r="A16" t="s" s="216">
        <v>19</v>
      </c>
      <c r="B16" t="s" s="216">
        <v>666</v>
      </c>
      <c r="C16" t="s" s="216">
        <v>661</v>
      </c>
      <c r="D16" s="244">
        <v>42590</v>
      </c>
      <c r="E16" s="244">
        <v>43039</v>
      </c>
      <c r="F16" s="245">
        <v>803</v>
      </c>
      <c r="G16" s="245">
        <v>0</v>
      </c>
      <c r="H16" t="s" s="216">
        <v>659</v>
      </c>
      <c r="I16" s="245">
        <v>449</v>
      </c>
      <c r="J16" s="245">
        <v>213</v>
      </c>
      <c r="K16" s="246">
        <v>0.4743875278396437</v>
      </c>
      <c r="L16" s="244">
        <f>E16-I16*0.4</f>
        <v>42859.4</v>
      </c>
      <c r="M16" s="215"/>
      <c r="N16" t="s" s="258">
        <v>54</v>
      </c>
      <c r="O16" s="248">
        <v>10116</v>
      </c>
      <c r="P16" s="252"/>
      <c r="Q16" s="215"/>
      <c r="R16" s="215"/>
    </row>
    <row r="17" ht="12.75" customHeight="1">
      <c r="A17" t="s" s="216">
        <v>19</v>
      </c>
      <c r="B17" t="s" s="216">
        <v>666</v>
      </c>
      <c r="C17" t="s" s="216">
        <v>664</v>
      </c>
      <c r="D17" s="244">
        <v>42620</v>
      </c>
      <c r="E17" s="244">
        <v>43069</v>
      </c>
      <c r="F17" s="245">
        <v>322</v>
      </c>
      <c r="G17" s="245">
        <v>0</v>
      </c>
      <c r="H17" t="s" s="216">
        <v>659</v>
      </c>
      <c r="I17" s="245">
        <v>449</v>
      </c>
      <c r="J17" s="245">
        <v>243</v>
      </c>
      <c r="K17" s="246">
        <v>0.5412026726057907</v>
      </c>
      <c r="L17" s="244">
        <f>E17-I17*0.4</f>
        <v>42889.4</v>
      </c>
      <c r="M17" s="215"/>
      <c r="N17" s="251">
        <v>42691.4</v>
      </c>
      <c r="O17" s="245">
        <v>24</v>
      </c>
      <c r="P17" s="252"/>
      <c r="Q17" s="215"/>
      <c r="R17" s="215"/>
    </row>
    <row r="18" ht="12.75" customHeight="1">
      <c r="A18" t="s" s="216">
        <v>19</v>
      </c>
      <c r="B18" t="s" s="216">
        <v>666</v>
      </c>
      <c r="C18" t="s" s="216">
        <v>665</v>
      </c>
      <c r="D18" s="244">
        <v>42651</v>
      </c>
      <c r="E18" s="244">
        <v>43100</v>
      </c>
      <c r="F18" s="245">
        <v>2580</v>
      </c>
      <c r="G18" s="245">
        <v>0</v>
      </c>
      <c r="H18" t="s" s="216">
        <v>659</v>
      </c>
      <c r="I18" s="245">
        <v>449</v>
      </c>
      <c r="J18" s="245">
        <v>274</v>
      </c>
      <c r="K18" s="246">
        <v>0.6102449888641426</v>
      </c>
      <c r="L18" s="244">
        <f>E18-I18*0.4</f>
        <v>42920.4</v>
      </c>
      <c r="M18" s="215"/>
      <c r="N18" s="251">
        <v>42717.4</v>
      </c>
      <c r="O18" s="245">
        <v>24</v>
      </c>
      <c r="P18" s="252"/>
      <c r="Q18" s="215"/>
      <c r="R18" s="215"/>
    </row>
    <row r="19" ht="12.75" customHeight="1">
      <c r="A19" t="s" s="216">
        <v>19</v>
      </c>
      <c r="B19" t="s" s="216">
        <v>667</v>
      </c>
      <c r="C19" t="s" s="216">
        <v>663</v>
      </c>
      <c r="D19" s="244">
        <v>42529</v>
      </c>
      <c r="E19" s="244">
        <v>42978</v>
      </c>
      <c r="F19" s="245">
        <v>9</v>
      </c>
      <c r="G19" s="245">
        <v>0</v>
      </c>
      <c r="H19" t="s" s="216">
        <v>659</v>
      </c>
      <c r="I19" s="245">
        <v>449</v>
      </c>
      <c r="J19" s="245">
        <v>152</v>
      </c>
      <c r="K19" s="246">
        <v>0.3385300668151447</v>
      </c>
      <c r="L19" s="244">
        <f>E19-I19*0.4</f>
        <v>42798.4</v>
      </c>
      <c r="M19" s="215"/>
      <c r="N19" s="251">
        <v>42749.4</v>
      </c>
      <c r="O19" s="245">
        <v>681</v>
      </c>
      <c r="P19" s="215"/>
      <c r="Q19" s="215"/>
      <c r="R19" s="215"/>
    </row>
    <row r="20" ht="12.75" customHeight="1">
      <c r="A20" t="s" s="216">
        <v>19</v>
      </c>
      <c r="B20" t="s" s="216">
        <v>667</v>
      </c>
      <c r="C20" t="s" s="216">
        <v>664</v>
      </c>
      <c r="D20" s="244">
        <v>42620</v>
      </c>
      <c r="E20" s="244">
        <v>43069</v>
      </c>
      <c r="F20" s="245">
        <v>407</v>
      </c>
      <c r="G20" s="245">
        <v>0</v>
      </c>
      <c r="H20" t="s" s="216">
        <v>659</v>
      </c>
      <c r="I20" s="245">
        <v>449</v>
      </c>
      <c r="J20" s="245">
        <v>243</v>
      </c>
      <c r="K20" s="246">
        <v>0.5412026726057907</v>
      </c>
      <c r="L20" s="244">
        <f>E20-I20*0.4</f>
        <v>42889.4</v>
      </c>
      <c r="M20" s="215"/>
      <c r="N20" s="251">
        <v>42780.4</v>
      </c>
      <c r="O20" s="245">
        <v>2551</v>
      </c>
      <c r="P20" s="215"/>
      <c r="Q20" s="215"/>
      <c r="R20" s="215"/>
    </row>
    <row r="21" ht="12.75" customHeight="1">
      <c r="A21" t="s" s="216">
        <v>19</v>
      </c>
      <c r="B21" t="s" s="216">
        <v>667</v>
      </c>
      <c r="C21" t="s" s="216">
        <v>665</v>
      </c>
      <c r="D21" s="244">
        <v>42651</v>
      </c>
      <c r="E21" s="244">
        <v>43100</v>
      </c>
      <c r="F21" s="245">
        <v>972</v>
      </c>
      <c r="G21" s="245">
        <v>0</v>
      </c>
      <c r="H21" t="s" s="216">
        <v>659</v>
      </c>
      <c r="I21" s="245">
        <v>449</v>
      </c>
      <c r="J21" s="245">
        <v>274</v>
      </c>
      <c r="K21" s="246">
        <v>0.6102449888641426</v>
      </c>
      <c r="L21" s="244">
        <f>E21-I21*0.4</f>
        <v>42920.4</v>
      </c>
      <c r="M21" s="215"/>
      <c r="N21" s="251">
        <v>42815.4</v>
      </c>
      <c r="O21" s="254">
        <v>974</v>
      </c>
      <c r="P21" s="215"/>
      <c r="Q21" s="215"/>
      <c r="R21" s="215"/>
    </row>
    <row r="22" ht="12.75" customHeight="1">
      <c r="A22" t="s" s="216">
        <v>19</v>
      </c>
      <c r="B22" t="s" s="216">
        <v>667</v>
      </c>
      <c r="C22" t="s" s="216">
        <v>662</v>
      </c>
      <c r="D22" s="244">
        <v>42710</v>
      </c>
      <c r="E22" s="244">
        <v>43159</v>
      </c>
      <c r="F22" s="245">
        <v>720</v>
      </c>
      <c r="G22" s="245">
        <v>0</v>
      </c>
      <c r="H22" t="s" s="216">
        <v>659</v>
      </c>
      <c r="I22" s="245">
        <v>449</v>
      </c>
      <c r="J22" s="245">
        <v>333</v>
      </c>
      <c r="K22" s="246">
        <v>0.7416481069042317</v>
      </c>
      <c r="L22" s="244">
        <f>E22-I22*0.4</f>
        <v>42979.4</v>
      </c>
      <c r="M22" s="215"/>
      <c r="N22" s="255">
        <v>42843.4</v>
      </c>
      <c r="O22" s="256">
        <v>93</v>
      </c>
      <c r="P22" s="237"/>
      <c r="Q22" s="215"/>
      <c r="R22" s="215"/>
    </row>
    <row r="23" ht="12.75" customHeight="1">
      <c r="A23" t="s" s="216">
        <v>19</v>
      </c>
      <c r="B23" t="s" s="216">
        <v>668</v>
      </c>
      <c r="C23" t="s" s="216">
        <v>665</v>
      </c>
      <c r="D23" s="244">
        <v>42651</v>
      </c>
      <c r="E23" s="244">
        <v>43100</v>
      </c>
      <c r="F23" s="245">
        <v>60</v>
      </c>
      <c r="G23" s="245">
        <v>0</v>
      </c>
      <c r="H23" t="s" s="216">
        <v>659</v>
      </c>
      <c r="I23" s="245">
        <v>449</v>
      </c>
      <c r="J23" s="245">
        <v>274</v>
      </c>
      <c r="K23" s="246">
        <v>0.6102449888641426</v>
      </c>
      <c r="L23" s="244">
        <f>E23-I23*0.4</f>
        <v>42920.4</v>
      </c>
      <c r="M23" s="215"/>
      <c r="N23" s="255">
        <v>42861.4</v>
      </c>
      <c r="O23" s="256">
        <v>2145</v>
      </c>
      <c r="P23" s="237"/>
      <c r="Q23" s="215"/>
      <c r="R23" s="215"/>
    </row>
    <row r="24" ht="12.75" customHeight="1">
      <c r="A24" t="s" s="216">
        <v>19</v>
      </c>
      <c r="B24" t="s" s="216">
        <v>668</v>
      </c>
      <c r="C24" t="s" s="216">
        <v>669</v>
      </c>
      <c r="D24" s="244">
        <v>42498</v>
      </c>
      <c r="E24" s="244">
        <v>42947</v>
      </c>
      <c r="F24" s="245">
        <v>12</v>
      </c>
      <c r="G24" s="245">
        <v>0</v>
      </c>
      <c r="H24" t="s" s="216">
        <v>659</v>
      </c>
      <c r="I24" s="245">
        <v>449</v>
      </c>
      <c r="J24" s="245">
        <v>121</v>
      </c>
      <c r="K24" s="246">
        <v>0.2694877505567929</v>
      </c>
      <c r="L24" s="244">
        <f>E24-I24*0.4</f>
        <v>42767.4</v>
      </c>
      <c r="M24" s="215"/>
      <c r="N24" s="255">
        <v>42901.4</v>
      </c>
      <c r="O24" s="256">
        <v>3624</v>
      </c>
      <c r="P24" s="237"/>
      <c r="Q24" s="215"/>
      <c r="R24" s="215"/>
    </row>
    <row r="25" ht="12.75" customHeight="1">
      <c r="A25" t="s" s="216">
        <v>42</v>
      </c>
      <c r="B25" t="s" s="216">
        <v>657</v>
      </c>
      <c r="C25" t="s" s="216">
        <v>670</v>
      </c>
      <c r="D25" s="244">
        <v>42625</v>
      </c>
      <c r="E25" s="244">
        <v>42989</v>
      </c>
      <c r="F25" s="245">
        <v>11</v>
      </c>
      <c r="G25" s="245">
        <v>0</v>
      </c>
      <c r="H25" t="s" s="216">
        <v>659</v>
      </c>
      <c r="I25" s="245">
        <v>364</v>
      </c>
      <c r="J25" s="245">
        <v>163</v>
      </c>
      <c r="K25" s="246">
        <v>0.4478021978021978</v>
      </c>
      <c r="L25" s="244">
        <f>E25-I25*0.4</f>
        <v>42843.4</v>
      </c>
      <c r="M25" s="215"/>
      <c r="N25" t="s" s="258">
        <v>66</v>
      </c>
      <c r="O25" s="248">
        <v>2130</v>
      </c>
      <c r="P25" s="215"/>
      <c r="Q25" s="215"/>
      <c r="R25" s="215"/>
    </row>
    <row r="26" ht="12.75" customHeight="1">
      <c r="A26" t="s" s="216">
        <v>42</v>
      </c>
      <c r="B26" t="s" s="216">
        <v>657</v>
      </c>
      <c r="C26" t="s" s="216">
        <v>671</v>
      </c>
      <c r="D26" s="244">
        <v>42557</v>
      </c>
      <c r="E26" s="244">
        <v>42921</v>
      </c>
      <c r="F26" s="245">
        <v>0</v>
      </c>
      <c r="G26" s="245">
        <v>0</v>
      </c>
      <c r="H26" t="s" s="216">
        <v>659</v>
      </c>
      <c r="I26" s="245">
        <v>364</v>
      </c>
      <c r="J26" s="245">
        <v>95</v>
      </c>
      <c r="K26" s="246">
        <v>0.260989010989011</v>
      </c>
      <c r="L26" s="244">
        <f>E26-I26*0.4</f>
        <v>42775.4</v>
      </c>
      <c r="M26" s="215"/>
      <c r="N26" s="251">
        <v>42762.4</v>
      </c>
      <c r="O26" s="254">
        <v>12</v>
      </c>
      <c r="P26" s="215"/>
      <c r="Q26" s="215"/>
      <c r="R26" s="215"/>
    </row>
    <row r="27" ht="12.75" customHeight="1">
      <c r="A27" t="s" s="216">
        <v>42</v>
      </c>
      <c r="B27" t="s" s="216">
        <v>657</v>
      </c>
      <c r="C27" t="s" s="216">
        <v>670</v>
      </c>
      <c r="D27" s="244">
        <v>42625</v>
      </c>
      <c r="E27" s="244">
        <v>42989</v>
      </c>
      <c r="F27" s="245">
        <v>720</v>
      </c>
      <c r="G27" s="245">
        <v>0</v>
      </c>
      <c r="H27" t="s" s="216">
        <v>659</v>
      </c>
      <c r="I27" s="245">
        <v>364</v>
      </c>
      <c r="J27" s="245">
        <v>163</v>
      </c>
      <c r="K27" s="246">
        <v>0.4478021978021978</v>
      </c>
      <c r="L27" s="244">
        <f>E27-I27*0.4</f>
        <v>42843.4</v>
      </c>
      <c r="M27" s="215"/>
      <c r="N27" s="255">
        <v>42839.4</v>
      </c>
      <c r="O27" s="256">
        <v>6</v>
      </c>
      <c r="P27" s="237"/>
      <c r="Q27" s="215"/>
      <c r="R27" s="215"/>
    </row>
    <row r="28" ht="12.75" customHeight="1">
      <c r="A28" t="s" s="216">
        <v>42</v>
      </c>
      <c r="B28" t="s" s="216">
        <v>657</v>
      </c>
      <c r="C28" t="s" s="216">
        <v>670</v>
      </c>
      <c r="D28" s="244">
        <v>42625</v>
      </c>
      <c r="E28" s="244">
        <v>42989</v>
      </c>
      <c r="F28" s="245">
        <v>1176</v>
      </c>
      <c r="G28" s="245">
        <v>0</v>
      </c>
      <c r="H28" t="s" s="216">
        <v>659</v>
      </c>
      <c r="I28" s="245">
        <v>364</v>
      </c>
      <c r="J28" s="245">
        <v>163</v>
      </c>
      <c r="K28" s="246">
        <v>0.4478021978021978</v>
      </c>
      <c r="L28" s="244">
        <f>E28-I28*0.4</f>
        <v>42843.4</v>
      </c>
      <c r="M28" s="215"/>
      <c r="N28" s="255">
        <v>42860.4</v>
      </c>
      <c r="O28" s="256">
        <v>24</v>
      </c>
      <c r="P28" s="237"/>
      <c r="Q28" s="215"/>
      <c r="R28" s="215"/>
    </row>
    <row r="29" ht="12.75" customHeight="1">
      <c r="A29" t="s" s="216">
        <v>42</v>
      </c>
      <c r="B29" t="s" s="216">
        <v>657</v>
      </c>
      <c r="C29" t="s" s="216">
        <v>672</v>
      </c>
      <c r="D29" s="244">
        <v>42669</v>
      </c>
      <c r="E29" s="244">
        <v>43033</v>
      </c>
      <c r="F29" s="245">
        <v>2352</v>
      </c>
      <c r="G29" s="245">
        <v>0</v>
      </c>
      <c r="H29" t="s" s="216">
        <v>659</v>
      </c>
      <c r="I29" s="245">
        <v>364</v>
      </c>
      <c r="J29" s="245">
        <v>207</v>
      </c>
      <c r="K29" s="246">
        <v>0.5686813186813187</v>
      </c>
      <c r="L29" s="244">
        <f>E29-I29*0.4</f>
        <v>42887.4</v>
      </c>
      <c r="M29" s="215"/>
      <c r="N29" s="255">
        <v>42885.4</v>
      </c>
      <c r="O29" s="256">
        <v>2088</v>
      </c>
      <c r="P29" s="237"/>
      <c r="Q29" s="215"/>
      <c r="R29" s="215"/>
    </row>
    <row r="30" ht="12.75" customHeight="1">
      <c r="A30" t="s" s="216">
        <v>42</v>
      </c>
      <c r="B30" t="s" s="216">
        <v>657</v>
      </c>
      <c r="C30" t="s" s="216">
        <v>673</v>
      </c>
      <c r="D30" s="244">
        <v>42594</v>
      </c>
      <c r="E30" s="244">
        <v>42958</v>
      </c>
      <c r="F30" s="245">
        <v>17</v>
      </c>
      <c r="G30" s="245">
        <v>0</v>
      </c>
      <c r="H30" t="s" s="216">
        <v>659</v>
      </c>
      <c r="I30" s="245">
        <v>364</v>
      </c>
      <c r="J30" s="245">
        <v>132</v>
      </c>
      <c r="K30" s="246">
        <v>0.3626373626373626</v>
      </c>
      <c r="L30" s="244">
        <f>E30-I30*0.4</f>
        <v>42812.4</v>
      </c>
      <c r="M30" s="215"/>
      <c r="N30" t="s" s="258">
        <v>78</v>
      </c>
      <c r="O30" s="248">
        <v>133790</v>
      </c>
      <c r="P30" s="215"/>
      <c r="Q30" s="215"/>
      <c r="R30" s="215"/>
    </row>
    <row r="31" ht="12.75" customHeight="1">
      <c r="A31" t="s" s="216">
        <v>42</v>
      </c>
      <c r="B31" t="s" s="216">
        <v>657</v>
      </c>
      <c r="C31" t="s" s="216">
        <v>670</v>
      </c>
      <c r="D31" s="244">
        <v>42625</v>
      </c>
      <c r="E31" s="244">
        <v>42989</v>
      </c>
      <c r="F31" s="245">
        <v>22</v>
      </c>
      <c r="G31" s="245">
        <v>0</v>
      </c>
      <c r="H31" t="s" s="216">
        <v>659</v>
      </c>
      <c r="I31" s="245">
        <v>364</v>
      </c>
      <c r="J31" s="245">
        <v>163</v>
      </c>
      <c r="K31" s="246">
        <v>0.4478021978021978</v>
      </c>
      <c r="L31" s="244">
        <f>E31-I31*0.4</f>
        <v>42843.4</v>
      </c>
      <c r="M31" s="215"/>
      <c r="N31" s="251">
        <v>42765</v>
      </c>
      <c r="O31" s="245">
        <v>429</v>
      </c>
      <c r="P31" s="215"/>
      <c r="Q31" s="215"/>
      <c r="R31" s="215"/>
    </row>
    <row r="32" ht="12.75" customHeight="1">
      <c r="A32" t="s" s="216">
        <v>42</v>
      </c>
      <c r="B32" t="s" s="216">
        <v>666</v>
      </c>
      <c r="C32" t="s" s="216">
        <v>671</v>
      </c>
      <c r="D32" s="244">
        <v>42557</v>
      </c>
      <c r="E32" s="244">
        <v>42921</v>
      </c>
      <c r="F32" s="245">
        <v>911</v>
      </c>
      <c r="G32" s="245">
        <v>0</v>
      </c>
      <c r="H32" t="s" s="216">
        <v>659</v>
      </c>
      <c r="I32" s="245">
        <v>364</v>
      </c>
      <c r="J32" s="245">
        <v>95</v>
      </c>
      <c r="K32" s="246">
        <v>0.260989010989011</v>
      </c>
      <c r="L32" s="244">
        <f>E32-I32*0.4</f>
        <v>42775.4</v>
      </c>
      <c r="M32" s="215"/>
      <c r="N32" s="251">
        <v>42796</v>
      </c>
      <c r="O32" s="254">
        <v>13207</v>
      </c>
      <c r="P32" s="215"/>
      <c r="Q32" s="215"/>
      <c r="R32" s="215"/>
    </row>
    <row r="33" ht="12.75" customHeight="1">
      <c r="A33" t="s" s="216">
        <v>42</v>
      </c>
      <c r="B33" t="s" s="216">
        <v>666</v>
      </c>
      <c r="C33" t="s" s="216">
        <v>673</v>
      </c>
      <c r="D33" s="244">
        <v>42594</v>
      </c>
      <c r="E33" s="244">
        <v>42958</v>
      </c>
      <c r="F33" s="245">
        <v>4062</v>
      </c>
      <c r="G33" s="245">
        <v>0</v>
      </c>
      <c r="H33" t="s" s="216">
        <v>659</v>
      </c>
      <c r="I33" s="245">
        <v>364</v>
      </c>
      <c r="J33" s="245">
        <v>132</v>
      </c>
      <c r="K33" s="246">
        <v>0.3626373626373626</v>
      </c>
      <c r="L33" s="244">
        <f>E33-I33*0.4</f>
        <v>42812.4</v>
      </c>
      <c r="M33" s="215"/>
      <c r="N33" s="255">
        <v>42826</v>
      </c>
      <c r="O33" s="256">
        <v>15533</v>
      </c>
      <c r="P33" s="237"/>
      <c r="Q33" s="215"/>
      <c r="R33" s="215"/>
    </row>
    <row r="34" ht="12.75" customHeight="1">
      <c r="A34" t="s" s="216">
        <v>42</v>
      </c>
      <c r="B34" t="s" s="216">
        <v>666</v>
      </c>
      <c r="C34" t="s" s="216">
        <v>670</v>
      </c>
      <c r="D34" s="244">
        <v>42625</v>
      </c>
      <c r="E34" s="244">
        <v>42989</v>
      </c>
      <c r="F34" s="245">
        <v>24</v>
      </c>
      <c r="G34" s="245">
        <v>0</v>
      </c>
      <c r="H34" t="s" s="216">
        <v>659</v>
      </c>
      <c r="I34" s="245">
        <v>364</v>
      </c>
      <c r="J34" s="245">
        <v>163</v>
      </c>
      <c r="K34" s="246">
        <v>0.4478021978021978</v>
      </c>
      <c r="L34" s="244">
        <f>E34-I34*0.4</f>
        <v>42843.4</v>
      </c>
      <c r="M34" s="215"/>
      <c r="N34" s="255">
        <v>42857</v>
      </c>
      <c r="O34" s="256">
        <v>91049</v>
      </c>
      <c r="P34" s="237"/>
      <c r="Q34" s="215"/>
      <c r="R34" s="215"/>
    </row>
    <row r="35" ht="12.75" customHeight="1">
      <c r="A35" t="s" s="216">
        <v>42</v>
      </c>
      <c r="B35" t="s" s="216">
        <v>667</v>
      </c>
      <c r="C35" t="s" s="216">
        <v>670</v>
      </c>
      <c r="D35" s="244">
        <v>42625</v>
      </c>
      <c r="E35" s="244">
        <v>42989</v>
      </c>
      <c r="F35" s="245">
        <v>430</v>
      </c>
      <c r="G35" s="245">
        <v>0</v>
      </c>
      <c r="H35" t="s" s="216">
        <v>659</v>
      </c>
      <c r="I35" s="245">
        <v>364</v>
      </c>
      <c r="J35" s="245">
        <v>163</v>
      </c>
      <c r="K35" s="246">
        <v>0.4478021978021978</v>
      </c>
      <c r="L35" s="244">
        <f>E35-I35*0.4</f>
        <v>42843.4</v>
      </c>
      <c r="M35" s="215"/>
      <c r="N35" s="255">
        <v>42887</v>
      </c>
      <c r="O35" s="256">
        <v>2832</v>
      </c>
      <c r="P35" s="237"/>
      <c r="Q35" s="215"/>
      <c r="R35" s="215"/>
    </row>
    <row r="36" ht="12.75" customHeight="1">
      <c r="A36" t="s" s="216">
        <v>42</v>
      </c>
      <c r="B36" t="s" s="216">
        <v>667</v>
      </c>
      <c r="C36" t="s" s="216">
        <v>672</v>
      </c>
      <c r="D36" s="244">
        <v>42669</v>
      </c>
      <c r="E36" s="244">
        <v>43033</v>
      </c>
      <c r="F36" s="245">
        <v>1140</v>
      </c>
      <c r="G36" s="245">
        <v>0</v>
      </c>
      <c r="H36" t="s" s="216">
        <v>659</v>
      </c>
      <c r="I36" s="245">
        <v>364</v>
      </c>
      <c r="J36" s="245">
        <v>207</v>
      </c>
      <c r="K36" s="246">
        <v>0.5686813186813187</v>
      </c>
      <c r="L36" s="244">
        <f>E36-I36*0.4</f>
        <v>42887.4</v>
      </c>
      <c r="M36" s="215"/>
      <c r="N36" s="255">
        <v>42918</v>
      </c>
      <c r="O36" s="256">
        <v>2964</v>
      </c>
      <c r="P36" s="237"/>
      <c r="Q36" s="215"/>
      <c r="R36" s="215"/>
    </row>
    <row r="37" ht="12.75" customHeight="1">
      <c r="A37" t="s" s="216">
        <v>42</v>
      </c>
      <c r="B37" t="s" s="216">
        <v>668</v>
      </c>
      <c r="C37" t="s" s="216">
        <v>674</v>
      </c>
      <c r="D37" s="244">
        <v>42531</v>
      </c>
      <c r="E37" s="244">
        <v>42895</v>
      </c>
      <c r="F37" s="245">
        <v>819</v>
      </c>
      <c r="G37" s="245">
        <v>0</v>
      </c>
      <c r="H37" t="s" s="216">
        <v>659</v>
      </c>
      <c r="I37" s="245">
        <v>364</v>
      </c>
      <c r="J37" s="245">
        <v>69</v>
      </c>
      <c r="K37" s="246">
        <v>0.1895604395604396</v>
      </c>
      <c r="L37" s="244">
        <f>E37-I37*0.4</f>
        <v>42749.4</v>
      </c>
      <c r="M37" s="215"/>
      <c r="N37" s="255">
        <v>42977</v>
      </c>
      <c r="O37" s="256">
        <v>7776</v>
      </c>
      <c r="P37" s="237"/>
      <c r="Q37" s="215"/>
      <c r="R37" s="215"/>
    </row>
    <row r="38" ht="12.75" customHeight="1">
      <c r="A38" t="s" s="216">
        <v>42</v>
      </c>
      <c r="B38" t="s" s="216">
        <v>668</v>
      </c>
      <c r="C38" t="s" s="216">
        <v>670</v>
      </c>
      <c r="D38" s="244">
        <v>42625</v>
      </c>
      <c r="E38" s="244">
        <v>42989</v>
      </c>
      <c r="F38" s="245">
        <v>144</v>
      </c>
      <c r="G38" s="245">
        <v>0</v>
      </c>
      <c r="H38" t="s" s="216">
        <v>659</v>
      </c>
      <c r="I38" s="245">
        <v>364</v>
      </c>
      <c r="J38" s="245">
        <v>163</v>
      </c>
      <c r="K38" s="246">
        <v>0.4478021978021978</v>
      </c>
      <c r="L38" s="244">
        <f>E38-I38*0.4</f>
        <v>42843.4</v>
      </c>
      <c r="M38" s="215"/>
      <c r="N38" t="s" s="258">
        <v>90</v>
      </c>
      <c r="O38" s="248">
        <v>8952</v>
      </c>
      <c r="P38" s="215"/>
      <c r="Q38" s="215"/>
      <c r="R38" s="215"/>
    </row>
    <row r="39" ht="12.75" customHeight="1">
      <c r="A39" t="s" s="216">
        <v>54</v>
      </c>
      <c r="B39" t="s" s="216">
        <v>657</v>
      </c>
      <c r="C39" t="s" s="216">
        <v>670</v>
      </c>
      <c r="D39" s="244">
        <v>42625</v>
      </c>
      <c r="E39" s="244">
        <v>42989</v>
      </c>
      <c r="F39" s="245">
        <v>24</v>
      </c>
      <c r="G39" s="245">
        <v>0</v>
      </c>
      <c r="H39" t="s" s="216">
        <v>659</v>
      </c>
      <c r="I39" s="245">
        <v>364</v>
      </c>
      <c r="J39" s="245">
        <v>163</v>
      </c>
      <c r="K39" s="246">
        <v>0.4478021978021978</v>
      </c>
      <c r="L39" s="244">
        <f>E39-I39*0.4</f>
        <v>42843.4</v>
      </c>
      <c r="M39" s="215"/>
      <c r="N39" s="251">
        <v>42736.4</v>
      </c>
      <c r="O39" s="245">
        <v>63</v>
      </c>
      <c r="P39" s="215"/>
      <c r="Q39" s="215"/>
      <c r="R39" s="215"/>
    </row>
    <row r="40" ht="12.75" customHeight="1">
      <c r="A40" t="s" s="216">
        <v>54</v>
      </c>
      <c r="B40" t="s" s="216">
        <v>657</v>
      </c>
      <c r="C40" t="s" s="216">
        <v>675</v>
      </c>
      <c r="D40" s="244">
        <v>42643</v>
      </c>
      <c r="E40" s="244">
        <v>43007</v>
      </c>
      <c r="F40" s="245">
        <v>84</v>
      </c>
      <c r="G40" s="245">
        <v>0</v>
      </c>
      <c r="H40" t="s" s="216">
        <v>659</v>
      </c>
      <c r="I40" s="245">
        <v>364</v>
      </c>
      <c r="J40" s="245">
        <v>181</v>
      </c>
      <c r="K40" s="246">
        <v>0.4972527472527473</v>
      </c>
      <c r="L40" s="244">
        <f>E40-I40*0.4</f>
        <v>42861.4</v>
      </c>
      <c r="M40" s="215"/>
      <c r="N40" s="251">
        <v>42767.4</v>
      </c>
      <c r="O40" s="245">
        <v>142</v>
      </c>
      <c r="P40" s="215"/>
      <c r="Q40" s="215"/>
      <c r="R40" s="215"/>
    </row>
    <row r="41" ht="12.75" customHeight="1">
      <c r="A41" t="s" s="216">
        <v>54</v>
      </c>
      <c r="B41" t="s" s="216">
        <v>657</v>
      </c>
      <c r="C41" t="s" s="216">
        <v>674</v>
      </c>
      <c r="D41" s="244">
        <v>42531</v>
      </c>
      <c r="E41" s="244">
        <v>42895</v>
      </c>
      <c r="F41" s="245">
        <v>396</v>
      </c>
      <c r="G41" s="245">
        <v>0</v>
      </c>
      <c r="H41" t="s" s="216">
        <v>659</v>
      </c>
      <c r="I41" s="245">
        <v>364</v>
      </c>
      <c r="J41" s="245">
        <v>69</v>
      </c>
      <c r="K41" s="246">
        <v>0.1895604395604396</v>
      </c>
      <c r="L41" s="244">
        <f>E41-I41*0.4</f>
        <v>42749.4</v>
      </c>
      <c r="M41" s="215"/>
      <c r="N41" s="251">
        <v>42798.4</v>
      </c>
      <c r="O41" s="254">
        <v>1055</v>
      </c>
      <c r="P41" s="215"/>
      <c r="Q41" s="215"/>
      <c r="R41" s="215"/>
    </row>
    <row r="42" ht="12.75" customHeight="1">
      <c r="A42" t="s" s="216">
        <v>54</v>
      </c>
      <c r="B42" t="s" s="216">
        <v>657</v>
      </c>
      <c r="C42" t="s" s="216">
        <v>676</v>
      </c>
      <c r="D42" s="244">
        <v>42473</v>
      </c>
      <c r="E42" s="244">
        <v>42837</v>
      </c>
      <c r="F42" s="245">
        <v>24</v>
      </c>
      <c r="G42" s="245">
        <v>0</v>
      </c>
      <c r="H42" t="s" s="216">
        <v>659</v>
      </c>
      <c r="I42" s="245">
        <v>364</v>
      </c>
      <c r="J42" s="245">
        <v>11</v>
      </c>
      <c r="K42" s="246">
        <v>0.03021978021978022</v>
      </c>
      <c r="L42" s="244">
        <f>E42-I42*0.4</f>
        <v>42691.4</v>
      </c>
      <c r="M42" s="215"/>
      <c r="N42" s="255">
        <v>42828.4</v>
      </c>
      <c r="O42" s="259">
        <v>1480</v>
      </c>
      <c r="P42" s="237"/>
      <c r="Q42" s="215"/>
      <c r="R42" s="215"/>
    </row>
    <row r="43" ht="12.75" customHeight="1">
      <c r="A43" t="s" s="216">
        <v>54</v>
      </c>
      <c r="B43" t="s" s="216">
        <v>657</v>
      </c>
      <c r="C43" t="s" s="216">
        <v>675</v>
      </c>
      <c r="D43" s="244">
        <v>42643</v>
      </c>
      <c r="E43" s="244">
        <v>43007</v>
      </c>
      <c r="F43" s="245">
        <v>276</v>
      </c>
      <c r="G43" s="245">
        <v>0</v>
      </c>
      <c r="H43" t="s" s="216">
        <v>659</v>
      </c>
      <c r="I43" s="245">
        <v>364</v>
      </c>
      <c r="J43" s="245">
        <v>181</v>
      </c>
      <c r="K43" s="246">
        <v>0.4972527472527473</v>
      </c>
      <c r="L43" s="244">
        <f>E43-I43*0.4</f>
        <v>42861.4</v>
      </c>
      <c r="M43" s="215"/>
      <c r="N43" s="255">
        <v>42859.4</v>
      </c>
      <c r="O43" s="256">
        <v>930</v>
      </c>
      <c r="P43" s="237"/>
      <c r="Q43" s="215"/>
      <c r="R43" s="215"/>
    </row>
    <row r="44" ht="12.75" customHeight="1">
      <c r="A44" t="s" s="216">
        <v>54</v>
      </c>
      <c r="B44" t="s" s="216">
        <v>657</v>
      </c>
      <c r="C44" t="s" s="216">
        <v>677</v>
      </c>
      <c r="D44" s="244">
        <v>42683</v>
      </c>
      <c r="E44" s="244">
        <v>43047</v>
      </c>
      <c r="F44" s="245">
        <v>312</v>
      </c>
      <c r="G44" s="245">
        <v>0</v>
      </c>
      <c r="H44" t="s" s="216">
        <v>659</v>
      </c>
      <c r="I44" s="245">
        <v>364</v>
      </c>
      <c r="J44" s="245">
        <v>221</v>
      </c>
      <c r="K44" s="246">
        <v>0.6071428571428571</v>
      </c>
      <c r="L44" s="244">
        <f>E44-I44*0.4</f>
        <v>42901.4</v>
      </c>
      <c r="M44" s="215"/>
      <c r="N44" s="255">
        <v>42889.4</v>
      </c>
      <c r="O44" s="256">
        <v>2133</v>
      </c>
      <c r="P44" s="237"/>
      <c r="Q44" s="215"/>
      <c r="R44" s="215"/>
    </row>
    <row r="45" ht="12.75" customHeight="1">
      <c r="A45" t="s" s="216">
        <v>54</v>
      </c>
      <c r="B45" t="s" s="216">
        <v>657</v>
      </c>
      <c r="C45" t="s" s="216">
        <v>675</v>
      </c>
      <c r="D45" s="244">
        <v>42643</v>
      </c>
      <c r="E45" s="244">
        <v>43007</v>
      </c>
      <c r="F45" s="245">
        <v>744</v>
      </c>
      <c r="G45" s="245">
        <v>0</v>
      </c>
      <c r="H45" t="s" s="216">
        <v>659</v>
      </c>
      <c r="I45" s="245">
        <v>364</v>
      </c>
      <c r="J45" s="245">
        <v>181</v>
      </c>
      <c r="K45" s="246">
        <v>0.4972527472527473</v>
      </c>
      <c r="L45" s="244">
        <f>E45-I45*0.4</f>
        <v>42861.4</v>
      </c>
      <c r="M45" s="215"/>
      <c r="N45" s="255">
        <v>42920.4</v>
      </c>
      <c r="O45" s="256">
        <v>1637</v>
      </c>
      <c r="P45" s="237"/>
      <c r="Q45" s="215"/>
      <c r="R45" s="215"/>
    </row>
    <row r="46" ht="12.75" customHeight="1">
      <c r="A46" t="s" s="216">
        <v>54</v>
      </c>
      <c r="B46" t="s" s="216">
        <v>657</v>
      </c>
      <c r="C46" t="s" s="216">
        <v>677</v>
      </c>
      <c r="D46" s="244">
        <v>42683</v>
      </c>
      <c r="E46" s="244">
        <v>43047</v>
      </c>
      <c r="F46" s="245">
        <v>2172</v>
      </c>
      <c r="G46" s="245">
        <v>0</v>
      </c>
      <c r="H46" t="s" s="216">
        <v>659</v>
      </c>
      <c r="I46" s="245">
        <v>364</v>
      </c>
      <c r="J46" s="245">
        <v>221</v>
      </c>
      <c r="K46" s="246">
        <v>0.6071428571428571</v>
      </c>
      <c r="L46" s="244">
        <f>E46-I46*0.4</f>
        <v>42901.4</v>
      </c>
      <c r="M46" s="215"/>
      <c r="N46" s="255">
        <v>42979.4</v>
      </c>
      <c r="O46" s="256">
        <v>1512</v>
      </c>
      <c r="P46" s="237"/>
      <c r="Q46" s="215"/>
      <c r="R46" s="215"/>
    </row>
    <row r="47" ht="12.75" customHeight="1">
      <c r="A47" t="s" s="216">
        <v>54</v>
      </c>
      <c r="B47" t="s" s="216">
        <v>657</v>
      </c>
      <c r="C47" t="s" s="216">
        <v>678</v>
      </c>
      <c r="D47" s="244">
        <v>42597</v>
      </c>
      <c r="E47" s="244">
        <v>42961</v>
      </c>
      <c r="F47" s="245">
        <v>16</v>
      </c>
      <c r="G47" s="245">
        <v>0</v>
      </c>
      <c r="H47" t="s" s="216">
        <v>659</v>
      </c>
      <c r="I47" s="245">
        <v>364</v>
      </c>
      <c r="J47" s="245">
        <v>135</v>
      </c>
      <c r="K47" s="246">
        <v>0.3708791208791209</v>
      </c>
      <c r="L47" s="244">
        <f>E47-I47*0.4</f>
        <v>42815.4</v>
      </c>
      <c r="M47" s="215"/>
      <c r="N47" t="s" s="258">
        <v>102</v>
      </c>
      <c r="O47" s="248">
        <v>1436</v>
      </c>
      <c r="P47" s="215"/>
      <c r="Q47" s="215"/>
      <c r="R47" s="215"/>
    </row>
    <row r="48" ht="12.75" customHeight="1">
      <c r="A48" t="s" s="216">
        <v>54</v>
      </c>
      <c r="B48" t="s" s="216">
        <v>657</v>
      </c>
      <c r="C48" t="s" s="216">
        <v>675</v>
      </c>
      <c r="D48" s="244">
        <v>42643</v>
      </c>
      <c r="E48" s="244">
        <v>43007</v>
      </c>
      <c r="F48" s="245">
        <v>21</v>
      </c>
      <c r="G48" s="245">
        <v>0</v>
      </c>
      <c r="H48" t="s" s="216">
        <v>659</v>
      </c>
      <c r="I48" s="245">
        <v>364</v>
      </c>
      <c r="J48" s="245">
        <v>181</v>
      </c>
      <c r="K48" s="246">
        <v>0.4972527472527473</v>
      </c>
      <c r="L48" s="244">
        <f>E48-I48*0.4</f>
        <v>42861.4</v>
      </c>
      <c r="M48" s="215"/>
      <c r="N48" s="251">
        <v>42706.4</v>
      </c>
      <c r="O48" s="245">
        <v>4</v>
      </c>
      <c r="P48" s="215"/>
      <c r="Q48" s="215"/>
      <c r="R48" s="215"/>
    </row>
    <row r="49" ht="12.75" customHeight="1">
      <c r="A49" t="s" s="216">
        <v>54</v>
      </c>
      <c r="B49" t="s" s="216">
        <v>666</v>
      </c>
      <c r="C49" t="s" s="216">
        <v>679</v>
      </c>
      <c r="D49" s="244">
        <v>42562</v>
      </c>
      <c r="E49" s="244">
        <v>42926</v>
      </c>
      <c r="F49" s="245">
        <v>2551</v>
      </c>
      <c r="G49" s="245">
        <v>0</v>
      </c>
      <c r="H49" t="s" s="216">
        <v>659</v>
      </c>
      <c r="I49" s="245">
        <v>364</v>
      </c>
      <c r="J49" s="245">
        <v>100</v>
      </c>
      <c r="K49" s="246">
        <v>0.2747252747252747</v>
      </c>
      <c r="L49" s="244">
        <f>E49-I49*0.4</f>
        <v>42780.4</v>
      </c>
      <c r="M49" s="215"/>
      <c r="N49" s="251">
        <v>42736.4</v>
      </c>
      <c r="O49" s="245">
        <v>27</v>
      </c>
      <c r="P49" s="215"/>
      <c r="Q49" s="215"/>
      <c r="R49" s="215"/>
    </row>
    <row r="50" ht="12.75" customHeight="1">
      <c r="A50" t="s" s="216">
        <v>54</v>
      </c>
      <c r="B50" t="s" s="216">
        <v>666</v>
      </c>
      <c r="C50" t="s" s="216">
        <v>678</v>
      </c>
      <c r="D50" s="244">
        <v>42597</v>
      </c>
      <c r="E50" s="244">
        <v>42961</v>
      </c>
      <c r="F50" s="245">
        <v>660</v>
      </c>
      <c r="G50" s="245">
        <v>0</v>
      </c>
      <c r="H50" t="s" s="216">
        <v>659</v>
      </c>
      <c r="I50" s="245">
        <v>364</v>
      </c>
      <c r="J50" s="245">
        <v>135</v>
      </c>
      <c r="K50" s="246">
        <v>0.3708791208791209</v>
      </c>
      <c r="L50" s="244">
        <f>E50-I50*0.4</f>
        <v>42815.4</v>
      </c>
      <c r="M50" s="215"/>
      <c r="N50" s="251">
        <v>42767.4</v>
      </c>
      <c r="O50" s="245">
        <v>19</v>
      </c>
      <c r="P50" s="215"/>
      <c r="Q50" s="215"/>
      <c r="R50" s="215"/>
    </row>
    <row r="51" ht="12.75" customHeight="1">
      <c r="A51" t="s" s="216">
        <v>54</v>
      </c>
      <c r="B51" t="s" s="216">
        <v>666</v>
      </c>
      <c r="C51" t="s" s="216">
        <v>670</v>
      </c>
      <c r="D51" s="244">
        <v>42625</v>
      </c>
      <c r="E51" s="244">
        <v>42989</v>
      </c>
      <c r="F51" s="245">
        <v>69</v>
      </c>
      <c r="G51" s="245">
        <v>0</v>
      </c>
      <c r="H51" t="s" s="216">
        <v>659</v>
      </c>
      <c r="I51" s="245">
        <v>364</v>
      </c>
      <c r="J51" s="245">
        <v>163</v>
      </c>
      <c r="K51" s="246">
        <v>0.4478021978021978</v>
      </c>
      <c r="L51" s="244">
        <f>E51-I51*0.4</f>
        <v>42843.4</v>
      </c>
      <c r="M51" s="215"/>
      <c r="N51" s="251">
        <v>42798.4</v>
      </c>
      <c r="O51" s="254">
        <v>24</v>
      </c>
      <c r="P51" s="215"/>
      <c r="Q51" s="215"/>
      <c r="R51" s="215"/>
    </row>
    <row r="52" ht="12.75" customHeight="1">
      <c r="A52" t="s" s="216">
        <v>54</v>
      </c>
      <c r="B52" t="s" s="216">
        <v>666</v>
      </c>
      <c r="C52" t="s" s="216">
        <v>675</v>
      </c>
      <c r="D52" s="244">
        <v>42643</v>
      </c>
      <c r="E52" s="244">
        <v>43007</v>
      </c>
      <c r="F52" s="245">
        <v>360</v>
      </c>
      <c r="G52" s="245">
        <v>0</v>
      </c>
      <c r="H52" t="s" s="216">
        <v>659</v>
      </c>
      <c r="I52" s="245">
        <v>364</v>
      </c>
      <c r="J52" s="245">
        <v>181</v>
      </c>
      <c r="K52" s="246">
        <v>0.4972527472527473</v>
      </c>
      <c r="L52" s="244">
        <f>E52-I52*0.4</f>
        <v>42861.4</v>
      </c>
      <c r="M52" s="215"/>
      <c r="N52" s="255">
        <v>42828.4</v>
      </c>
      <c r="O52" s="256">
        <v>765</v>
      </c>
      <c r="P52" s="237"/>
      <c r="Q52" s="215"/>
      <c r="R52" s="215"/>
    </row>
    <row r="53" ht="12.75" customHeight="1">
      <c r="A53" t="s" s="216">
        <v>54</v>
      </c>
      <c r="B53" t="s" s="216">
        <v>666</v>
      </c>
      <c r="C53" t="s" s="216">
        <v>674</v>
      </c>
      <c r="D53" s="244">
        <v>42531</v>
      </c>
      <c r="E53" s="244">
        <v>42895</v>
      </c>
      <c r="F53" s="245">
        <v>4</v>
      </c>
      <c r="G53" s="245">
        <v>0</v>
      </c>
      <c r="H53" t="s" s="216">
        <v>659</v>
      </c>
      <c r="I53" s="245">
        <v>364</v>
      </c>
      <c r="J53" s="245">
        <v>69</v>
      </c>
      <c r="K53" s="246">
        <v>0.1895604395604396</v>
      </c>
      <c r="L53" s="244">
        <f>E53-I53*0.4</f>
        <v>42749.4</v>
      </c>
      <c r="M53" s="215"/>
      <c r="N53" s="255">
        <v>42889.4</v>
      </c>
      <c r="O53" s="256">
        <v>12</v>
      </c>
      <c r="P53" s="237"/>
      <c r="Q53" s="215"/>
      <c r="R53" s="215"/>
    </row>
    <row r="54" ht="12.75" customHeight="1">
      <c r="A54" t="s" s="216">
        <v>54</v>
      </c>
      <c r="B54" t="s" s="216">
        <v>667</v>
      </c>
      <c r="C54" t="s" s="216">
        <v>678</v>
      </c>
      <c r="D54" s="244">
        <v>42597</v>
      </c>
      <c r="E54" s="244">
        <v>42961</v>
      </c>
      <c r="F54" s="245">
        <v>190</v>
      </c>
      <c r="G54" s="245">
        <v>0</v>
      </c>
      <c r="H54" t="s" s="216">
        <v>659</v>
      </c>
      <c r="I54" s="245">
        <v>364</v>
      </c>
      <c r="J54" s="245">
        <v>135</v>
      </c>
      <c r="K54" s="246">
        <v>0.3708791208791209</v>
      </c>
      <c r="L54" s="244">
        <f>E54-I54*0.4</f>
        <v>42815.4</v>
      </c>
      <c r="M54" s="215"/>
      <c r="N54" s="255">
        <v>42920.4</v>
      </c>
      <c r="O54" s="256">
        <v>18</v>
      </c>
      <c r="P54" s="237"/>
      <c r="Q54" s="215"/>
      <c r="R54" s="215"/>
    </row>
    <row r="55" ht="12.75" customHeight="1">
      <c r="A55" t="s" s="216">
        <v>54</v>
      </c>
      <c r="B55" t="s" s="216">
        <v>667</v>
      </c>
      <c r="C55" t="s" s="216">
        <v>675</v>
      </c>
      <c r="D55" s="244">
        <v>42643</v>
      </c>
      <c r="E55" s="244">
        <v>43007</v>
      </c>
      <c r="F55" s="245">
        <v>660</v>
      </c>
      <c r="G55" s="245">
        <v>0</v>
      </c>
      <c r="H55" t="s" s="216">
        <v>659</v>
      </c>
      <c r="I55" s="245">
        <v>364</v>
      </c>
      <c r="J55" s="245">
        <v>181</v>
      </c>
      <c r="K55" s="246">
        <v>0.4972527472527473</v>
      </c>
      <c r="L55" s="244">
        <f>E55-I55*0.4</f>
        <v>42861.4</v>
      </c>
      <c r="M55" s="215"/>
      <c r="N55" s="255">
        <v>42979.4</v>
      </c>
      <c r="O55" s="256">
        <v>567</v>
      </c>
      <c r="P55" s="237"/>
      <c r="Q55" s="215"/>
      <c r="R55" s="215"/>
    </row>
    <row r="56" ht="12.75" customHeight="1">
      <c r="A56" t="s" s="216">
        <v>54</v>
      </c>
      <c r="B56" t="s" s="216">
        <v>667</v>
      </c>
      <c r="C56" t="s" s="216">
        <v>677</v>
      </c>
      <c r="D56" s="244">
        <v>42683</v>
      </c>
      <c r="E56" s="244">
        <v>43047</v>
      </c>
      <c r="F56" s="245">
        <v>1140</v>
      </c>
      <c r="G56" s="245">
        <v>0</v>
      </c>
      <c r="H56" t="s" s="216">
        <v>659</v>
      </c>
      <c r="I56" s="245">
        <v>364</v>
      </c>
      <c r="J56" s="245">
        <v>221</v>
      </c>
      <c r="K56" s="246">
        <v>0.6071428571428571</v>
      </c>
      <c r="L56" s="244">
        <f>E56-I56*0.4</f>
        <v>42901.4</v>
      </c>
      <c r="M56" s="215"/>
      <c r="N56" t="s" s="258">
        <v>114</v>
      </c>
      <c r="O56" s="248">
        <v>1966</v>
      </c>
      <c r="P56" s="215"/>
      <c r="Q56" s="215"/>
      <c r="R56" s="215"/>
    </row>
    <row r="57" ht="12.75" customHeight="1">
      <c r="A57" t="s" s="216">
        <v>54</v>
      </c>
      <c r="B57" t="s" s="216">
        <v>667</v>
      </c>
      <c r="C57" t="s" s="216">
        <v>674</v>
      </c>
      <c r="D57" s="244">
        <v>42531</v>
      </c>
      <c r="E57" s="244">
        <v>42895</v>
      </c>
      <c r="F57" s="245">
        <v>101</v>
      </c>
      <c r="G57" s="245">
        <v>0</v>
      </c>
      <c r="H57" t="s" s="216">
        <v>659</v>
      </c>
      <c r="I57" s="245">
        <v>364</v>
      </c>
      <c r="J57" s="245">
        <v>69</v>
      </c>
      <c r="K57" s="246">
        <v>0.1895604395604396</v>
      </c>
      <c r="L57" s="244">
        <f>E57-I57*0.4</f>
        <v>42749.4</v>
      </c>
      <c r="M57" s="215"/>
      <c r="N57" s="251">
        <v>42753.4</v>
      </c>
      <c r="O57" s="245">
        <v>20</v>
      </c>
      <c r="P57" s="215"/>
      <c r="Q57" s="215"/>
      <c r="R57" s="215"/>
    </row>
    <row r="58" ht="12.75" customHeight="1">
      <c r="A58" t="s" s="216">
        <v>54</v>
      </c>
      <c r="B58" t="s" s="216">
        <v>668</v>
      </c>
      <c r="C58" t="s" s="216">
        <v>680</v>
      </c>
      <c r="D58" s="244">
        <v>42499</v>
      </c>
      <c r="E58" s="244">
        <v>42863</v>
      </c>
      <c r="F58" s="245">
        <v>24</v>
      </c>
      <c r="G58" s="245">
        <v>0</v>
      </c>
      <c r="H58" t="s" s="216">
        <v>659</v>
      </c>
      <c r="I58" s="245">
        <v>364</v>
      </c>
      <c r="J58" s="245">
        <v>37</v>
      </c>
      <c r="K58" s="246">
        <v>0.1016483516483516</v>
      </c>
      <c r="L58" s="244">
        <f>E58-I58*0.4</f>
        <v>42717.4</v>
      </c>
      <c r="M58" s="215"/>
      <c r="N58" s="251">
        <v>42814.4</v>
      </c>
      <c r="O58" s="254">
        <v>300</v>
      </c>
      <c r="P58" s="215"/>
      <c r="Q58" s="215"/>
      <c r="R58" s="215"/>
    </row>
    <row r="59" ht="12.75" customHeight="1">
      <c r="A59" t="s" s="216">
        <v>54</v>
      </c>
      <c r="B59" t="s" s="216">
        <v>668</v>
      </c>
      <c r="C59" t="s" s="216">
        <v>678</v>
      </c>
      <c r="D59" s="244">
        <v>42597</v>
      </c>
      <c r="E59" s="244">
        <v>42961</v>
      </c>
      <c r="F59" s="245">
        <v>108</v>
      </c>
      <c r="G59" s="245">
        <v>0</v>
      </c>
      <c r="H59" t="s" s="216">
        <v>659</v>
      </c>
      <c r="I59" s="245">
        <v>364</v>
      </c>
      <c r="J59" s="245">
        <v>135</v>
      </c>
      <c r="K59" s="246">
        <v>0.3708791208791209</v>
      </c>
      <c r="L59" s="244">
        <f>E59-I59*0.4</f>
        <v>42815.4</v>
      </c>
      <c r="M59" s="215"/>
      <c r="N59" s="255">
        <v>42845.4</v>
      </c>
      <c r="O59" s="256">
        <v>20</v>
      </c>
      <c r="P59" s="237"/>
      <c r="Q59" s="215"/>
      <c r="R59" s="215"/>
    </row>
    <row r="60" ht="12.75" customHeight="1">
      <c r="A60" t="s" s="216">
        <v>54</v>
      </c>
      <c r="B60" t="s" s="216">
        <v>668</v>
      </c>
      <c r="C60" t="s" s="216">
        <v>674</v>
      </c>
      <c r="D60" s="244">
        <v>42531</v>
      </c>
      <c r="E60" s="244">
        <v>42895</v>
      </c>
      <c r="F60" s="245">
        <v>180</v>
      </c>
      <c r="G60" s="245">
        <v>0</v>
      </c>
      <c r="H60" t="s" s="216">
        <v>659</v>
      </c>
      <c r="I60" s="245">
        <v>364</v>
      </c>
      <c r="J60" s="245">
        <v>69</v>
      </c>
      <c r="K60" s="246">
        <v>0.1895604395604396</v>
      </c>
      <c r="L60" s="244">
        <f>E60-I60*0.4</f>
        <v>42749.4</v>
      </c>
      <c r="M60" s="215"/>
      <c r="N60" s="255">
        <v>42906.4</v>
      </c>
      <c r="O60" s="256">
        <v>26</v>
      </c>
      <c r="P60" s="237"/>
      <c r="Q60" s="215"/>
      <c r="R60" s="215"/>
    </row>
    <row r="61" ht="12.75" customHeight="1">
      <c r="A61" t="s" s="216">
        <v>66</v>
      </c>
      <c r="B61" t="s" s="216">
        <v>657</v>
      </c>
      <c r="C61" t="s" s="216">
        <v>681</v>
      </c>
      <c r="D61" s="244">
        <v>42667</v>
      </c>
      <c r="E61" s="244">
        <v>43031</v>
      </c>
      <c r="F61" s="245">
        <v>240</v>
      </c>
      <c r="G61" s="245">
        <v>0</v>
      </c>
      <c r="H61" t="s" s="216">
        <v>659</v>
      </c>
      <c r="I61" s="245">
        <v>364</v>
      </c>
      <c r="J61" s="245">
        <v>205</v>
      </c>
      <c r="K61" s="246">
        <v>0.5631868131868132</v>
      </c>
      <c r="L61" s="244">
        <f>E61-I61*0.4</f>
        <v>42885.4</v>
      </c>
      <c r="M61" s="215"/>
      <c r="N61" s="255">
        <v>42996.4</v>
      </c>
      <c r="O61" s="256">
        <v>1600</v>
      </c>
      <c r="P61" s="237"/>
      <c r="Q61" s="215"/>
      <c r="R61" s="215"/>
    </row>
    <row r="62" ht="12.75" customHeight="1">
      <c r="A62" t="s" s="216">
        <v>66</v>
      </c>
      <c r="B62" t="s" s="216">
        <v>657</v>
      </c>
      <c r="C62" t="s" s="216">
        <v>681</v>
      </c>
      <c r="D62" s="244">
        <v>42667</v>
      </c>
      <c r="E62" s="244">
        <v>43031</v>
      </c>
      <c r="F62" s="245">
        <v>1236</v>
      </c>
      <c r="G62" s="245">
        <v>0</v>
      </c>
      <c r="H62" t="s" s="216">
        <v>659</v>
      </c>
      <c r="I62" s="245">
        <v>364</v>
      </c>
      <c r="J62" s="245">
        <v>205</v>
      </c>
      <c r="K62" s="246">
        <v>0.5631868131868132</v>
      </c>
      <c r="L62" s="244">
        <f>E62-I62*0.4</f>
        <v>42885.4</v>
      </c>
      <c r="M62" s="215"/>
      <c r="N62" t="s" s="258">
        <v>126</v>
      </c>
      <c r="O62" s="248">
        <v>5799</v>
      </c>
      <c r="P62" s="215"/>
      <c r="Q62" s="215"/>
      <c r="R62" s="215"/>
    </row>
    <row r="63" ht="12.75" customHeight="1">
      <c r="A63" t="s" s="216">
        <v>66</v>
      </c>
      <c r="B63" t="s" s="216">
        <v>657</v>
      </c>
      <c r="C63" t="s" s="216">
        <v>682</v>
      </c>
      <c r="D63" s="244">
        <v>42621</v>
      </c>
      <c r="E63" s="244">
        <v>42985</v>
      </c>
      <c r="F63" s="245">
        <v>6</v>
      </c>
      <c r="G63" s="245">
        <v>0</v>
      </c>
      <c r="H63" t="s" s="216">
        <v>659</v>
      </c>
      <c r="I63" s="245">
        <v>364</v>
      </c>
      <c r="J63" s="245">
        <v>159</v>
      </c>
      <c r="K63" s="246">
        <v>0.4368131868131868</v>
      </c>
      <c r="L63" s="244">
        <f>E63-I63*0.4</f>
        <v>42839.4</v>
      </c>
      <c r="M63" s="215"/>
      <c r="N63" s="251">
        <v>42709.4</v>
      </c>
      <c r="O63" s="245">
        <v>3</v>
      </c>
      <c r="P63" s="215"/>
      <c r="Q63" s="215"/>
      <c r="R63" s="215"/>
    </row>
    <row r="64" ht="12.75" customHeight="1">
      <c r="A64" t="s" s="216">
        <v>66</v>
      </c>
      <c r="B64" t="s" s="216">
        <v>657</v>
      </c>
      <c r="C64" t="s" s="216">
        <v>683</v>
      </c>
      <c r="D64" s="244">
        <v>42642</v>
      </c>
      <c r="E64" s="244">
        <v>43006</v>
      </c>
      <c r="F64" s="245">
        <v>24</v>
      </c>
      <c r="G64" s="245">
        <v>0</v>
      </c>
      <c r="H64" t="s" s="216">
        <v>659</v>
      </c>
      <c r="I64" s="245">
        <v>364</v>
      </c>
      <c r="J64" s="245">
        <v>180</v>
      </c>
      <c r="K64" s="246">
        <v>0.4945054945054945</v>
      </c>
      <c r="L64" s="244">
        <f>E64-I64*0.4</f>
        <v>42860.4</v>
      </c>
      <c r="M64" s="215"/>
      <c r="N64" s="251">
        <v>42770.4</v>
      </c>
      <c r="O64" s="245">
        <v>403</v>
      </c>
      <c r="P64" s="215"/>
      <c r="Q64" s="215"/>
      <c r="R64" s="215"/>
    </row>
    <row r="65" ht="12.75" customHeight="1">
      <c r="A65" t="s" s="216">
        <v>66</v>
      </c>
      <c r="B65" t="s" s="216">
        <v>667</v>
      </c>
      <c r="C65" t="s" s="216">
        <v>681</v>
      </c>
      <c r="D65" s="244">
        <v>42667</v>
      </c>
      <c r="E65" s="244">
        <v>43031</v>
      </c>
      <c r="F65" s="245">
        <v>612</v>
      </c>
      <c r="G65" s="245">
        <v>0</v>
      </c>
      <c r="H65" t="s" s="216">
        <v>659</v>
      </c>
      <c r="I65" s="245">
        <v>364</v>
      </c>
      <c r="J65" s="245">
        <v>205</v>
      </c>
      <c r="K65" s="246">
        <v>0.5631868131868132</v>
      </c>
      <c r="L65" s="244">
        <f>E65-I65*0.4</f>
        <v>42885.4</v>
      </c>
      <c r="M65" s="215"/>
      <c r="N65" s="251">
        <v>42801.4</v>
      </c>
      <c r="O65" s="254">
        <v>2611</v>
      </c>
      <c r="P65" s="215"/>
      <c r="Q65" s="215"/>
      <c r="R65" s="215"/>
    </row>
    <row r="66" ht="12.75" customHeight="1">
      <c r="A66" t="s" s="216">
        <v>66</v>
      </c>
      <c r="B66" t="s" s="216">
        <v>668</v>
      </c>
      <c r="C66" t="s" s="216">
        <v>684</v>
      </c>
      <c r="D66" s="244">
        <v>42544</v>
      </c>
      <c r="E66" s="244">
        <v>42908</v>
      </c>
      <c r="F66" s="245">
        <v>12</v>
      </c>
      <c r="G66" s="245">
        <v>0</v>
      </c>
      <c r="H66" t="s" s="216">
        <v>659</v>
      </c>
      <c r="I66" s="245">
        <v>364</v>
      </c>
      <c r="J66" s="245">
        <v>82</v>
      </c>
      <c r="K66" s="246">
        <v>0.2252747252747253</v>
      </c>
      <c r="L66" s="244">
        <f>E66-I66*0.4</f>
        <v>42762.4</v>
      </c>
      <c r="M66" s="215"/>
      <c r="N66" s="255">
        <v>42893.4</v>
      </c>
      <c r="O66" s="256">
        <v>1980</v>
      </c>
      <c r="P66" s="237"/>
      <c r="Q66" s="215"/>
      <c r="R66" s="215"/>
    </row>
    <row r="67" ht="12.75" customHeight="1">
      <c r="A67" t="s" s="216">
        <v>78</v>
      </c>
      <c r="B67" t="s" s="216">
        <v>657</v>
      </c>
      <c r="C67" t="s" s="216">
        <v>685</v>
      </c>
      <c r="D67" s="244">
        <v>42523</v>
      </c>
      <c r="E67" s="244">
        <v>42978</v>
      </c>
      <c r="F67" s="245">
        <v>4188</v>
      </c>
      <c r="G67" s="245">
        <v>0</v>
      </c>
      <c r="H67" t="s" s="216">
        <v>659</v>
      </c>
      <c r="I67" s="245">
        <v>455</v>
      </c>
      <c r="J67" s="245">
        <v>152</v>
      </c>
      <c r="K67" s="246">
        <v>0.334065934065934</v>
      </c>
      <c r="L67" s="244">
        <f>E67-I67*0.4</f>
        <v>42796</v>
      </c>
      <c r="M67" s="215"/>
      <c r="N67" s="255">
        <v>42923.4</v>
      </c>
      <c r="O67" s="256">
        <v>802</v>
      </c>
      <c r="P67" s="237"/>
      <c r="Q67" s="215"/>
      <c r="R67" s="215"/>
    </row>
    <row r="68" ht="12.75" customHeight="1">
      <c r="A68" t="s" s="216">
        <v>78</v>
      </c>
      <c r="B68" t="s" s="216">
        <v>657</v>
      </c>
      <c r="C68" t="s" s="216">
        <v>686</v>
      </c>
      <c r="D68" s="244">
        <v>42553</v>
      </c>
      <c r="E68" s="244">
        <v>43008</v>
      </c>
      <c r="F68" s="245">
        <v>1260</v>
      </c>
      <c r="G68" s="245">
        <v>0</v>
      </c>
      <c r="H68" t="s" s="216">
        <v>659</v>
      </c>
      <c r="I68" s="245">
        <v>455</v>
      </c>
      <c r="J68" s="245">
        <v>182</v>
      </c>
      <c r="K68" s="246">
        <v>0.4</v>
      </c>
      <c r="L68" s="244">
        <f>E68-I68*0.4</f>
        <v>42826</v>
      </c>
      <c r="M68" s="215"/>
      <c r="N68" t="s" s="258">
        <v>138</v>
      </c>
      <c r="O68" s="248">
        <v>4637</v>
      </c>
      <c r="P68" s="215"/>
      <c r="Q68" s="215"/>
      <c r="R68" s="215"/>
    </row>
    <row r="69" ht="12.75" customHeight="1">
      <c r="A69" t="s" s="216">
        <v>78</v>
      </c>
      <c r="B69" t="s" s="216">
        <v>657</v>
      </c>
      <c r="C69" t="s" s="216">
        <v>687</v>
      </c>
      <c r="D69" s="244">
        <v>42584</v>
      </c>
      <c r="E69" s="244">
        <v>43039</v>
      </c>
      <c r="F69" s="245">
        <v>951</v>
      </c>
      <c r="G69" s="245">
        <v>0</v>
      </c>
      <c r="H69" t="s" s="216">
        <v>659</v>
      </c>
      <c r="I69" s="245">
        <v>455</v>
      </c>
      <c r="J69" s="245">
        <v>213</v>
      </c>
      <c r="K69" s="246">
        <v>0.4681318681318681</v>
      </c>
      <c r="L69" s="244">
        <f>E69-I69*0.4</f>
        <v>42857</v>
      </c>
      <c r="M69" s="215"/>
      <c r="N69" s="251">
        <v>42667.4</v>
      </c>
      <c r="O69" s="245">
        <v>20</v>
      </c>
      <c r="P69" s="215"/>
      <c r="Q69" s="215"/>
      <c r="R69" s="215"/>
    </row>
    <row r="70" ht="12.75" customHeight="1">
      <c r="A70" t="s" s="216">
        <v>78</v>
      </c>
      <c r="B70" t="s" s="216">
        <v>657</v>
      </c>
      <c r="C70" t="s" s="216">
        <v>688</v>
      </c>
      <c r="D70" s="244">
        <v>42614</v>
      </c>
      <c r="E70" s="244">
        <v>43069</v>
      </c>
      <c r="F70" s="245">
        <v>708</v>
      </c>
      <c r="G70" s="245">
        <v>0</v>
      </c>
      <c r="H70" t="s" s="216">
        <v>659</v>
      </c>
      <c r="I70" s="245">
        <v>455</v>
      </c>
      <c r="J70" s="245">
        <v>243</v>
      </c>
      <c r="K70" s="246">
        <v>0.5340659340659341</v>
      </c>
      <c r="L70" s="244">
        <f>E70-I70*0.4</f>
        <v>42887</v>
      </c>
      <c r="M70" s="215"/>
      <c r="N70" s="251">
        <v>42728.4</v>
      </c>
      <c r="O70" s="245">
        <v>498</v>
      </c>
      <c r="P70" s="215"/>
      <c r="Q70" s="215"/>
      <c r="R70" s="215"/>
    </row>
    <row r="71" ht="12.75" customHeight="1">
      <c r="A71" t="s" s="216">
        <v>78</v>
      </c>
      <c r="B71" t="s" s="216">
        <v>657</v>
      </c>
      <c r="C71" t="s" s="216">
        <v>689</v>
      </c>
      <c r="D71" s="244">
        <v>42645</v>
      </c>
      <c r="E71" s="244">
        <v>43100</v>
      </c>
      <c r="F71" s="245">
        <v>624</v>
      </c>
      <c r="G71" s="245">
        <v>0</v>
      </c>
      <c r="H71" t="s" s="216">
        <v>659</v>
      </c>
      <c r="I71" s="245">
        <v>455</v>
      </c>
      <c r="J71" s="245">
        <v>274</v>
      </c>
      <c r="K71" s="246">
        <v>0.6021978021978022</v>
      </c>
      <c r="L71" s="244">
        <f>E71-I71*0.4</f>
        <v>42918</v>
      </c>
      <c r="M71" s="215"/>
      <c r="N71" s="251">
        <v>42820.4</v>
      </c>
      <c r="O71" s="254">
        <v>3035</v>
      </c>
      <c r="P71" s="215"/>
      <c r="Q71" s="215"/>
      <c r="R71" s="215"/>
    </row>
    <row r="72" ht="12.75" customHeight="1">
      <c r="A72" t="s" s="216">
        <v>78</v>
      </c>
      <c r="B72" t="s" s="216">
        <v>657</v>
      </c>
      <c r="C72" t="s" s="216">
        <v>685</v>
      </c>
      <c r="D72" s="244">
        <v>42523</v>
      </c>
      <c r="E72" s="244">
        <v>42978</v>
      </c>
      <c r="F72" s="245">
        <v>672</v>
      </c>
      <c r="G72" s="245">
        <v>0</v>
      </c>
      <c r="H72" t="s" s="216">
        <v>659</v>
      </c>
      <c r="I72" s="245">
        <v>455</v>
      </c>
      <c r="J72" s="245">
        <v>152</v>
      </c>
      <c r="K72" s="246">
        <v>0.334065934065934</v>
      </c>
      <c r="L72" s="244">
        <f>E72-I72*0.4</f>
        <v>42796</v>
      </c>
      <c r="M72" s="215"/>
      <c r="N72" s="255">
        <v>42881.4</v>
      </c>
      <c r="O72" s="256">
        <v>124</v>
      </c>
      <c r="P72" s="237"/>
      <c r="Q72" s="215"/>
      <c r="R72" s="215"/>
    </row>
    <row r="73" ht="12.75" customHeight="1">
      <c r="A73" t="s" s="216">
        <v>78</v>
      </c>
      <c r="B73" t="s" s="216">
        <v>657</v>
      </c>
      <c r="C73" t="s" s="216">
        <v>685</v>
      </c>
      <c r="D73" s="244">
        <v>42523</v>
      </c>
      <c r="E73" s="244">
        <v>42978</v>
      </c>
      <c r="F73" s="245">
        <v>6924</v>
      </c>
      <c r="G73" s="245">
        <v>0</v>
      </c>
      <c r="H73" t="s" s="216">
        <v>659</v>
      </c>
      <c r="I73" s="245">
        <v>455</v>
      </c>
      <c r="J73" s="245">
        <v>152</v>
      </c>
      <c r="K73" s="246">
        <v>0.334065934065934</v>
      </c>
      <c r="L73" s="244">
        <f>E73-I73*0.4</f>
        <v>42796</v>
      </c>
      <c r="M73" s="215"/>
      <c r="N73" s="255">
        <v>42911.4</v>
      </c>
      <c r="O73" s="256">
        <v>960</v>
      </c>
      <c r="P73" s="237"/>
      <c r="Q73" s="215"/>
      <c r="R73" s="215"/>
    </row>
    <row r="74" ht="12.75" customHeight="1">
      <c r="A74" t="s" s="216">
        <v>78</v>
      </c>
      <c r="B74" t="s" s="216">
        <v>657</v>
      </c>
      <c r="C74" t="s" s="216">
        <v>686</v>
      </c>
      <c r="D74" s="244">
        <v>42553</v>
      </c>
      <c r="E74" s="244">
        <v>43008</v>
      </c>
      <c r="F74" s="245">
        <v>14232</v>
      </c>
      <c r="G74" s="245">
        <v>0</v>
      </c>
      <c r="H74" t="s" s="216">
        <v>659</v>
      </c>
      <c r="I74" s="245">
        <v>455</v>
      </c>
      <c r="J74" s="245">
        <v>182</v>
      </c>
      <c r="K74" s="246">
        <v>0.4</v>
      </c>
      <c r="L74" s="244">
        <f>E74-I74*0.4</f>
        <v>42826</v>
      </c>
      <c r="M74" s="215"/>
      <c r="N74" t="s" s="258">
        <v>150</v>
      </c>
      <c r="O74" s="248">
        <v>78391</v>
      </c>
      <c r="P74" s="215"/>
      <c r="Q74" s="215"/>
      <c r="R74" s="215"/>
    </row>
    <row r="75" ht="12.75" customHeight="1">
      <c r="A75" t="s" s="216">
        <v>78</v>
      </c>
      <c r="B75" t="s" s="216">
        <v>657</v>
      </c>
      <c r="C75" t="s" s="216">
        <v>687</v>
      </c>
      <c r="D75" s="244">
        <v>42584</v>
      </c>
      <c r="E75" s="244">
        <v>43039</v>
      </c>
      <c r="F75" s="245">
        <v>89664</v>
      </c>
      <c r="G75" s="245">
        <v>0</v>
      </c>
      <c r="H75" t="s" s="216">
        <v>659</v>
      </c>
      <c r="I75" s="245">
        <v>455</v>
      </c>
      <c r="J75" s="245">
        <v>213</v>
      </c>
      <c r="K75" s="246">
        <v>0.4681318681318681</v>
      </c>
      <c r="L75" s="244">
        <f>E75-I75*0.4</f>
        <v>42857</v>
      </c>
      <c r="M75" s="215"/>
      <c r="N75" s="251">
        <v>42795</v>
      </c>
      <c r="O75" s="254">
        <v>8</v>
      </c>
      <c r="P75" s="215"/>
      <c r="Q75" s="215"/>
      <c r="R75" s="215"/>
    </row>
    <row r="76" ht="12.75" customHeight="1">
      <c r="A76" t="s" s="216">
        <v>78</v>
      </c>
      <c r="B76" t="s" s="216">
        <v>657</v>
      </c>
      <c r="C76" t="s" s="216">
        <v>688</v>
      </c>
      <c r="D76" s="244">
        <v>42614</v>
      </c>
      <c r="E76" s="244">
        <v>43069</v>
      </c>
      <c r="F76" s="245">
        <v>1296</v>
      </c>
      <c r="G76" s="245">
        <v>0</v>
      </c>
      <c r="H76" t="s" s="216">
        <v>659</v>
      </c>
      <c r="I76" s="245">
        <v>455</v>
      </c>
      <c r="J76" s="245">
        <v>243</v>
      </c>
      <c r="K76" s="246">
        <v>0.5340659340659341</v>
      </c>
      <c r="L76" s="244">
        <f>E76-I76*0.4</f>
        <v>42887</v>
      </c>
      <c r="M76" s="215"/>
      <c r="N76" s="255">
        <v>42826</v>
      </c>
      <c r="O76" s="259">
        <v>61338</v>
      </c>
      <c r="P76" s="237"/>
      <c r="Q76" s="215"/>
      <c r="R76" s="215"/>
    </row>
    <row r="77" ht="12.75" customHeight="1">
      <c r="A77" t="s" s="216">
        <v>78</v>
      </c>
      <c r="B77" t="s" s="216">
        <v>657</v>
      </c>
      <c r="C77" t="s" s="216">
        <v>689</v>
      </c>
      <c r="D77" s="244">
        <v>42645</v>
      </c>
      <c r="E77" s="244">
        <v>43100</v>
      </c>
      <c r="F77" s="245">
        <v>420</v>
      </c>
      <c r="G77" s="245">
        <v>0</v>
      </c>
      <c r="H77" t="s" s="216">
        <v>659</v>
      </c>
      <c r="I77" s="245">
        <v>455</v>
      </c>
      <c r="J77" s="245">
        <v>274</v>
      </c>
      <c r="K77" s="246">
        <v>0.6021978021978022</v>
      </c>
      <c r="L77" s="244">
        <f>E77-I77*0.4</f>
        <v>42918</v>
      </c>
      <c r="M77" s="215"/>
      <c r="N77" s="255">
        <v>42887</v>
      </c>
      <c r="O77" s="256">
        <v>12138</v>
      </c>
      <c r="P77" s="237"/>
      <c r="Q77" s="215"/>
      <c r="R77" s="215"/>
    </row>
    <row r="78" ht="12.75" customHeight="1">
      <c r="A78" t="s" s="216">
        <v>78</v>
      </c>
      <c r="B78" t="s" s="216">
        <v>657</v>
      </c>
      <c r="C78" t="s" s="216">
        <v>690</v>
      </c>
      <c r="D78" s="244">
        <v>42704</v>
      </c>
      <c r="E78" s="244">
        <v>43159</v>
      </c>
      <c r="F78" s="245">
        <v>7056</v>
      </c>
      <c r="G78" s="245">
        <v>0</v>
      </c>
      <c r="H78" t="s" s="216">
        <v>659</v>
      </c>
      <c r="I78" s="245">
        <v>455</v>
      </c>
      <c r="J78" s="245">
        <v>333</v>
      </c>
      <c r="K78" s="246">
        <v>0.7318681318681318</v>
      </c>
      <c r="L78" s="244">
        <f>E78-I78*0.4</f>
        <v>42977</v>
      </c>
      <c r="M78" s="215"/>
      <c r="N78" s="255">
        <v>42917</v>
      </c>
      <c r="O78" s="256">
        <v>427</v>
      </c>
      <c r="P78" s="237"/>
      <c r="Q78" s="215"/>
      <c r="R78" s="215"/>
    </row>
    <row r="79" ht="12.75" customHeight="1">
      <c r="A79" t="s" s="216">
        <v>78</v>
      </c>
      <c r="B79" t="s" s="216">
        <v>657</v>
      </c>
      <c r="C79" t="s" s="216">
        <v>686</v>
      </c>
      <c r="D79" s="244">
        <v>42553</v>
      </c>
      <c r="E79" s="244">
        <v>43008</v>
      </c>
      <c r="F79" s="245">
        <v>5</v>
      </c>
      <c r="G79" s="245">
        <v>0</v>
      </c>
      <c r="H79" t="s" s="216">
        <v>659</v>
      </c>
      <c r="I79" s="245">
        <v>455</v>
      </c>
      <c r="J79" s="245">
        <v>182</v>
      </c>
      <c r="K79" s="246">
        <v>0.4</v>
      </c>
      <c r="L79" s="244">
        <f>E79-I79*0.4</f>
        <v>42826</v>
      </c>
      <c r="M79" s="215"/>
      <c r="N79" s="255">
        <v>42948</v>
      </c>
      <c r="O79" s="256">
        <v>20</v>
      </c>
      <c r="P79" s="237"/>
      <c r="Q79" s="215"/>
      <c r="R79" s="215"/>
    </row>
    <row r="80" ht="12.75" customHeight="1">
      <c r="A80" t="s" s="216">
        <v>78</v>
      </c>
      <c r="B80" t="s" s="216">
        <v>657</v>
      </c>
      <c r="C80" t="s" s="216">
        <v>687</v>
      </c>
      <c r="D80" s="244">
        <v>42584</v>
      </c>
      <c r="E80" s="244">
        <v>43039</v>
      </c>
      <c r="F80" s="245">
        <v>23</v>
      </c>
      <c r="G80" s="245">
        <v>0</v>
      </c>
      <c r="H80" t="s" s="216">
        <v>659</v>
      </c>
      <c r="I80" s="245">
        <v>455</v>
      </c>
      <c r="J80" s="245">
        <v>213</v>
      </c>
      <c r="K80" s="246">
        <v>0.4681318681318681</v>
      </c>
      <c r="L80" s="244">
        <f>E80-I80*0.4</f>
        <v>42857</v>
      </c>
      <c r="M80" s="215"/>
      <c r="N80" s="255">
        <v>42977</v>
      </c>
      <c r="O80" s="256">
        <v>4460</v>
      </c>
      <c r="P80" s="237"/>
      <c r="Q80" s="215"/>
      <c r="R80" s="215"/>
    </row>
    <row r="81" ht="12.75" customHeight="1">
      <c r="A81" t="s" s="216">
        <v>78</v>
      </c>
      <c r="B81" t="s" s="216">
        <v>666</v>
      </c>
      <c r="C81" t="s" s="216">
        <v>691</v>
      </c>
      <c r="D81" s="244">
        <v>42492</v>
      </c>
      <c r="E81" s="244">
        <v>42947</v>
      </c>
      <c r="F81" s="245">
        <v>429</v>
      </c>
      <c r="G81" s="245">
        <v>0</v>
      </c>
      <c r="H81" t="s" s="216">
        <v>659</v>
      </c>
      <c r="I81" s="245">
        <v>455</v>
      </c>
      <c r="J81" s="245">
        <v>121</v>
      </c>
      <c r="K81" s="246">
        <v>0.2659340659340659</v>
      </c>
      <c r="L81" s="244">
        <f>E81-I81*0.4</f>
        <v>42765</v>
      </c>
      <c r="M81" s="215"/>
      <c r="N81" t="s" s="258">
        <v>162</v>
      </c>
      <c r="O81" s="248">
        <v>62204</v>
      </c>
      <c r="P81" s="215"/>
      <c r="Q81" s="215"/>
      <c r="R81" s="215"/>
    </row>
    <row r="82" ht="12.75" customHeight="1">
      <c r="A82" t="s" s="216">
        <v>78</v>
      </c>
      <c r="B82" t="s" s="216">
        <v>666</v>
      </c>
      <c r="C82" t="s" s="216">
        <v>685</v>
      </c>
      <c r="D82" s="244">
        <v>42523</v>
      </c>
      <c r="E82" s="244">
        <v>42978</v>
      </c>
      <c r="F82" s="245">
        <v>1423</v>
      </c>
      <c r="G82" s="245">
        <v>0</v>
      </c>
      <c r="H82" t="s" s="216">
        <v>659</v>
      </c>
      <c r="I82" s="245">
        <v>455</v>
      </c>
      <c r="J82" s="245">
        <v>152</v>
      </c>
      <c r="K82" s="246">
        <v>0.334065934065934</v>
      </c>
      <c r="L82" s="244">
        <f>E82-I82*0.4</f>
        <v>42796</v>
      </c>
      <c r="M82" s="215"/>
      <c r="N82" s="251">
        <v>42734</v>
      </c>
      <c r="O82" s="245">
        <v>13</v>
      </c>
      <c r="P82" s="215"/>
      <c r="Q82" s="215"/>
      <c r="R82" s="215"/>
    </row>
    <row r="83" ht="12.75" customHeight="1">
      <c r="A83" t="s" s="216">
        <v>78</v>
      </c>
      <c r="B83" t="s" s="216">
        <v>666</v>
      </c>
      <c r="C83" t="s" s="216">
        <v>686</v>
      </c>
      <c r="D83" s="244">
        <v>42553</v>
      </c>
      <c r="E83" s="244">
        <v>43008</v>
      </c>
      <c r="F83" s="245">
        <v>36</v>
      </c>
      <c r="G83" s="245">
        <v>0</v>
      </c>
      <c r="H83" t="s" s="216">
        <v>659</v>
      </c>
      <c r="I83" s="245">
        <v>455</v>
      </c>
      <c r="J83" s="245">
        <v>182</v>
      </c>
      <c r="K83" s="246">
        <v>0.4</v>
      </c>
      <c r="L83" s="244">
        <f>E83-I83*0.4</f>
        <v>42826</v>
      </c>
      <c r="M83" s="215"/>
      <c r="N83" s="251">
        <v>42764</v>
      </c>
      <c r="O83" s="254">
        <v>8</v>
      </c>
      <c r="P83" s="215"/>
      <c r="Q83" s="215"/>
      <c r="R83" s="215"/>
    </row>
    <row r="84" ht="12.75" customHeight="1">
      <c r="A84" t="s" s="216">
        <v>78</v>
      </c>
      <c r="B84" t="s" s="216">
        <v>666</v>
      </c>
      <c r="C84" t="s" s="216">
        <v>687</v>
      </c>
      <c r="D84" s="244">
        <v>42584</v>
      </c>
      <c r="E84" s="244">
        <v>43039</v>
      </c>
      <c r="F84" s="245">
        <v>407</v>
      </c>
      <c r="G84" s="245">
        <v>0</v>
      </c>
      <c r="H84" t="s" s="216">
        <v>659</v>
      </c>
      <c r="I84" s="245">
        <v>455</v>
      </c>
      <c r="J84" s="245">
        <v>213</v>
      </c>
      <c r="K84" s="246">
        <v>0.4681318681318681</v>
      </c>
      <c r="L84" s="244">
        <f>E84-I84*0.4</f>
        <v>42857</v>
      </c>
      <c r="M84" s="215"/>
      <c r="N84" s="255">
        <v>42826</v>
      </c>
      <c r="O84" s="256">
        <v>96</v>
      </c>
      <c r="P84" s="237"/>
      <c r="Q84" s="215"/>
      <c r="R84" s="215"/>
    </row>
    <row r="85" ht="12.75" customHeight="1">
      <c r="A85" t="s" s="216">
        <v>78</v>
      </c>
      <c r="B85" t="s" s="216">
        <v>666</v>
      </c>
      <c r="C85" t="s" s="216">
        <v>688</v>
      </c>
      <c r="D85" s="244">
        <v>42614</v>
      </c>
      <c r="E85" s="244">
        <v>43069</v>
      </c>
      <c r="F85" s="245">
        <v>384</v>
      </c>
      <c r="G85" s="245">
        <v>0</v>
      </c>
      <c r="H85" t="s" s="216">
        <v>659</v>
      </c>
      <c r="I85" s="245">
        <v>455</v>
      </c>
      <c r="J85" s="245">
        <v>243</v>
      </c>
      <c r="K85" s="246">
        <v>0.5340659340659341</v>
      </c>
      <c r="L85" s="244">
        <f>E85-I85*0.4</f>
        <v>42887</v>
      </c>
      <c r="M85" s="215"/>
      <c r="N85" s="255">
        <v>42856</v>
      </c>
      <c r="O85" s="256">
        <v>33748</v>
      </c>
      <c r="P85" s="237"/>
      <c r="Q85" s="215"/>
      <c r="R85" s="215"/>
    </row>
    <row r="86" ht="12.75" customHeight="1">
      <c r="A86" t="s" s="216">
        <v>78</v>
      </c>
      <c r="B86" t="s" s="216">
        <v>666</v>
      </c>
      <c r="C86" t="s" s="216">
        <v>689</v>
      </c>
      <c r="D86" s="244">
        <v>42645</v>
      </c>
      <c r="E86" s="244">
        <v>43100</v>
      </c>
      <c r="F86" s="245">
        <v>996</v>
      </c>
      <c r="G86" s="245">
        <v>0</v>
      </c>
      <c r="H86" t="s" s="216">
        <v>659</v>
      </c>
      <c r="I86" s="245">
        <v>455</v>
      </c>
      <c r="J86" s="245">
        <v>274</v>
      </c>
      <c r="K86" s="246">
        <v>0.6021978021978022</v>
      </c>
      <c r="L86" s="244">
        <f>E86-I86*0.4</f>
        <v>42918</v>
      </c>
      <c r="M86" s="215"/>
      <c r="N86" s="255">
        <v>42887</v>
      </c>
      <c r="O86" s="256">
        <v>23148</v>
      </c>
      <c r="P86" s="237"/>
      <c r="Q86" s="215"/>
      <c r="R86" s="215"/>
    </row>
    <row r="87" ht="12.75" customHeight="1">
      <c r="A87" t="s" s="216">
        <v>78</v>
      </c>
      <c r="B87" t="s" s="216">
        <v>667</v>
      </c>
      <c r="C87" t="s" s="216">
        <v>687</v>
      </c>
      <c r="D87" s="244">
        <v>42584</v>
      </c>
      <c r="E87" s="244">
        <v>43039</v>
      </c>
      <c r="F87" s="245">
        <v>4</v>
      </c>
      <c r="G87" s="245">
        <v>0</v>
      </c>
      <c r="H87" t="s" s="216">
        <v>659</v>
      </c>
      <c r="I87" s="245">
        <v>455</v>
      </c>
      <c r="J87" s="245">
        <v>213</v>
      </c>
      <c r="K87" s="246">
        <v>0.4681318681318681</v>
      </c>
      <c r="L87" s="244">
        <f>E87-I87*0.4</f>
        <v>42857</v>
      </c>
      <c r="M87" s="215"/>
      <c r="N87" s="255">
        <v>42917</v>
      </c>
      <c r="O87" s="256">
        <v>72</v>
      </c>
      <c r="P87" s="237"/>
      <c r="Q87" s="215"/>
      <c r="R87" s="215"/>
    </row>
    <row r="88" ht="12.75" customHeight="1">
      <c r="A88" t="s" s="216">
        <v>78</v>
      </c>
      <c r="B88" t="s" s="216">
        <v>667</v>
      </c>
      <c r="C88" t="s" s="216">
        <v>688</v>
      </c>
      <c r="D88" s="244">
        <v>42614</v>
      </c>
      <c r="E88" s="244">
        <v>43069</v>
      </c>
      <c r="F88" s="245">
        <v>444</v>
      </c>
      <c r="G88" s="245">
        <v>0</v>
      </c>
      <c r="H88" t="s" s="216">
        <v>659</v>
      </c>
      <c r="I88" s="245">
        <v>455</v>
      </c>
      <c r="J88" s="245">
        <v>243</v>
      </c>
      <c r="K88" s="246">
        <v>0.5340659340659341</v>
      </c>
      <c r="L88" s="244">
        <f>E88-I88*0.4</f>
        <v>42887</v>
      </c>
      <c r="M88" s="215"/>
      <c r="N88" s="255">
        <v>42948</v>
      </c>
      <c r="O88" s="256">
        <v>99</v>
      </c>
      <c r="P88" s="237"/>
      <c r="Q88" s="215"/>
      <c r="R88" s="215"/>
    </row>
    <row r="89" ht="12.75" customHeight="1">
      <c r="A89" t="s" s="216">
        <v>78</v>
      </c>
      <c r="B89" t="s" s="216">
        <v>667</v>
      </c>
      <c r="C89" t="s" s="216">
        <v>689</v>
      </c>
      <c r="D89" s="244">
        <v>42645</v>
      </c>
      <c r="E89" s="244">
        <v>43100</v>
      </c>
      <c r="F89" s="245">
        <v>828</v>
      </c>
      <c r="G89" s="245">
        <v>0</v>
      </c>
      <c r="H89" t="s" s="216">
        <v>659</v>
      </c>
      <c r="I89" s="245">
        <v>455</v>
      </c>
      <c r="J89" s="245">
        <v>274</v>
      </c>
      <c r="K89" s="246">
        <v>0.6021978021978022</v>
      </c>
      <c r="L89" s="244">
        <f>E89-I89*0.4</f>
        <v>42918</v>
      </c>
      <c r="M89" s="215"/>
      <c r="N89" s="255">
        <v>42977</v>
      </c>
      <c r="O89" s="256">
        <v>5020</v>
      </c>
      <c r="P89" s="237"/>
      <c r="Q89" s="215"/>
      <c r="R89" s="215"/>
    </row>
    <row r="90" ht="12.75" customHeight="1">
      <c r="A90" t="s" s="216">
        <v>78</v>
      </c>
      <c r="B90" t="s" s="216">
        <v>667</v>
      </c>
      <c r="C90" t="s" s="216">
        <v>690</v>
      </c>
      <c r="D90" s="244">
        <v>42704</v>
      </c>
      <c r="E90" s="244">
        <v>43159</v>
      </c>
      <c r="F90" s="245">
        <v>720</v>
      </c>
      <c r="G90" s="245">
        <v>0</v>
      </c>
      <c r="H90" t="s" s="216">
        <v>659</v>
      </c>
      <c r="I90" s="245">
        <v>455</v>
      </c>
      <c r="J90" s="245">
        <v>333</v>
      </c>
      <c r="K90" s="246">
        <v>0.7318681318681318</v>
      </c>
      <c r="L90" s="244">
        <f>E90-I90*0.4</f>
        <v>42977</v>
      </c>
      <c r="M90" s="215"/>
      <c r="N90" t="s" s="258">
        <v>174</v>
      </c>
      <c r="O90" s="248">
        <v>2147</v>
      </c>
      <c r="P90" s="215"/>
      <c r="Q90" s="215"/>
      <c r="R90" s="215"/>
    </row>
    <row r="91" ht="12.75" customHeight="1">
      <c r="A91" t="s" s="216">
        <v>78</v>
      </c>
      <c r="B91" t="s" s="216">
        <v>668</v>
      </c>
      <c r="C91" t="s" s="216">
        <v>689</v>
      </c>
      <c r="D91" s="244">
        <v>42645</v>
      </c>
      <c r="E91" s="244">
        <v>43100</v>
      </c>
      <c r="F91" s="245">
        <v>96</v>
      </c>
      <c r="G91" s="245">
        <v>0</v>
      </c>
      <c r="H91" t="s" s="216">
        <v>659</v>
      </c>
      <c r="I91" s="245">
        <v>455</v>
      </c>
      <c r="J91" s="245">
        <v>274</v>
      </c>
      <c r="K91" s="246">
        <v>0.6021978021978022</v>
      </c>
      <c r="L91" s="244">
        <f>E91-I91*0.4</f>
        <v>42918</v>
      </c>
      <c r="M91" s="215"/>
      <c r="N91" s="251">
        <v>42764</v>
      </c>
      <c r="O91" s="245">
        <v>5</v>
      </c>
      <c r="P91" s="215"/>
      <c r="Q91" s="215"/>
      <c r="R91" s="215"/>
    </row>
    <row r="92" ht="12.75" customHeight="1">
      <c r="A92" t="s" s="216">
        <v>90</v>
      </c>
      <c r="B92" t="s" s="216">
        <v>657</v>
      </c>
      <c r="C92" t="s" s="216">
        <v>663</v>
      </c>
      <c r="D92" s="244">
        <v>42529</v>
      </c>
      <c r="E92" s="244">
        <v>42978</v>
      </c>
      <c r="F92" s="245">
        <v>1</v>
      </c>
      <c r="G92" s="245">
        <v>0</v>
      </c>
      <c r="H92" t="s" s="216">
        <v>659</v>
      </c>
      <c r="I92" s="245">
        <v>449</v>
      </c>
      <c r="J92" s="245">
        <v>152</v>
      </c>
      <c r="K92" s="246">
        <v>0.3385300668151447</v>
      </c>
      <c r="L92" s="244">
        <f>E92-I92*0.4</f>
        <v>42798.4</v>
      </c>
      <c r="M92" s="215"/>
      <c r="N92" s="251">
        <v>42795</v>
      </c>
      <c r="O92" s="254">
        <v>6</v>
      </c>
      <c r="P92" s="215"/>
      <c r="Q92" s="215"/>
      <c r="R92" s="215"/>
    </row>
    <row r="93" ht="12.75" customHeight="1">
      <c r="A93" t="s" s="216">
        <v>90</v>
      </c>
      <c r="B93" t="s" s="216">
        <v>657</v>
      </c>
      <c r="C93" t="s" s="216">
        <v>664</v>
      </c>
      <c r="D93" s="244">
        <v>42620</v>
      </c>
      <c r="E93" s="244">
        <v>43069</v>
      </c>
      <c r="F93" s="245">
        <v>756</v>
      </c>
      <c r="G93" s="245">
        <v>0</v>
      </c>
      <c r="H93" t="s" s="216">
        <v>659</v>
      </c>
      <c r="I93" s="245">
        <v>449</v>
      </c>
      <c r="J93" s="245">
        <v>243</v>
      </c>
      <c r="K93" s="246">
        <v>0.5412026726057907</v>
      </c>
      <c r="L93" s="244">
        <f>E93-I93*0.4</f>
        <v>42889.4</v>
      </c>
      <c r="M93" s="215"/>
      <c r="N93" s="255">
        <v>42826</v>
      </c>
      <c r="O93" s="256">
        <v>1632</v>
      </c>
      <c r="P93" s="237"/>
      <c r="Q93" s="215"/>
      <c r="R93" s="215"/>
    </row>
    <row r="94" ht="12.75" customHeight="1">
      <c r="A94" t="s" s="216">
        <v>90</v>
      </c>
      <c r="B94" t="s" s="216">
        <v>657</v>
      </c>
      <c r="C94" t="s" s="216">
        <v>658</v>
      </c>
      <c r="D94" s="244">
        <v>42559</v>
      </c>
      <c r="E94" s="244">
        <v>43008</v>
      </c>
      <c r="F94" s="245">
        <v>18</v>
      </c>
      <c r="G94" s="245">
        <v>0</v>
      </c>
      <c r="H94" t="s" s="216">
        <v>659</v>
      </c>
      <c r="I94" s="245">
        <v>449</v>
      </c>
      <c r="J94" s="245">
        <v>182</v>
      </c>
      <c r="K94" s="246">
        <v>0.4053452115812918</v>
      </c>
      <c r="L94" s="244">
        <f>E94-I94*0.4</f>
        <v>42828.4</v>
      </c>
      <c r="M94" s="215"/>
      <c r="N94" s="255">
        <v>42918</v>
      </c>
      <c r="O94" s="256">
        <v>375</v>
      </c>
      <c r="P94" s="237"/>
      <c r="Q94" s="215"/>
      <c r="R94" s="215"/>
    </row>
    <row r="95" ht="12.75" customHeight="1">
      <c r="A95" t="s" s="216">
        <v>90</v>
      </c>
      <c r="B95" t="s" s="216">
        <v>657</v>
      </c>
      <c r="C95" t="s" s="216">
        <v>664</v>
      </c>
      <c r="D95" s="244">
        <v>42620</v>
      </c>
      <c r="E95" s="244">
        <v>43069</v>
      </c>
      <c r="F95" s="245">
        <v>333</v>
      </c>
      <c r="G95" s="245">
        <v>0</v>
      </c>
      <c r="H95" t="s" s="216">
        <v>659</v>
      </c>
      <c r="I95" s="245">
        <v>449</v>
      </c>
      <c r="J95" s="245">
        <v>243</v>
      </c>
      <c r="K95" s="246">
        <v>0.5412026726057907</v>
      </c>
      <c r="L95" s="244">
        <f>E95-I95*0.4</f>
        <v>42889.4</v>
      </c>
      <c r="M95" s="215"/>
      <c r="N95" s="255">
        <v>42948</v>
      </c>
      <c r="O95" s="256">
        <v>18</v>
      </c>
      <c r="P95" s="237"/>
      <c r="Q95" s="215"/>
      <c r="R95" s="215"/>
    </row>
    <row r="96" ht="12.75" customHeight="1">
      <c r="A96" t="s" s="216">
        <v>90</v>
      </c>
      <c r="B96" t="s" s="216">
        <v>657</v>
      </c>
      <c r="C96" t="s" s="216">
        <v>665</v>
      </c>
      <c r="D96" s="244">
        <v>42651</v>
      </c>
      <c r="E96" s="244">
        <v>43100</v>
      </c>
      <c r="F96" s="245">
        <v>1098</v>
      </c>
      <c r="G96" s="245">
        <v>0</v>
      </c>
      <c r="H96" t="s" s="216">
        <v>659</v>
      </c>
      <c r="I96" s="245">
        <v>449</v>
      </c>
      <c r="J96" s="245">
        <v>274</v>
      </c>
      <c r="K96" s="246">
        <v>0.6102449888641426</v>
      </c>
      <c r="L96" s="244">
        <f>E96-I96*0.4</f>
        <v>42920.4</v>
      </c>
      <c r="M96" s="215"/>
      <c r="N96" s="255">
        <v>42949</v>
      </c>
      <c r="O96" s="256">
        <v>31</v>
      </c>
      <c r="P96" s="237"/>
      <c r="Q96" s="215"/>
      <c r="R96" s="215"/>
    </row>
    <row r="97" ht="12.75" customHeight="1">
      <c r="A97" t="s" s="216">
        <v>90</v>
      </c>
      <c r="B97" t="s" s="216">
        <v>657</v>
      </c>
      <c r="C97" t="s" s="216">
        <v>662</v>
      </c>
      <c r="D97" s="244">
        <v>42710</v>
      </c>
      <c r="E97" s="244">
        <v>43159</v>
      </c>
      <c r="F97" s="245">
        <v>1224</v>
      </c>
      <c r="G97" s="245">
        <v>0</v>
      </c>
      <c r="H97" t="s" s="216">
        <v>659</v>
      </c>
      <c r="I97" s="245">
        <v>449</v>
      </c>
      <c r="J97" s="245">
        <v>333</v>
      </c>
      <c r="K97" s="246">
        <v>0.7416481069042317</v>
      </c>
      <c r="L97" s="244">
        <f>E97-I97*0.4</f>
        <v>42979.4</v>
      </c>
      <c r="M97" s="215"/>
      <c r="N97" s="255">
        <v>42977</v>
      </c>
      <c r="O97" s="256">
        <v>80</v>
      </c>
      <c r="P97" s="237"/>
      <c r="Q97" s="215"/>
      <c r="R97" s="215"/>
    </row>
    <row r="98" ht="12.75" customHeight="1">
      <c r="A98" t="s" s="216">
        <v>90</v>
      </c>
      <c r="B98" t="s" s="216">
        <v>657</v>
      </c>
      <c r="C98" t="s" s="216">
        <v>661</v>
      </c>
      <c r="D98" s="244">
        <v>42590</v>
      </c>
      <c r="E98" s="244">
        <v>43039</v>
      </c>
      <c r="F98" s="245">
        <v>9</v>
      </c>
      <c r="G98" s="245">
        <v>0</v>
      </c>
      <c r="H98" t="s" s="216">
        <v>659</v>
      </c>
      <c r="I98" s="245">
        <v>449</v>
      </c>
      <c r="J98" s="245">
        <v>213</v>
      </c>
      <c r="K98" s="246">
        <v>0.4743875278396437</v>
      </c>
      <c r="L98" s="244">
        <f>E98-I98*0.4</f>
        <v>42859.4</v>
      </c>
      <c r="M98" s="215"/>
      <c r="N98" t="s" s="258">
        <v>211</v>
      </c>
      <c r="O98" s="248">
        <v>30</v>
      </c>
      <c r="P98" s="215"/>
      <c r="Q98" s="215"/>
      <c r="R98" s="215"/>
    </row>
    <row r="99" ht="12.75" customHeight="1">
      <c r="A99" t="s" s="216">
        <v>90</v>
      </c>
      <c r="B99" t="s" s="216">
        <v>657</v>
      </c>
      <c r="C99" t="s" s="216">
        <v>664</v>
      </c>
      <c r="D99" s="244">
        <v>42620</v>
      </c>
      <c r="E99" s="244">
        <v>43069</v>
      </c>
      <c r="F99" s="245">
        <v>72</v>
      </c>
      <c r="G99" s="245">
        <v>0</v>
      </c>
      <c r="H99" t="s" s="216">
        <v>659</v>
      </c>
      <c r="I99" s="245">
        <v>449</v>
      </c>
      <c r="J99" s="245">
        <v>243</v>
      </c>
      <c r="K99" s="246">
        <v>0.5412026726057907</v>
      </c>
      <c r="L99" s="244">
        <f>E99-I99*0.4</f>
        <v>42889.4</v>
      </c>
      <c r="M99" s="215"/>
      <c r="N99" s="251">
        <v>42768.4</v>
      </c>
      <c r="O99" s="245">
        <v>5</v>
      </c>
      <c r="P99" s="215"/>
      <c r="Q99" s="215"/>
      <c r="R99" s="215"/>
    </row>
    <row r="100" ht="12.75" customHeight="1">
      <c r="A100" t="s" s="216">
        <v>90</v>
      </c>
      <c r="B100" t="s" s="216">
        <v>666</v>
      </c>
      <c r="C100" t="s" s="216">
        <v>669</v>
      </c>
      <c r="D100" s="244">
        <v>42498</v>
      </c>
      <c r="E100" s="244">
        <v>42947</v>
      </c>
      <c r="F100" s="245">
        <v>18</v>
      </c>
      <c r="G100" s="245">
        <v>0</v>
      </c>
      <c r="H100" t="s" s="216">
        <v>659</v>
      </c>
      <c r="I100" s="245">
        <v>449</v>
      </c>
      <c r="J100" s="245">
        <v>121</v>
      </c>
      <c r="K100" s="246">
        <v>0.2694877505567929</v>
      </c>
      <c r="L100" s="244">
        <f>E100-I100*0.4</f>
        <v>42767.4</v>
      </c>
      <c r="M100" s="215"/>
      <c r="N100" s="251">
        <v>42804.4</v>
      </c>
      <c r="O100" s="245">
        <v>25</v>
      </c>
      <c r="P100" s="215"/>
      <c r="Q100" s="215"/>
      <c r="R100" s="215"/>
    </row>
    <row r="101" ht="12.75" customHeight="1">
      <c r="A101" t="s" s="216">
        <v>90</v>
      </c>
      <c r="B101" t="s" s="216">
        <v>666</v>
      </c>
      <c r="C101" t="s" s="216">
        <v>663</v>
      </c>
      <c r="D101" s="244">
        <v>42529</v>
      </c>
      <c r="E101" s="244">
        <v>42978</v>
      </c>
      <c r="F101" s="245">
        <v>906</v>
      </c>
      <c r="G101" s="245">
        <v>0</v>
      </c>
      <c r="H101" t="s" s="216">
        <v>659</v>
      </c>
      <c r="I101" s="245">
        <v>449</v>
      </c>
      <c r="J101" s="245">
        <v>152</v>
      </c>
      <c r="K101" s="246">
        <v>0.3385300668151447</v>
      </c>
      <c r="L101" s="244">
        <f>E101-I101*0.4</f>
        <v>42798.4</v>
      </c>
      <c r="M101" s="215"/>
      <c r="N101" t="s" s="258">
        <v>223</v>
      </c>
      <c r="O101" s="245">
        <v>1129</v>
      </c>
      <c r="P101" s="215"/>
      <c r="Q101" s="215"/>
      <c r="R101" s="215"/>
    </row>
    <row r="102" ht="12.75" customHeight="1">
      <c r="A102" t="s" s="216">
        <v>90</v>
      </c>
      <c r="B102" t="s" s="216">
        <v>666</v>
      </c>
      <c r="C102" t="s" s="216">
        <v>661</v>
      </c>
      <c r="D102" s="244">
        <v>42590</v>
      </c>
      <c r="E102" s="244">
        <v>43039</v>
      </c>
      <c r="F102" s="245">
        <v>921</v>
      </c>
      <c r="G102" s="245">
        <v>0</v>
      </c>
      <c r="H102" t="s" s="216">
        <v>659</v>
      </c>
      <c r="I102" s="245">
        <v>449</v>
      </c>
      <c r="J102" s="245">
        <v>213</v>
      </c>
      <c r="K102" s="246">
        <v>0.4743875278396437</v>
      </c>
      <c r="L102" s="244">
        <f>E102-I102*0.4</f>
        <v>42859.4</v>
      </c>
      <c r="M102" s="215"/>
      <c r="N102" s="251">
        <v>42760.4</v>
      </c>
      <c r="O102" s="245">
        <v>83</v>
      </c>
      <c r="P102" s="215"/>
      <c r="Q102" s="215"/>
      <c r="R102" s="215"/>
    </row>
    <row r="103" ht="12.75" customHeight="1">
      <c r="A103" t="s" s="216">
        <v>90</v>
      </c>
      <c r="B103" t="s" s="216">
        <v>666</v>
      </c>
      <c r="C103" t="s" s="216">
        <v>664</v>
      </c>
      <c r="D103" s="244">
        <v>42620</v>
      </c>
      <c r="E103" s="244">
        <v>43069</v>
      </c>
      <c r="F103" s="245">
        <v>972</v>
      </c>
      <c r="G103" s="245">
        <v>0</v>
      </c>
      <c r="H103" t="s" s="216">
        <v>659</v>
      </c>
      <c r="I103" s="245">
        <v>449</v>
      </c>
      <c r="J103" s="245">
        <v>243</v>
      </c>
      <c r="K103" s="246">
        <v>0.5412026726057907</v>
      </c>
      <c r="L103" s="244">
        <f>E103-I103*0.4</f>
        <v>42889.4</v>
      </c>
      <c r="M103" s="215"/>
      <c r="N103" s="251">
        <v>42780.4</v>
      </c>
      <c r="O103" s="245">
        <v>1046</v>
      </c>
      <c r="P103" s="215"/>
      <c r="Q103" s="215"/>
      <c r="R103" s="215"/>
    </row>
    <row r="104" ht="12.75" customHeight="1">
      <c r="A104" t="s" s="216">
        <v>90</v>
      </c>
      <c r="B104" t="s" s="216">
        <v>666</v>
      </c>
      <c r="C104" t="s" s="216">
        <v>665</v>
      </c>
      <c r="D104" s="244">
        <v>42651</v>
      </c>
      <c r="E104" s="244">
        <v>43100</v>
      </c>
      <c r="F104" s="245">
        <v>324</v>
      </c>
      <c r="G104" s="245">
        <v>0</v>
      </c>
      <c r="H104" t="s" s="216">
        <v>659</v>
      </c>
      <c r="I104" s="245">
        <v>449</v>
      </c>
      <c r="J104" s="245">
        <v>274</v>
      </c>
      <c r="K104" s="246">
        <v>0.6102449888641426</v>
      </c>
      <c r="L104" s="244">
        <f>E104-I104*0.4</f>
        <v>42920.4</v>
      </c>
      <c r="M104" s="215"/>
      <c r="N104" t="s" s="258">
        <v>235</v>
      </c>
      <c r="O104" s="245">
        <v>427</v>
      </c>
      <c r="P104" s="215"/>
      <c r="Q104" s="215"/>
      <c r="R104" s="215"/>
    </row>
    <row r="105" ht="12.75" customHeight="1">
      <c r="A105" t="s" s="216">
        <v>90</v>
      </c>
      <c r="B105" t="s" s="216">
        <v>667</v>
      </c>
      <c r="C105" t="s" s="216">
        <v>663</v>
      </c>
      <c r="D105" s="244">
        <v>42529</v>
      </c>
      <c r="E105" s="244">
        <v>42978</v>
      </c>
      <c r="F105" s="245">
        <v>1</v>
      </c>
      <c r="G105" s="245">
        <v>0</v>
      </c>
      <c r="H105" t="s" s="216">
        <v>659</v>
      </c>
      <c r="I105" s="245">
        <v>449</v>
      </c>
      <c r="J105" s="245">
        <v>152</v>
      </c>
      <c r="K105" s="246">
        <v>0.3385300668151447</v>
      </c>
      <c r="L105" s="244">
        <f>E105-I105*0.4</f>
        <v>42798.4</v>
      </c>
      <c r="M105" s="215"/>
      <c r="N105" s="251">
        <v>42725.4</v>
      </c>
      <c r="O105" s="245">
        <v>32</v>
      </c>
      <c r="P105" s="215"/>
      <c r="Q105" s="215"/>
      <c r="R105" s="215"/>
    </row>
    <row r="106" ht="12.75" customHeight="1">
      <c r="A106" t="s" s="216">
        <v>90</v>
      </c>
      <c r="B106" t="s" s="216">
        <v>667</v>
      </c>
      <c r="C106" t="s" s="216">
        <v>665</v>
      </c>
      <c r="D106" s="244">
        <v>42651</v>
      </c>
      <c r="E106" s="244">
        <v>43100</v>
      </c>
      <c r="F106" s="245">
        <v>188</v>
      </c>
      <c r="G106" s="245">
        <v>0</v>
      </c>
      <c r="H106" t="s" s="216">
        <v>659</v>
      </c>
      <c r="I106" s="245">
        <v>449</v>
      </c>
      <c r="J106" s="245">
        <v>274</v>
      </c>
      <c r="K106" s="246">
        <v>0.6102449888641426</v>
      </c>
      <c r="L106" s="244">
        <f>E106-I106*0.4</f>
        <v>42920.4</v>
      </c>
      <c r="M106" s="215"/>
      <c r="N106" s="251">
        <v>42742.4</v>
      </c>
      <c r="O106" s="245">
        <v>54</v>
      </c>
      <c r="P106" s="215"/>
      <c r="Q106" s="215"/>
      <c r="R106" s="215"/>
    </row>
    <row r="107" ht="12.75" customHeight="1">
      <c r="A107" t="s" s="216">
        <v>90</v>
      </c>
      <c r="B107" t="s" s="216">
        <v>667</v>
      </c>
      <c r="C107" t="s" s="216">
        <v>662</v>
      </c>
      <c r="D107" s="244">
        <v>42710</v>
      </c>
      <c r="E107" s="244">
        <v>43159</v>
      </c>
      <c r="F107" s="245">
        <v>288</v>
      </c>
      <c r="G107" s="245">
        <v>0</v>
      </c>
      <c r="H107" t="s" s="216">
        <v>659</v>
      </c>
      <c r="I107" s="245">
        <v>449</v>
      </c>
      <c r="J107" s="245">
        <v>333</v>
      </c>
      <c r="K107" s="246">
        <v>0.7416481069042317</v>
      </c>
      <c r="L107" s="244">
        <f>E107-I107*0.4</f>
        <v>42979.4</v>
      </c>
      <c r="M107" s="215"/>
      <c r="N107" s="251">
        <v>42789.4</v>
      </c>
      <c r="O107" s="245">
        <v>341</v>
      </c>
      <c r="P107" s="215"/>
      <c r="Q107" s="215"/>
      <c r="R107" s="215"/>
    </row>
    <row r="108" ht="12.75" customHeight="1">
      <c r="A108" t="s" s="216">
        <v>90</v>
      </c>
      <c r="B108" t="s" s="216">
        <v>668</v>
      </c>
      <c r="C108" t="s" s="216">
        <v>692</v>
      </c>
      <c r="D108" s="244">
        <v>42467</v>
      </c>
      <c r="E108" s="244">
        <v>42916</v>
      </c>
      <c r="F108" s="245">
        <v>63</v>
      </c>
      <c r="G108" s="245">
        <v>0</v>
      </c>
      <c r="H108" t="s" s="216">
        <v>659</v>
      </c>
      <c r="I108" s="245">
        <v>449</v>
      </c>
      <c r="J108" s="245">
        <v>90</v>
      </c>
      <c r="K108" s="246">
        <v>0.200445434298441</v>
      </c>
      <c r="L108" s="244">
        <f>E108-I108*0.4</f>
        <v>42736.4</v>
      </c>
      <c r="M108" s="215"/>
      <c r="N108" t="s" s="258">
        <v>247</v>
      </c>
      <c r="O108" s="245">
        <v>1794</v>
      </c>
      <c r="P108" s="215"/>
      <c r="Q108" s="215"/>
      <c r="R108" s="215"/>
    </row>
    <row r="109" ht="12.75" customHeight="1">
      <c r="A109" t="s" s="216">
        <v>90</v>
      </c>
      <c r="B109" t="s" s="216">
        <v>668</v>
      </c>
      <c r="C109" t="s" s="216">
        <v>669</v>
      </c>
      <c r="D109" s="244">
        <v>42498</v>
      </c>
      <c r="E109" s="244">
        <v>42947</v>
      </c>
      <c r="F109" s="245">
        <v>124</v>
      </c>
      <c r="G109" s="245">
        <v>0</v>
      </c>
      <c r="H109" t="s" s="216">
        <v>659</v>
      </c>
      <c r="I109" s="245">
        <v>449</v>
      </c>
      <c r="J109" s="245">
        <v>121</v>
      </c>
      <c r="K109" s="246">
        <v>0.2694877505567929</v>
      </c>
      <c r="L109" s="244">
        <f>E109-I109*0.4</f>
        <v>42767.4</v>
      </c>
      <c r="M109" s="215"/>
      <c r="N109" s="251">
        <v>42739.4</v>
      </c>
      <c r="O109" s="245">
        <v>1</v>
      </c>
      <c r="P109" s="215"/>
      <c r="Q109" s="215"/>
      <c r="R109" s="215"/>
    </row>
    <row r="110" ht="12.75" customHeight="1">
      <c r="A110" t="s" s="216">
        <v>90</v>
      </c>
      <c r="B110" t="s" s="216">
        <v>668</v>
      </c>
      <c r="C110" t="s" s="216">
        <v>663</v>
      </c>
      <c r="D110" s="244">
        <v>42529</v>
      </c>
      <c r="E110" s="244">
        <v>42978</v>
      </c>
      <c r="F110" s="245">
        <v>147</v>
      </c>
      <c r="G110" s="245">
        <v>0</v>
      </c>
      <c r="H110" t="s" s="216">
        <v>659</v>
      </c>
      <c r="I110" s="245">
        <v>449</v>
      </c>
      <c r="J110" s="245">
        <v>152</v>
      </c>
      <c r="K110" s="246">
        <v>0.3385300668151447</v>
      </c>
      <c r="L110" s="244">
        <f>E110-I110*0.4</f>
        <v>42798.4</v>
      </c>
      <c r="M110" s="215"/>
      <c r="N110" s="251">
        <v>42755.4</v>
      </c>
      <c r="O110" s="245">
        <v>12</v>
      </c>
      <c r="P110" s="215"/>
      <c r="Q110" s="215"/>
      <c r="R110" s="215"/>
    </row>
    <row r="111" ht="12.75" customHeight="1">
      <c r="A111" t="s" s="216">
        <v>90</v>
      </c>
      <c r="B111" t="s" s="216">
        <v>668</v>
      </c>
      <c r="C111" t="s" s="216">
        <v>658</v>
      </c>
      <c r="D111" s="244">
        <v>42559</v>
      </c>
      <c r="E111" s="244">
        <v>43008</v>
      </c>
      <c r="F111" s="245">
        <v>1462</v>
      </c>
      <c r="G111" s="245">
        <v>0</v>
      </c>
      <c r="H111" t="s" s="216">
        <v>659</v>
      </c>
      <c r="I111" s="245">
        <v>449</v>
      </c>
      <c r="J111" s="245">
        <v>182</v>
      </c>
      <c r="K111" s="246">
        <v>0.4053452115812918</v>
      </c>
      <c r="L111" s="244">
        <f>E111-I111*0.4</f>
        <v>42828.4</v>
      </c>
      <c r="M111" s="215"/>
      <c r="N111" s="251">
        <v>42784.4</v>
      </c>
      <c r="O111" s="245">
        <v>1781</v>
      </c>
      <c r="P111" s="215"/>
      <c r="Q111" s="215"/>
      <c r="R111" s="215"/>
    </row>
    <row r="112" ht="12.75" customHeight="1">
      <c r="A112" t="s" s="216">
        <v>90</v>
      </c>
      <c r="B112" t="s" s="216">
        <v>668</v>
      </c>
      <c r="C112" t="s" s="216">
        <v>665</v>
      </c>
      <c r="D112" s="244">
        <v>42651</v>
      </c>
      <c r="E112" s="244">
        <v>43100</v>
      </c>
      <c r="F112" s="245">
        <v>27</v>
      </c>
      <c r="G112" s="245">
        <v>0</v>
      </c>
      <c r="H112" t="s" s="216">
        <v>659</v>
      </c>
      <c r="I112" s="245">
        <v>449</v>
      </c>
      <c r="J112" s="245">
        <v>274</v>
      </c>
      <c r="K112" s="246">
        <v>0.6102449888641426</v>
      </c>
      <c r="L112" s="244">
        <f>E112-I112*0.4</f>
        <v>42920.4</v>
      </c>
      <c r="M112" s="215"/>
      <c r="N112" t="s" s="258">
        <v>259</v>
      </c>
      <c r="O112" s="245">
        <v>10464</v>
      </c>
      <c r="P112" s="215"/>
      <c r="Q112" s="215"/>
      <c r="R112" s="215"/>
    </row>
    <row r="113" ht="12.75" customHeight="1">
      <c r="A113" t="s" s="216">
        <v>102</v>
      </c>
      <c r="B113" t="s" s="216">
        <v>657</v>
      </c>
      <c r="C113" t="s" s="216">
        <v>693</v>
      </c>
      <c r="D113" s="244">
        <v>42437</v>
      </c>
      <c r="E113" s="244">
        <v>42886</v>
      </c>
      <c r="F113" s="245">
        <v>4</v>
      </c>
      <c r="G113" s="245">
        <v>0</v>
      </c>
      <c r="H113" t="s" s="216">
        <v>659</v>
      </c>
      <c r="I113" s="245">
        <v>449</v>
      </c>
      <c r="J113" s="245">
        <v>60</v>
      </c>
      <c r="K113" s="246">
        <v>0.133630289532294</v>
      </c>
      <c r="L113" s="244">
        <f>E113-I113*0.4</f>
        <v>42706.4</v>
      </c>
      <c r="M113" s="215"/>
      <c r="N113" s="251">
        <v>42740.4</v>
      </c>
      <c r="O113" s="245">
        <v>1906</v>
      </c>
      <c r="P113" s="215"/>
      <c r="Q113" s="215"/>
      <c r="R113" s="215"/>
    </row>
    <row r="114" ht="12.75" customHeight="1">
      <c r="A114" t="s" s="216">
        <v>102</v>
      </c>
      <c r="B114" t="s" s="216">
        <v>657</v>
      </c>
      <c r="C114" t="s" s="216">
        <v>664</v>
      </c>
      <c r="D114" s="244">
        <v>42620</v>
      </c>
      <c r="E114" s="244">
        <v>43069</v>
      </c>
      <c r="F114" s="245">
        <v>9</v>
      </c>
      <c r="G114" s="245">
        <v>0</v>
      </c>
      <c r="H114" t="s" s="216">
        <v>659</v>
      </c>
      <c r="I114" s="245">
        <v>449</v>
      </c>
      <c r="J114" s="245">
        <v>243</v>
      </c>
      <c r="K114" s="246">
        <v>0.5412026726057907</v>
      </c>
      <c r="L114" s="244">
        <f>E114-I114*0.4</f>
        <v>42889.4</v>
      </c>
      <c r="M114" s="215"/>
      <c r="N114" s="251">
        <v>42770.4</v>
      </c>
      <c r="O114" s="245">
        <v>600</v>
      </c>
      <c r="P114" s="215"/>
      <c r="Q114" s="215"/>
      <c r="R114" s="215"/>
    </row>
    <row r="115" ht="12.75" customHeight="1">
      <c r="A115" t="s" s="216">
        <v>102</v>
      </c>
      <c r="B115" t="s" s="216">
        <v>657</v>
      </c>
      <c r="C115" t="s" s="216">
        <v>663</v>
      </c>
      <c r="D115" s="244">
        <v>42529</v>
      </c>
      <c r="E115" s="244">
        <v>42978</v>
      </c>
      <c r="F115" s="245">
        <v>18</v>
      </c>
      <c r="G115" s="245">
        <v>0</v>
      </c>
      <c r="H115" t="s" s="216">
        <v>659</v>
      </c>
      <c r="I115" s="245">
        <v>449</v>
      </c>
      <c r="J115" s="245">
        <v>152</v>
      </c>
      <c r="K115" s="246">
        <v>0.3385300668151447</v>
      </c>
      <c r="L115" s="244">
        <f>E115-I115*0.4</f>
        <v>42798.4</v>
      </c>
      <c r="M115" s="215"/>
      <c r="N115" s="251">
        <v>42801.4</v>
      </c>
      <c r="O115" s="245">
        <v>6</v>
      </c>
      <c r="P115" s="215"/>
      <c r="Q115" s="215"/>
      <c r="R115" s="215"/>
    </row>
    <row r="116" ht="12.75" customHeight="1">
      <c r="A116" t="s" s="216">
        <v>102</v>
      </c>
      <c r="B116" t="s" s="216">
        <v>657</v>
      </c>
      <c r="C116" t="s" s="216">
        <v>662</v>
      </c>
      <c r="D116" s="244">
        <v>42710</v>
      </c>
      <c r="E116" s="244">
        <v>43159</v>
      </c>
      <c r="F116" s="245">
        <v>198</v>
      </c>
      <c r="G116" s="245">
        <v>0</v>
      </c>
      <c r="H116" t="s" s="216">
        <v>659</v>
      </c>
      <c r="I116" s="245">
        <v>449</v>
      </c>
      <c r="J116" s="245">
        <v>333</v>
      </c>
      <c r="K116" s="246">
        <v>0.7416481069042317</v>
      </c>
      <c r="L116" s="244">
        <f>E116-I116*0.4</f>
        <v>42979.4</v>
      </c>
      <c r="M116" s="215"/>
      <c r="N116" s="251">
        <v>42832.4</v>
      </c>
      <c r="O116" s="245">
        <v>86</v>
      </c>
      <c r="P116" s="215"/>
      <c r="Q116" s="215"/>
      <c r="R116" s="215"/>
    </row>
    <row r="117" ht="12.75" customHeight="1">
      <c r="A117" t="s" s="216">
        <v>102</v>
      </c>
      <c r="B117" t="s" s="216">
        <v>657</v>
      </c>
      <c r="C117" t="s" s="216">
        <v>662</v>
      </c>
      <c r="D117" s="244">
        <v>42710</v>
      </c>
      <c r="E117" s="244">
        <v>43159</v>
      </c>
      <c r="F117" s="245">
        <v>9</v>
      </c>
      <c r="G117" s="245">
        <v>0</v>
      </c>
      <c r="H117" t="s" s="216">
        <v>659</v>
      </c>
      <c r="I117" s="245">
        <v>449</v>
      </c>
      <c r="J117" s="245">
        <v>333</v>
      </c>
      <c r="K117" s="246">
        <v>0.7416481069042317</v>
      </c>
      <c r="L117" s="244">
        <f>E117-I117*0.4</f>
        <v>42979.4</v>
      </c>
      <c r="M117" s="215"/>
      <c r="N117" s="251">
        <v>42893.4</v>
      </c>
      <c r="O117" s="245">
        <v>7866</v>
      </c>
      <c r="P117" s="215"/>
      <c r="Q117" s="215"/>
      <c r="R117" s="215"/>
    </row>
    <row r="118" ht="12.75" customHeight="1">
      <c r="A118" t="s" s="216">
        <v>102</v>
      </c>
      <c r="B118" t="s" s="216">
        <v>657</v>
      </c>
      <c r="C118" t="s" s="216">
        <v>658</v>
      </c>
      <c r="D118" s="244">
        <v>42559</v>
      </c>
      <c r="E118" s="244">
        <v>43008</v>
      </c>
      <c r="F118" s="245">
        <v>0</v>
      </c>
      <c r="G118" s="245">
        <v>0</v>
      </c>
      <c r="H118" t="s" s="216">
        <v>659</v>
      </c>
      <c r="I118" s="245">
        <v>449</v>
      </c>
      <c r="J118" s="245">
        <v>182</v>
      </c>
      <c r="K118" s="246">
        <v>0.4053452115812918</v>
      </c>
      <c r="L118" s="244">
        <f>E118-I118*0.4</f>
        <v>42828.4</v>
      </c>
      <c r="M118" s="215"/>
      <c r="N118" t="s" s="258">
        <v>271</v>
      </c>
      <c r="O118" s="245">
        <v>2056</v>
      </c>
      <c r="P118" s="215"/>
      <c r="Q118" s="215"/>
      <c r="R118" s="215"/>
    </row>
    <row r="119" ht="12.75" customHeight="1">
      <c r="A119" t="s" s="216">
        <v>102</v>
      </c>
      <c r="B119" t="s" s="216">
        <v>657</v>
      </c>
      <c r="C119" t="s" s="216">
        <v>665</v>
      </c>
      <c r="D119" s="244">
        <v>42651</v>
      </c>
      <c r="E119" s="244">
        <v>43100</v>
      </c>
      <c r="F119" s="245">
        <v>18</v>
      </c>
      <c r="G119" s="245">
        <v>0</v>
      </c>
      <c r="H119" t="s" s="216">
        <v>659</v>
      </c>
      <c r="I119" s="245">
        <v>449</v>
      </c>
      <c r="J119" s="245">
        <v>274</v>
      </c>
      <c r="K119" s="246">
        <v>0.6102449888641426</v>
      </c>
      <c r="L119" s="244">
        <f>E119-I119*0.4</f>
        <v>42920.4</v>
      </c>
      <c r="M119" s="215"/>
      <c r="N119" s="251">
        <v>42770.4</v>
      </c>
      <c r="O119" s="245">
        <v>1</v>
      </c>
      <c r="P119" s="215"/>
      <c r="Q119" s="215"/>
      <c r="R119" s="215"/>
    </row>
    <row r="120" ht="12.75" customHeight="1">
      <c r="A120" t="s" s="216">
        <v>102</v>
      </c>
      <c r="B120" t="s" s="216">
        <v>666</v>
      </c>
      <c r="C120" t="s" s="216">
        <v>669</v>
      </c>
      <c r="D120" s="244">
        <v>42498</v>
      </c>
      <c r="E120" s="244">
        <v>42947</v>
      </c>
      <c r="F120" s="245">
        <v>3</v>
      </c>
      <c r="G120" s="245">
        <v>0</v>
      </c>
      <c r="H120" t="s" s="216">
        <v>659</v>
      </c>
      <c r="I120" s="245">
        <v>449</v>
      </c>
      <c r="J120" s="245">
        <v>121</v>
      </c>
      <c r="K120" s="246">
        <v>0.2694877505567929</v>
      </c>
      <c r="L120" s="244">
        <f>E120-I120*0.4</f>
        <v>42767.4</v>
      </c>
      <c r="M120" s="215"/>
      <c r="N120" s="251">
        <v>42801.4</v>
      </c>
      <c r="O120" s="245">
        <v>1150</v>
      </c>
      <c r="P120" s="215"/>
      <c r="Q120" s="215"/>
      <c r="R120" s="215"/>
    </row>
    <row r="121" ht="12.75" customHeight="1">
      <c r="A121" t="s" s="216">
        <v>102</v>
      </c>
      <c r="B121" t="s" s="216">
        <v>666</v>
      </c>
      <c r="C121" t="s" s="216">
        <v>664</v>
      </c>
      <c r="D121" s="244">
        <v>42620</v>
      </c>
      <c r="E121" s="244">
        <v>43069</v>
      </c>
      <c r="F121" s="245">
        <v>3</v>
      </c>
      <c r="G121" s="245">
        <v>0</v>
      </c>
      <c r="H121" t="s" s="216">
        <v>659</v>
      </c>
      <c r="I121" s="245">
        <v>449</v>
      </c>
      <c r="J121" s="245">
        <v>243</v>
      </c>
      <c r="K121" s="246">
        <v>0.5412026726057907</v>
      </c>
      <c r="L121" s="244">
        <f>E121-I121*0.4</f>
        <v>42889.4</v>
      </c>
      <c r="M121" s="215"/>
      <c r="N121" s="251">
        <v>42832.4</v>
      </c>
      <c r="O121" s="245">
        <v>905</v>
      </c>
      <c r="P121" s="215"/>
      <c r="Q121" s="215"/>
      <c r="R121" s="215"/>
    </row>
    <row r="122" ht="12.75" customHeight="1">
      <c r="A122" t="s" s="216">
        <v>102</v>
      </c>
      <c r="B122" t="s" s="216">
        <v>667</v>
      </c>
      <c r="C122" t="s" s="216">
        <v>662</v>
      </c>
      <c r="D122" s="244">
        <v>42710</v>
      </c>
      <c r="E122" s="244">
        <v>43159</v>
      </c>
      <c r="F122" s="245">
        <v>360</v>
      </c>
      <c r="G122" s="245">
        <v>0</v>
      </c>
      <c r="H122" t="s" s="216">
        <v>659</v>
      </c>
      <c r="I122" s="245">
        <v>449</v>
      </c>
      <c r="J122" s="245">
        <v>333</v>
      </c>
      <c r="K122" s="246">
        <v>0.7416481069042317</v>
      </c>
      <c r="L122" s="244">
        <f>E122-I122*0.4</f>
        <v>42979.4</v>
      </c>
      <c r="M122" s="215"/>
      <c r="N122" t="s" s="258">
        <v>283</v>
      </c>
      <c r="O122" s="245">
        <v>712</v>
      </c>
      <c r="P122" s="215"/>
      <c r="Q122" s="215"/>
      <c r="R122" s="215"/>
    </row>
    <row r="123" ht="12.75" customHeight="1">
      <c r="A123" t="s" s="216">
        <v>102</v>
      </c>
      <c r="B123" t="s" s="216">
        <v>668</v>
      </c>
      <c r="C123" t="s" s="216">
        <v>692</v>
      </c>
      <c r="D123" s="244">
        <v>42467</v>
      </c>
      <c r="E123" s="244">
        <v>42916</v>
      </c>
      <c r="F123" s="245">
        <v>27</v>
      </c>
      <c r="G123" s="245">
        <v>0</v>
      </c>
      <c r="H123" t="s" s="216">
        <v>659</v>
      </c>
      <c r="I123" s="245">
        <v>449</v>
      </c>
      <c r="J123" s="245">
        <v>90</v>
      </c>
      <c r="K123" s="246">
        <v>0.200445434298441</v>
      </c>
      <c r="L123" s="244">
        <f>E123-I123*0.4</f>
        <v>42736.4</v>
      </c>
      <c r="M123" s="215"/>
      <c r="N123" s="251">
        <v>42756.4</v>
      </c>
      <c r="O123" s="245">
        <v>380</v>
      </c>
      <c r="P123" s="215"/>
      <c r="Q123" s="215"/>
      <c r="R123" s="215"/>
    </row>
    <row r="124" ht="12.75" customHeight="1">
      <c r="A124" t="s" s="216">
        <v>102</v>
      </c>
      <c r="B124" t="s" s="216">
        <v>668</v>
      </c>
      <c r="C124" t="s" s="216">
        <v>669</v>
      </c>
      <c r="D124" s="244">
        <v>42498</v>
      </c>
      <c r="E124" s="244">
        <v>42947</v>
      </c>
      <c r="F124" s="245">
        <v>16</v>
      </c>
      <c r="G124" s="245">
        <v>0</v>
      </c>
      <c r="H124" t="s" s="216">
        <v>659</v>
      </c>
      <c r="I124" s="245">
        <v>449</v>
      </c>
      <c r="J124" s="245">
        <v>121</v>
      </c>
      <c r="K124" s="246">
        <v>0.2694877505567929</v>
      </c>
      <c r="L124" s="244">
        <f>E124-I124*0.4</f>
        <v>42767.4</v>
      </c>
      <c r="M124" s="215"/>
      <c r="N124" s="251">
        <v>42790.4</v>
      </c>
      <c r="O124" s="245">
        <v>252</v>
      </c>
      <c r="P124" s="215"/>
      <c r="Q124" s="215"/>
      <c r="R124" s="215"/>
    </row>
    <row r="125" ht="12.75" customHeight="1">
      <c r="A125" t="s" s="216">
        <v>102</v>
      </c>
      <c r="B125" t="s" s="216">
        <v>668</v>
      </c>
      <c r="C125" t="s" s="216">
        <v>663</v>
      </c>
      <c r="D125" s="244">
        <v>42529</v>
      </c>
      <c r="E125" s="244">
        <v>42978</v>
      </c>
      <c r="F125" s="245">
        <v>6</v>
      </c>
      <c r="G125" s="245">
        <v>0</v>
      </c>
      <c r="H125" t="s" s="216">
        <v>659</v>
      </c>
      <c r="I125" s="245">
        <v>449</v>
      </c>
      <c r="J125" s="245">
        <v>152</v>
      </c>
      <c r="K125" s="246">
        <v>0.3385300668151447</v>
      </c>
      <c r="L125" s="244">
        <f>E125-I125*0.4</f>
        <v>42798.4</v>
      </c>
      <c r="M125" s="215"/>
      <c r="N125" s="251">
        <v>42816.4</v>
      </c>
      <c r="O125" s="245">
        <v>80</v>
      </c>
      <c r="P125" s="215"/>
      <c r="Q125" s="215"/>
      <c r="R125" s="215"/>
    </row>
    <row r="126" ht="12.75" customHeight="1">
      <c r="A126" t="s" s="216">
        <v>102</v>
      </c>
      <c r="B126" t="s" s="216">
        <v>668</v>
      </c>
      <c r="C126" t="s" s="216">
        <v>658</v>
      </c>
      <c r="D126" s="244">
        <v>42559</v>
      </c>
      <c r="E126" s="244">
        <v>43008</v>
      </c>
      <c r="F126" s="245">
        <v>765</v>
      </c>
      <c r="G126" s="245">
        <v>0</v>
      </c>
      <c r="H126" t="s" s="216">
        <v>659</v>
      </c>
      <c r="I126" s="245">
        <v>449</v>
      </c>
      <c r="J126" s="245">
        <v>182</v>
      </c>
      <c r="K126" s="246">
        <v>0.4053452115812918</v>
      </c>
      <c r="L126" s="244">
        <f>E126-I126*0.4</f>
        <v>42828.4</v>
      </c>
      <c r="M126" s="215"/>
      <c r="N126" t="s" s="258">
        <v>295</v>
      </c>
      <c r="O126" s="245">
        <v>717</v>
      </c>
      <c r="P126" s="215"/>
      <c r="Q126" s="215"/>
      <c r="R126" s="215"/>
    </row>
    <row r="127" ht="12.75" customHeight="1">
      <c r="A127" t="s" s="216">
        <v>114</v>
      </c>
      <c r="B127" t="s" s="216">
        <v>657</v>
      </c>
      <c r="C127" t="s" s="216">
        <v>694</v>
      </c>
      <c r="D127" s="244">
        <v>42616</v>
      </c>
      <c r="E127" s="244">
        <v>43100</v>
      </c>
      <c r="F127" s="245">
        <v>8</v>
      </c>
      <c r="G127" s="245">
        <v>0</v>
      </c>
      <c r="H127" t="s" s="216">
        <v>659</v>
      </c>
      <c r="I127" s="245">
        <v>484</v>
      </c>
      <c r="J127" s="245">
        <v>274</v>
      </c>
      <c r="K127" s="246">
        <v>0.5661157024793388</v>
      </c>
      <c r="L127" s="244">
        <f>E127-I127*0.4</f>
        <v>42906.4</v>
      </c>
      <c r="M127" s="215"/>
      <c r="N127" s="251">
        <v>42770.4</v>
      </c>
      <c r="O127" s="245">
        <v>207</v>
      </c>
      <c r="P127" s="215"/>
      <c r="Q127" s="215"/>
      <c r="R127" s="215"/>
    </row>
    <row r="128" ht="12.75" customHeight="1">
      <c r="A128" t="s" s="216">
        <v>114</v>
      </c>
      <c r="B128" t="s" s="216">
        <v>657</v>
      </c>
      <c r="C128" t="s" s="216">
        <v>695</v>
      </c>
      <c r="D128" s="244">
        <v>42463</v>
      </c>
      <c r="E128" s="244">
        <v>42947</v>
      </c>
      <c r="F128" s="245">
        <v>20</v>
      </c>
      <c r="G128" s="245">
        <v>0</v>
      </c>
      <c r="H128" t="s" s="216">
        <v>659</v>
      </c>
      <c r="I128" s="245">
        <v>484</v>
      </c>
      <c r="J128" s="245">
        <v>121</v>
      </c>
      <c r="K128" s="246">
        <v>0.25</v>
      </c>
      <c r="L128" s="244">
        <f>E128-I128*0.4</f>
        <v>42753.4</v>
      </c>
      <c r="M128" s="215"/>
      <c r="N128" s="251">
        <v>42801.4</v>
      </c>
      <c r="O128" s="245">
        <v>500</v>
      </c>
      <c r="P128" s="215"/>
      <c r="Q128" s="215"/>
      <c r="R128" s="215"/>
    </row>
    <row r="129" ht="12.75" customHeight="1">
      <c r="A129" t="s" s="216">
        <v>114</v>
      </c>
      <c r="B129" t="s" s="216">
        <v>657</v>
      </c>
      <c r="C129" t="s" s="216">
        <v>696</v>
      </c>
      <c r="D129" s="244">
        <v>42524</v>
      </c>
      <c r="E129" s="244">
        <v>43008</v>
      </c>
      <c r="F129" s="245">
        <v>300</v>
      </c>
      <c r="G129" s="245">
        <v>0</v>
      </c>
      <c r="H129" t="s" s="216">
        <v>659</v>
      </c>
      <c r="I129" s="245">
        <v>484</v>
      </c>
      <c r="J129" s="245">
        <v>182</v>
      </c>
      <c r="K129" s="246">
        <v>0.3760330578512397</v>
      </c>
      <c r="L129" s="244">
        <f>E129-I129*0.4</f>
        <v>42814.4</v>
      </c>
      <c r="M129" s="215"/>
      <c r="N129" s="251">
        <v>42832.4</v>
      </c>
      <c r="O129" s="245">
        <v>10</v>
      </c>
      <c r="P129" s="215"/>
      <c r="Q129" s="215"/>
      <c r="R129" s="215"/>
    </row>
    <row r="130" ht="12.75" customHeight="1">
      <c r="A130" t="s" s="216">
        <v>114</v>
      </c>
      <c r="B130" t="s" s="216">
        <v>657</v>
      </c>
      <c r="C130" t="s" s="216">
        <v>697</v>
      </c>
      <c r="D130" s="244">
        <v>42555</v>
      </c>
      <c r="E130" s="244">
        <v>43039</v>
      </c>
      <c r="F130" s="245">
        <v>20</v>
      </c>
      <c r="G130" s="245">
        <v>0</v>
      </c>
      <c r="H130" t="s" s="216">
        <v>659</v>
      </c>
      <c r="I130" s="245">
        <v>484</v>
      </c>
      <c r="J130" s="245">
        <v>213</v>
      </c>
      <c r="K130" s="246">
        <v>0.4400826446280992</v>
      </c>
      <c r="L130" s="244">
        <f>E130-I130*0.4</f>
        <v>42845.4</v>
      </c>
      <c r="M130" s="215"/>
      <c r="N130" t="s" s="258">
        <v>307</v>
      </c>
      <c r="O130" s="245">
        <v>1000</v>
      </c>
      <c r="P130" s="215"/>
      <c r="Q130" s="215"/>
      <c r="R130" s="215"/>
    </row>
    <row r="131" ht="12.75" customHeight="1">
      <c r="A131" t="s" s="216">
        <v>114</v>
      </c>
      <c r="B131" t="s" s="216">
        <v>657</v>
      </c>
      <c r="C131" t="s" s="216">
        <v>698</v>
      </c>
      <c r="D131" s="244">
        <v>42706</v>
      </c>
      <c r="E131" s="244">
        <v>43190</v>
      </c>
      <c r="F131" s="245">
        <v>420</v>
      </c>
      <c r="G131" s="245">
        <v>0</v>
      </c>
      <c r="H131" t="s" s="216">
        <v>659</v>
      </c>
      <c r="I131" s="245">
        <v>484</v>
      </c>
      <c r="J131" s="245">
        <v>364</v>
      </c>
      <c r="K131" s="246">
        <v>0.7520661157024794</v>
      </c>
      <c r="L131" s="244">
        <f>E131-I131*0.4</f>
        <v>42996.4</v>
      </c>
      <c r="M131" s="215"/>
      <c r="N131" s="251">
        <v>42740.4</v>
      </c>
      <c r="O131" s="245">
        <v>192</v>
      </c>
      <c r="P131" s="215"/>
      <c r="Q131" s="215"/>
      <c r="R131" s="215"/>
    </row>
    <row r="132" ht="12.75" customHeight="1">
      <c r="A132" t="s" s="216">
        <v>114</v>
      </c>
      <c r="B132" t="s" s="216">
        <v>657</v>
      </c>
      <c r="C132" t="s" s="216">
        <v>698</v>
      </c>
      <c r="D132" s="244">
        <v>42706</v>
      </c>
      <c r="E132" s="244">
        <v>43190</v>
      </c>
      <c r="F132" s="245">
        <v>180</v>
      </c>
      <c r="G132" s="245">
        <v>0</v>
      </c>
      <c r="H132" t="s" s="216">
        <v>659</v>
      </c>
      <c r="I132" s="245">
        <v>484</v>
      </c>
      <c r="J132" s="245">
        <v>364</v>
      </c>
      <c r="K132" s="246">
        <v>0.7520661157024794</v>
      </c>
      <c r="L132" s="244">
        <f>E132-I132*0.4</f>
        <v>42996.4</v>
      </c>
      <c r="M132" s="215"/>
      <c r="N132" s="251">
        <v>42832.4</v>
      </c>
      <c r="O132" s="245">
        <v>808</v>
      </c>
      <c r="P132" s="215"/>
      <c r="Q132" s="215"/>
      <c r="R132" s="215"/>
    </row>
    <row r="133" ht="12.75" customHeight="1">
      <c r="A133" t="s" s="216">
        <v>114</v>
      </c>
      <c r="B133" t="s" s="216">
        <v>657</v>
      </c>
      <c r="C133" t="s" s="216">
        <v>694</v>
      </c>
      <c r="D133" s="244">
        <v>42616</v>
      </c>
      <c r="E133" s="244">
        <v>43100</v>
      </c>
      <c r="F133" s="245">
        <v>18</v>
      </c>
      <c r="G133" s="245">
        <v>0</v>
      </c>
      <c r="H133" t="s" s="216">
        <v>659</v>
      </c>
      <c r="I133" s="245">
        <v>484</v>
      </c>
      <c r="J133" s="245">
        <v>274</v>
      </c>
      <c r="K133" s="246">
        <v>0.5661157024793388</v>
      </c>
      <c r="L133" s="244">
        <f>E133-I133*0.4</f>
        <v>42906.4</v>
      </c>
      <c r="M133" s="215"/>
      <c r="N133" t="s" s="258">
        <v>319</v>
      </c>
      <c r="O133" s="245">
        <v>686</v>
      </c>
      <c r="P133" s="215"/>
      <c r="Q133" s="215"/>
      <c r="R133" s="215"/>
    </row>
    <row r="134" ht="12.75" customHeight="1">
      <c r="A134" t="s" s="216">
        <v>114</v>
      </c>
      <c r="B134" t="s" s="216">
        <v>666</v>
      </c>
      <c r="C134" t="s" s="216">
        <v>698</v>
      </c>
      <c r="D134" s="244">
        <v>42706</v>
      </c>
      <c r="E134" s="244">
        <v>43190</v>
      </c>
      <c r="F134" s="245">
        <v>480</v>
      </c>
      <c r="G134" s="245">
        <v>0</v>
      </c>
      <c r="H134" t="s" s="216">
        <v>659</v>
      </c>
      <c r="I134" s="245">
        <v>484</v>
      </c>
      <c r="J134" s="245">
        <v>364</v>
      </c>
      <c r="K134" s="246">
        <v>0.7520661157024794</v>
      </c>
      <c r="L134" s="244">
        <f>E134-I134*0.4</f>
        <v>42996.4</v>
      </c>
      <c r="M134" s="215"/>
      <c r="N134" s="251">
        <v>42770.4</v>
      </c>
      <c r="O134" s="245">
        <v>184</v>
      </c>
      <c r="P134" s="215"/>
      <c r="Q134" s="215"/>
      <c r="R134" s="215"/>
    </row>
    <row r="135" ht="12.75" customHeight="1">
      <c r="A135" t="s" s="216">
        <v>114</v>
      </c>
      <c r="B135" t="s" s="216">
        <v>667</v>
      </c>
      <c r="C135" t="s" s="216">
        <v>698</v>
      </c>
      <c r="D135" s="244">
        <v>42706</v>
      </c>
      <c r="E135" s="244">
        <v>43190</v>
      </c>
      <c r="F135" s="245">
        <v>520</v>
      </c>
      <c r="G135" s="245">
        <v>0</v>
      </c>
      <c r="H135" t="s" s="216">
        <v>659</v>
      </c>
      <c r="I135" s="245">
        <v>484</v>
      </c>
      <c r="J135" s="245">
        <v>364</v>
      </c>
      <c r="K135" s="246">
        <v>0.7520661157024794</v>
      </c>
      <c r="L135" s="244">
        <f>E135-I135*0.4</f>
        <v>42996.4</v>
      </c>
      <c r="M135" s="215"/>
      <c r="N135" s="251">
        <v>42801.4</v>
      </c>
      <c r="O135" s="245">
        <v>501</v>
      </c>
      <c r="P135" s="215"/>
      <c r="Q135" s="215"/>
      <c r="R135" s="215"/>
    </row>
    <row r="136" ht="12.75" customHeight="1">
      <c r="A136" t="s" s="216">
        <v>126</v>
      </c>
      <c r="B136" t="s" s="216">
        <v>657</v>
      </c>
      <c r="C136" t="s" s="216">
        <v>699</v>
      </c>
      <c r="D136" s="244">
        <v>42491</v>
      </c>
      <c r="E136" s="244">
        <v>42855</v>
      </c>
      <c r="F136" s="245">
        <v>3</v>
      </c>
      <c r="G136" s="245">
        <v>0</v>
      </c>
      <c r="H136" t="s" s="216">
        <v>659</v>
      </c>
      <c r="I136" s="245">
        <v>364</v>
      </c>
      <c r="J136" s="245">
        <v>29</v>
      </c>
      <c r="K136" s="246">
        <v>0.07967032967032966</v>
      </c>
      <c r="L136" s="244">
        <f>E136-I136*0.4</f>
        <v>42709.4</v>
      </c>
      <c r="M136" s="215"/>
      <c r="N136" s="251">
        <v>42832.4</v>
      </c>
      <c r="O136" s="245">
        <v>1</v>
      </c>
      <c r="P136" s="215"/>
      <c r="Q136" s="215"/>
      <c r="R136" s="215"/>
    </row>
    <row r="137" ht="12.75" customHeight="1">
      <c r="A137" t="s" s="216">
        <v>126</v>
      </c>
      <c r="B137" t="s" s="216">
        <v>657</v>
      </c>
      <c r="C137" t="s" s="216">
        <v>700</v>
      </c>
      <c r="D137" s="244">
        <v>42552</v>
      </c>
      <c r="E137" s="244">
        <v>42916</v>
      </c>
      <c r="F137" s="245">
        <v>320</v>
      </c>
      <c r="G137" s="245">
        <v>0</v>
      </c>
      <c r="H137" t="s" s="216">
        <v>659</v>
      </c>
      <c r="I137" s="245">
        <v>364</v>
      </c>
      <c r="J137" s="245">
        <v>90</v>
      </c>
      <c r="K137" s="246">
        <v>0.2472527472527473</v>
      </c>
      <c r="L137" s="244">
        <f>E137-I137*0.4</f>
        <v>42770.4</v>
      </c>
      <c r="M137" s="215"/>
      <c r="N137" t="s" s="258">
        <v>331</v>
      </c>
      <c r="O137" s="245">
        <v>10499</v>
      </c>
      <c r="P137" s="215"/>
      <c r="Q137" s="215"/>
      <c r="R137" s="215"/>
    </row>
    <row r="138" ht="12.75" customHeight="1">
      <c r="A138" t="s" s="216">
        <v>126</v>
      </c>
      <c r="B138" t="s" s="216">
        <v>657</v>
      </c>
      <c r="C138" t="s" s="216">
        <v>701</v>
      </c>
      <c r="D138" s="244">
        <v>42583</v>
      </c>
      <c r="E138" s="244">
        <v>42947</v>
      </c>
      <c r="F138" s="245">
        <v>19</v>
      </c>
      <c r="G138" s="245">
        <v>0</v>
      </c>
      <c r="H138" t="s" s="216">
        <v>659</v>
      </c>
      <c r="I138" s="245">
        <v>364</v>
      </c>
      <c r="J138" s="245">
        <v>121</v>
      </c>
      <c r="K138" s="246">
        <v>0.3324175824175824</v>
      </c>
      <c r="L138" s="244">
        <f>E138-I138*0.4</f>
        <v>42801.4</v>
      </c>
      <c r="M138" s="215"/>
      <c r="N138" s="251">
        <v>42801.4</v>
      </c>
      <c r="O138" s="245">
        <v>205</v>
      </c>
      <c r="P138" s="215"/>
      <c r="Q138" s="215"/>
      <c r="R138" s="215"/>
    </row>
    <row r="139" ht="12.75" customHeight="1">
      <c r="A139" t="s" s="216">
        <v>126</v>
      </c>
      <c r="B139" t="s" s="216">
        <v>657</v>
      </c>
      <c r="C139" t="s" s="216">
        <v>700</v>
      </c>
      <c r="D139" s="244">
        <v>42552</v>
      </c>
      <c r="E139" s="244">
        <v>42916</v>
      </c>
      <c r="F139" s="245">
        <v>40</v>
      </c>
      <c r="G139" s="245">
        <v>0</v>
      </c>
      <c r="H139" t="s" s="216">
        <v>659</v>
      </c>
      <c r="I139" s="245">
        <v>364</v>
      </c>
      <c r="J139" s="245">
        <v>90</v>
      </c>
      <c r="K139" s="246">
        <v>0.2472527472527473</v>
      </c>
      <c r="L139" s="244">
        <f>E139-I139*0.4</f>
        <v>42770.4</v>
      </c>
      <c r="M139" s="215"/>
      <c r="N139" s="251">
        <v>42832.4</v>
      </c>
      <c r="O139" s="245">
        <v>7426</v>
      </c>
      <c r="P139" s="215"/>
      <c r="Q139" s="215"/>
      <c r="R139" s="215"/>
    </row>
    <row r="140" ht="12.75" customHeight="1">
      <c r="A140" t="s" s="216">
        <v>126</v>
      </c>
      <c r="B140" t="s" s="216">
        <v>657</v>
      </c>
      <c r="C140" t="s" s="216">
        <v>702</v>
      </c>
      <c r="D140" s="244">
        <v>42675</v>
      </c>
      <c r="E140" s="244">
        <v>43039</v>
      </c>
      <c r="F140" s="245">
        <v>160</v>
      </c>
      <c r="G140" s="245">
        <v>0</v>
      </c>
      <c r="H140" t="s" s="216">
        <v>659</v>
      </c>
      <c r="I140" s="245">
        <v>364</v>
      </c>
      <c r="J140" s="245">
        <v>213</v>
      </c>
      <c r="K140" s="246">
        <v>0.5851648351648352</v>
      </c>
      <c r="L140" s="244">
        <f>E140-I140*0.4</f>
        <v>42893.4</v>
      </c>
      <c r="M140" s="215"/>
      <c r="N140" s="251">
        <v>42893.4</v>
      </c>
      <c r="O140" s="245">
        <v>2868</v>
      </c>
      <c r="P140" s="215"/>
      <c r="Q140" s="215"/>
      <c r="R140" s="215"/>
    </row>
    <row r="141" ht="12.75" customHeight="1">
      <c r="A141" t="s" s="216">
        <v>126</v>
      </c>
      <c r="B141" t="s" s="216">
        <v>657</v>
      </c>
      <c r="C141" t="s" s="216">
        <v>703</v>
      </c>
      <c r="D141" s="244">
        <v>42705</v>
      </c>
      <c r="E141" s="244">
        <v>43069</v>
      </c>
      <c r="F141" s="245">
        <v>420</v>
      </c>
      <c r="G141" s="245">
        <v>0</v>
      </c>
      <c r="H141" t="s" s="216">
        <v>659</v>
      </c>
      <c r="I141" s="245">
        <v>364</v>
      </c>
      <c r="J141" s="245">
        <v>243</v>
      </c>
      <c r="K141" s="246">
        <v>0.6675824175824175</v>
      </c>
      <c r="L141" s="244">
        <f>E141-I141*0.4</f>
        <v>42923.4</v>
      </c>
      <c r="M141" s="215"/>
      <c r="N141" t="s" s="258">
        <v>564</v>
      </c>
      <c r="O141" s="245">
        <v>310</v>
      </c>
      <c r="P141" s="215"/>
      <c r="Q141" s="215"/>
      <c r="R141" s="215"/>
    </row>
    <row r="142" ht="12.75" customHeight="1">
      <c r="A142" t="s" s="216">
        <v>126</v>
      </c>
      <c r="B142" t="s" s="216">
        <v>657</v>
      </c>
      <c r="C142" t="s" s="216">
        <v>702</v>
      </c>
      <c r="D142" s="244">
        <v>42675</v>
      </c>
      <c r="E142" s="244">
        <v>43039</v>
      </c>
      <c r="F142" s="245">
        <v>1480</v>
      </c>
      <c r="G142" s="245">
        <v>0</v>
      </c>
      <c r="H142" t="s" s="216">
        <v>659</v>
      </c>
      <c r="I142" s="245">
        <v>364</v>
      </c>
      <c r="J142" s="245">
        <v>213</v>
      </c>
      <c r="K142" s="246">
        <v>0.5851648351648352</v>
      </c>
      <c r="L142" s="244">
        <f>E142-I142*0.4</f>
        <v>42893.4</v>
      </c>
      <c r="M142" s="215"/>
      <c r="N142" s="251">
        <v>42832.4</v>
      </c>
      <c r="O142" s="245">
        <v>310</v>
      </c>
      <c r="P142" s="215"/>
      <c r="Q142" s="215"/>
      <c r="R142" s="215"/>
    </row>
    <row r="143" ht="12.75" customHeight="1">
      <c r="A143" t="s" s="216">
        <v>126</v>
      </c>
      <c r="B143" t="s" s="216">
        <v>657</v>
      </c>
      <c r="C143" t="s" s="216">
        <v>703</v>
      </c>
      <c r="D143" s="244">
        <v>42705</v>
      </c>
      <c r="E143" s="244">
        <v>43069</v>
      </c>
      <c r="F143" s="245">
        <v>22</v>
      </c>
      <c r="G143" s="245">
        <v>0</v>
      </c>
      <c r="H143" t="s" s="216">
        <v>659</v>
      </c>
      <c r="I143" s="245">
        <v>364</v>
      </c>
      <c r="J143" s="245">
        <v>243</v>
      </c>
      <c r="K143" s="246">
        <v>0.6675824175824175</v>
      </c>
      <c r="L143" s="244">
        <f>E143-I143*0.4</f>
        <v>42923.4</v>
      </c>
      <c r="M143" s="215"/>
      <c r="N143" t="s" s="258">
        <v>343</v>
      </c>
      <c r="O143" s="245">
        <v>767</v>
      </c>
      <c r="P143" s="215"/>
      <c r="Q143" s="215"/>
      <c r="R143" s="215"/>
    </row>
    <row r="144" ht="12.75" customHeight="1">
      <c r="A144" t="s" s="216">
        <v>126</v>
      </c>
      <c r="B144" t="s" s="216">
        <v>666</v>
      </c>
      <c r="C144" t="s" s="216">
        <v>701</v>
      </c>
      <c r="D144" s="244">
        <v>42583</v>
      </c>
      <c r="E144" s="244">
        <v>42947</v>
      </c>
      <c r="F144" s="245">
        <v>4</v>
      </c>
      <c r="G144" s="245">
        <v>0</v>
      </c>
      <c r="H144" t="s" s="216">
        <v>659</v>
      </c>
      <c r="I144" s="245">
        <v>364</v>
      </c>
      <c r="J144" s="245">
        <v>121</v>
      </c>
      <c r="K144" s="246">
        <v>0.3324175824175824</v>
      </c>
      <c r="L144" s="244">
        <f>E144-I144*0.4</f>
        <v>42801.4</v>
      </c>
      <c r="M144" s="215"/>
      <c r="N144" s="251">
        <v>42801.4</v>
      </c>
      <c r="O144" s="245">
        <v>80</v>
      </c>
      <c r="P144" s="215"/>
      <c r="Q144" s="215"/>
      <c r="R144" s="215"/>
    </row>
    <row r="145" ht="12.75" customHeight="1">
      <c r="A145" t="s" s="216">
        <v>126</v>
      </c>
      <c r="B145" t="s" s="216">
        <v>666</v>
      </c>
      <c r="C145" t="s" s="216">
        <v>703</v>
      </c>
      <c r="D145" s="244">
        <v>42705</v>
      </c>
      <c r="E145" s="244">
        <v>43069</v>
      </c>
      <c r="F145" s="245">
        <v>360</v>
      </c>
      <c r="G145" s="245">
        <v>0</v>
      </c>
      <c r="H145" t="s" s="216">
        <v>659</v>
      </c>
      <c r="I145" s="245">
        <v>364</v>
      </c>
      <c r="J145" s="245">
        <v>243</v>
      </c>
      <c r="K145" s="246">
        <v>0.6675824175824175</v>
      </c>
      <c r="L145" s="244">
        <f>E145-I145*0.4</f>
        <v>42923.4</v>
      </c>
      <c r="M145" s="215"/>
      <c r="N145" s="251">
        <v>42832.4</v>
      </c>
      <c r="O145" s="245">
        <v>687</v>
      </c>
      <c r="P145" s="215"/>
      <c r="Q145" s="215"/>
      <c r="R145" s="215"/>
    </row>
    <row r="146" ht="12.75" customHeight="1">
      <c r="A146" t="s" s="216">
        <v>126</v>
      </c>
      <c r="B146" t="s" s="216">
        <v>667</v>
      </c>
      <c r="C146" t="s" s="216">
        <v>701</v>
      </c>
      <c r="D146" s="244">
        <v>42583</v>
      </c>
      <c r="E146" s="244">
        <v>42947</v>
      </c>
      <c r="F146" s="245">
        <v>2588</v>
      </c>
      <c r="G146" s="245">
        <v>0</v>
      </c>
      <c r="H146" t="s" s="216">
        <v>659</v>
      </c>
      <c r="I146" s="245">
        <v>364</v>
      </c>
      <c r="J146" s="245">
        <v>121</v>
      </c>
      <c r="K146" s="246">
        <v>0.3324175824175824</v>
      </c>
      <c r="L146" s="244">
        <f>E146-I146*0.4</f>
        <v>42801.4</v>
      </c>
      <c r="M146" s="215"/>
      <c r="N146" t="s" s="258">
        <v>355</v>
      </c>
      <c r="O146" s="245">
        <v>3100</v>
      </c>
      <c r="P146" s="215"/>
      <c r="Q146" s="215"/>
      <c r="R146" s="215"/>
    </row>
    <row r="147" ht="12.75" customHeight="1">
      <c r="A147" t="s" s="216">
        <v>126</v>
      </c>
      <c r="B147" t="s" s="216">
        <v>667</v>
      </c>
      <c r="C147" t="s" s="216">
        <v>702</v>
      </c>
      <c r="D147" s="244">
        <v>42675</v>
      </c>
      <c r="E147" s="244">
        <v>43039</v>
      </c>
      <c r="F147" s="245">
        <v>340</v>
      </c>
      <c r="G147" s="245">
        <v>0</v>
      </c>
      <c r="H147" t="s" s="216">
        <v>659</v>
      </c>
      <c r="I147" s="245">
        <v>364</v>
      </c>
      <c r="J147" s="245">
        <v>213</v>
      </c>
      <c r="K147" s="246">
        <v>0.5851648351648352</v>
      </c>
      <c r="L147" s="244">
        <f>E147-I147*0.4</f>
        <v>42893.4</v>
      </c>
      <c r="M147" s="215"/>
      <c r="N147" s="251">
        <v>42740.4</v>
      </c>
      <c r="O147" s="245">
        <v>401</v>
      </c>
      <c r="P147" s="215"/>
      <c r="Q147" s="215"/>
      <c r="R147" s="215"/>
    </row>
    <row r="148" ht="12.75" customHeight="1">
      <c r="A148" t="s" s="216">
        <v>126</v>
      </c>
      <c r="B148" t="s" s="216">
        <v>668</v>
      </c>
      <c r="C148" t="s" s="216">
        <v>700</v>
      </c>
      <c r="D148" s="244">
        <v>42552</v>
      </c>
      <c r="E148" s="244">
        <v>42916</v>
      </c>
      <c r="F148" s="245">
        <v>43</v>
      </c>
      <c r="G148" s="245">
        <v>0</v>
      </c>
      <c r="H148" t="s" s="216">
        <v>659</v>
      </c>
      <c r="I148" s="245">
        <v>364</v>
      </c>
      <c r="J148" s="245">
        <v>90</v>
      </c>
      <c r="K148" s="246">
        <v>0.2472527472527473</v>
      </c>
      <c r="L148" s="244">
        <f>E148-I148*0.4</f>
        <v>42770.4</v>
      </c>
      <c r="M148" s="215"/>
      <c r="N148" s="251">
        <v>42770.4</v>
      </c>
      <c r="O148" s="245">
        <v>314</v>
      </c>
      <c r="P148" s="215"/>
      <c r="Q148" s="215"/>
      <c r="R148" s="215"/>
    </row>
    <row r="149" ht="12.75" customHeight="1">
      <c r="A149" t="s" s="216">
        <v>138</v>
      </c>
      <c r="B149" t="s" s="216">
        <v>657</v>
      </c>
      <c r="C149" t="s" s="216">
        <v>704</v>
      </c>
      <c r="D149" s="244">
        <v>42492</v>
      </c>
      <c r="E149" s="244">
        <v>42886</v>
      </c>
      <c r="F149" s="245">
        <v>140</v>
      </c>
      <c r="G149" s="245">
        <v>0</v>
      </c>
      <c r="H149" t="s" s="216">
        <v>659</v>
      </c>
      <c r="I149" s="245">
        <v>394</v>
      </c>
      <c r="J149" s="245">
        <v>60</v>
      </c>
      <c r="K149" s="246">
        <v>0.1522842639593909</v>
      </c>
      <c r="L149" s="244">
        <f>E149-I149*0.4</f>
        <v>42728.4</v>
      </c>
      <c r="M149" s="215"/>
      <c r="N149" s="251">
        <v>42801.4</v>
      </c>
      <c r="O149" s="245">
        <v>2385</v>
      </c>
      <c r="P149" s="215"/>
      <c r="Q149" s="215"/>
      <c r="R149" s="215"/>
    </row>
    <row r="150" ht="12.75" customHeight="1">
      <c r="A150" t="s" s="216">
        <v>138</v>
      </c>
      <c r="B150" t="s" s="216">
        <v>657</v>
      </c>
      <c r="C150" t="s" s="216">
        <v>705</v>
      </c>
      <c r="D150" s="244">
        <v>42584</v>
      </c>
      <c r="E150" s="244">
        <v>42978</v>
      </c>
      <c r="F150" s="245">
        <v>1</v>
      </c>
      <c r="G150" s="245">
        <v>0</v>
      </c>
      <c r="H150" t="s" s="216">
        <v>659</v>
      </c>
      <c r="I150" s="245">
        <v>394</v>
      </c>
      <c r="J150" s="245">
        <v>152</v>
      </c>
      <c r="K150" s="246">
        <v>0.3857868020304568</v>
      </c>
      <c r="L150" s="244">
        <f>E150-I150*0.4</f>
        <v>42820.4</v>
      </c>
      <c r="M150" s="215"/>
      <c r="N150" t="s" s="258">
        <v>565</v>
      </c>
      <c r="O150" s="245">
        <v>3996</v>
      </c>
      <c r="P150" s="215"/>
      <c r="Q150" s="215"/>
      <c r="R150" s="215"/>
    </row>
    <row r="151" ht="12.75" customHeight="1">
      <c r="A151" t="s" s="216">
        <v>138</v>
      </c>
      <c r="B151" t="s" s="216">
        <v>657</v>
      </c>
      <c r="C151" t="s" s="216">
        <v>706</v>
      </c>
      <c r="D151" s="244">
        <v>42431</v>
      </c>
      <c r="E151" s="244">
        <v>42825</v>
      </c>
      <c r="F151" s="245">
        <v>20</v>
      </c>
      <c r="G151" s="245">
        <v>0</v>
      </c>
      <c r="H151" t="s" s="216">
        <v>659</v>
      </c>
      <c r="I151" s="245">
        <v>394</v>
      </c>
      <c r="J151" s="245">
        <v>-1</v>
      </c>
      <c r="K151" s="246">
        <v>-0.002538071065989848</v>
      </c>
      <c r="L151" s="244">
        <f>E151-I151*0.4</f>
        <v>42667.4</v>
      </c>
      <c r="M151" s="215"/>
      <c r="N151" s="251">
        <v>42740.4</v>
      </c>
      <c r="O151" s="245">
        <v>40</v>
      </c>
      <c r="P151" s="215"/>
      <c r="Q151" s="215"/>
      <c r="R151" s="215"/>
    </row>
    <row r="152" ht="12.75" customHeight="1">
      <c r="A152" t="s" s="216">
        <v>138</v>
      </c>
      <c r="B152" t="s" s="216">
        <v>657</v>
      </c>
      <c r="C152" t="s" s="216">
        <v>704</v>
      </c>
      <c r="D152" s="244">
        <v>42492</v>
      </c>
      <c r="E152" s="244">
        <v>42886</v>
      </c>
      <c r="F152" s="245">
        <v>160</v>
      </c>
      <c r="G152" s="245">
        <v>0</v>
      </c>
      <c r="H152" t="s" s="216">
        <v>659</v>
      </c>
      <c r="I152" s="245">
        <v>394</v>
      </c>
      <c r="J152" s="245">
        <v>60</v>
      </c>
      <c r="K152" s="246">
        <v>0.1522842639593909</v>
      </c>
      <c r="L152" s="244">
        <f>E152-I152*0.4</f>
        <v>42728.4</v>
      </c>
      <c r="M152" s="215"/>
      <c r="N152" s="251">
        <v>42770.4</v>
      </c>
      <c r="O152" s="245">
        <v>0</v>
      </c>
      <c r="P152" s="215"/>
      <c r="Q152" s="215"/>
      <c r="R152" s="215"/>
    </row>
    <row r="153" ht="12.75" customHeight="1">
      <c r="A153" t="s" s="216">
        <v>138</v>
      </c>
      <c r="B153" t="s" s="216">
        <v>657</v>
      </c>
      <c r="C153" t="s" s="216">
        <v>707</v>
      </c>
      <c r="D153" s="244">
        <v>42675</v>
      </c>
      <c r="E153" s="244">
        <v>43069</v>
      </c>
      <c r="F153" s="245">
        <v>320</v>
      </c>
      <c r="G153" s="245">
        <v>0</v>
      </c>
      <c r="H153" t="s" s="216">
        <v>659</v>
      </c>
      <c r="I153" s="245">
        <v>394</v>
      </c>
      <c r="J153" s="245">
        <v>243</v>
      </c>
      <c r="K153" s="246">
        <v>0.616751269035533</v>
      </c>
      <c r="L153" s="244">
        <f>E153-I153*0.4</f>
        <v>42911.4</v>
      </c>
      <c r="M153" s="215"/>
      <c r="N153" s="251">
        <v>42801.4</v>
      </c>
      <c r="O153" s="245">
        <v>3844</v>
      </c>
      <c r="P153" s="215"/>
      <c r="Q153" s="215"/>
      <c r="R153" s="215"/>
    </row>
    <row r="154" ht="12.75" customHeight="1">
      <c r="A154" t="s" s="216">
        <v>138</v>
      </c>
      <c r="B154" t="s" s="216">
        <v>657</v>
      </c>
      <c r="C154" t="s" s="216">
        <v>707</v>
      </c>
      <c r="D154" s="244">
        <v>42675</v>
      </c>
      <c r="E154" s="244">
        <v>43069</v>
      </c>
      <c r="F154" s="245">
        <v>160</v>
      </c>
      <c r="G154" s="245">
        <v>0</v>
      </c>
      <c r="H154" t="s" s="216">
        <v>659</v>
      </c>
      <c r="I154" s="245">
        <v>394</v>
      </c>
      <c r="J154" s="245">
        <v>243</v>
      </c>
      <c r="K154" s="246">
        <v>0.616751269035533</v>
      </c>
      <c r="L154" s="244">
        <f>E154-I154*0.4</f>
        <v>42911.4</v>
      </c>
      <c r="M154" s="215"/>
      <c r="N154" s="251">
        <v>42832.4</v>
      </c>
      <c r="O154" s="245">
        <v>112</v>
      </c>
      <c r="P154" s="215"/>
      <c r="Q154" s="215"/>
      <c r="R154" s="215"/>
    </row>
    <row r="155" ht="12.75" customHeight="1">
      <c r="A155" t="s" s="216">
        <v>138</v>
      </c>
      <c r="B155" t="s" s="216">
        <v>657</v>
      </c>
      <c r="C155" t="s" s="216">
        <v>708</v>
      </c>
      <c r="D155" s="244">
        <v>42645</v>
      </c>
      <c r="E155" s="244">
        <v>43039</v>
      </c>
      <c r="F155" s="245">
        <v>24</v>
      </c>
      <c r="G155" s="245">
        <v>0</v>
      </c>
      <c r="H155" t="s" s="216">
        <v>659</v>
      </c>
      <c r="I155" s="245">
        <v>394</v>
      </c>
      <c r="J155" s="245">
        <v>213</v>
      </c>
      <c r="K155" s="246">
        <v>0.5406091370558376</v>
      </c>
      <c r="L155" s="244">
        <f>E155-I155*0.4</f>
        <v>42881.4</v>
      </c>
      <c r="M155" s="215"/>
      <c r="N155" t="s" s="258">
        <v>566</v>
      </c>
      <c r="O155" s="245">
        <v>216</v>
      </c>
      <c r="P155" s="215"/>
      <c r="Q155" s="215"/>
      <c r="R155" s="215"/>
    </row>
    <row r="156" ht="12.75" customHeight="1">
      <c r="A156" t="s" s="216">
        <v>138</v>
      </c>
      <c r="B156" t="s" s="216">
        <v>666</v>
      </c>
      <c r="C156" t="s" s="216">
        <v>705</v>
      </c>
      <c r="D156" s="244">
        <v>42584</v>
      </c>
      <c r="E156" s="244">
        <v>42978</v>
      </c>
      <c r="F156" s="245">
        <v>2062</v>
      </c>
      <c r="G156" s="245">
        <v>0</v>
      </c>
      <c r="H156" t="s" s="216">
        <v>659</v>
      </c>
      <c r="I156" s="245">
        <v>394</v>
      </c>
      <c r="J156" s="245">
        <v>152</v>
      </c>
      <c r="K156" s="246">
        <v>0.3857868020304568</v>
      </c>
      <c r="L156" s="244">
        <f>E156-I156*0.4</f>
        <v>42820.4</v>
      </c>
      <c r="M156" s="215"/>
      <c r="N156" s="251">
        <v>42801.4</v>
      </c>
      <c r="O156" s="245">
        <v>40</v>
      </c>
      <c r="P156" s="215"/>
      <c r="Q156" s="215"/>
      <c r="R156" s="215"/>
    </row>
    <row r="157" ht="12.75" customHeight="1">
      <c r="A157" t="s" s="216">
        <v>138</v>
      </c>
      <c r="B157" t="s" s="216">
        <v>666</v>
      </c>
      <c r="C157" t="s" s="216">
        <v>708</v>
      </c>
      <c r="D157" s="244">
        <v>42645</v>
      </c>
      <c r="E157" s="244">
        <v>43039</v>
      </c>
      <c r="F157" s="245">
        <v>100</v>
      </c>
      <c r="G157" s="245">
        <v>0</v>
      </c>
      <c r="H157" t="s" s="216">
        <v>659</v>
      </c>
      <c r="I157" s="245">
        <v>394</v>
      </c>
      <c r="J157" s="245">
        <v>213</v>
      </c>
      <c r="K157" s="246">
        <v>0.5406091370558376</v>
      </c>
      <c r="L157" s="244">
        <f>E157-I157*0.4</f>
        <v>42881.4</v>
      </c>
      <c r="M157" s="215"/>
      <c r="N157" s="251">
        <v>42832.4</v>
      </c>
      <c r="O157" s="245">
        <v>176</v>
      </c>
      <c r="P157" s="215"/>
      <c r="Q157" s="215"/>
      <c r="R157" s="215"/>
    </row>
    <row r="158" ht="12.75" customHeight="1">
      <c r="A158" t="s" s="216">
        <v>138</v>
      </c>
      <c r="B158" t="s" s="216">
        <v>667</v>
      </c>
      <c r="C158" t="s" s="216">
        <v>705</v>
      </c>
      <c r="D158" s="244">
        <v>42584</v>
      </c>
      <c r="E158" s="244">
        <v>42978</v>
      </c>
      <c r="F158" s="245">
        <v>972</v>
      </c>
      <c r="G158" s="245">
        <v>0</v>
      </c>
      <c r="H158" t="s" s="216">
        <v>659</v>
      </c>
      <c r="I158" s="245">
        <v>394</v>
      </c>
      <c r="J158" s="245">
        <v>152</v>
      </c>
      <c r="K158" s="246">
        <v>0.3857868020304568</v>
      </c>
      <c r="L158" s="244">
        <f>E158-I158*0.4</f>
        <v>42820.4</v>
      </c>
      <c r="M158" s="215"/>
      <c r="N158" t="s" s="258">
        <v>567</v>
      </c>
      <c r="O158" s="245">
        <v>1180</v>
      </c>
      <c r="P158" s="215"/>
      <c r="Q158" s="215"/>
      <c r="R158" s="215"/>
    </row>
    <row r="159" ht="12.75" customHeight="1">
      <c r="A159" t="s" s="216">
        <v>138</v>
      </c>
      <c r="B159" t="s" s="216">
        <v>667</v>
      </c>
      <c r="C159" t="s" s="216">
        <v>707</v>
      </c>
      <c r="D159" s="244">
        <v>42675</v>
      </c>
      <c r="E159" s="244">
        <v>43069</v>
      </c>
      <c r="F159" s="245">
        <v>480</v>
      </c>
      <c r="G159" s="245">
        <v>0</v>
      </c>
      <c r="H159" t="s" s="216">
        <v>659</v>
      </c>
      <c r="I159" s="245">
        <v>394</v>
      </c>
      <c r="J159" s="245">
        <v>243</v>
      </c>
      <c r="K159" s="246">
        <v>0.616751269035533</v>
      </c>
      <c r="L159" s="244">
        <f>E159-I159*0.4</f>
        <v>42911.4</v>
      </c>
      <c r="M159" s="215"/>
      <c r="N159" s="251">
        <v>42735.4</v>
      </c>
      <c r="O159" s="245">
        <v>7</v>
      </c>
      <c r="P159" s="215"/>
      <c r="Q159" s="215"/>
      <c r="R159" s="215"/>
    </row>
    <row r="160" ht="12.75" customHeight="1">
      <c r="A160" t="s" s="216">
        <v>138</v>
      </c>
      <c r="B160" t="s" s="216">
        <v>668</v>
      </c>
      <c r="C160" t="s" s="216">
        <v>704</v>
      </c>
      <c r="D160" s="244">
        <v>42492</v>
      </c>
      <c r="E160" s="244">
        <v>42886</v>
      </c>
      <c r="F160" s="245">
        <v>198</v>
      </c>
      <c r="G160" s="245">
        <v>0</v>
      </c>
      <c r="H160" t="s" s="216">
        <v>659</v>
      </c>
      <c r="I160" s="245">
        <v>394</v>
      </c>
      <c r="J160" s="245">
        <v>60</v>
      </c>
      <c r="K160" s="246">
        <v>0.1522842639593909</v>
      </c>
      <c r="L160" s="244">
        <f>E160-I160*0.4</f>
        <v>42728.4</v>
      </c>
      <c r="M160" s="215"/>
      <c r="N160" s="251">
        <v>42756.4</v>
      </c>
      <c r="O160" s="245">
        <v>215</v>
      </c>
      <c r="P160" s="215"/>
      <c r="Q160" s="215"/>
      <c r="R160" s="215"/>
    </row>
    <row r="161" ht="12.75" customHeight="1">
      <c r="A161" t="s" s="216">
        <v>150</v>
      </c>
      <c r="B161" t="s" s="216">
        <v>657</v>
      </c>
      <c r="C161" t="s" s="216">
        <v>686</v>
      </c>
      <c r="D161" s="244">
        <v>42553</v>
      </c>
      <c r="E161" s="244">
        <v>43008</v>
      </c>
      <c r="F161" s="245">
        <v>1980</v>
      </c>
      <c r="G161" s="245">
        <v>0</v>
      </c>
      <c r="H161" t="s" s="216">
        <v>659</v>
      </c>
      <c r="I161" s="245">
        <v>455</v>
      </c>
      <c r="J161" s="245">
        <v>182</v>
      </c>
      <c r="K161" s="246">
        <v>0.4</v>
      </c>
      <c r="L161" s="244">
        <f>E161-I161*0.4</f>
        <v>42826</v>
      </c>
      <c r="M161" s="215"/>
      <c r="N161" s="251">
        <v>42790.4</v>
      </c>
      <c r="O161" s="245">
        <v>601</v>
      </c>
      <c r="P161" s="215"/>
      <c r="Q161" s="215"/>
      <c r="R161" s="215"/>
    </row>
    <row r="162" ht="12.75" customHeight="1">
      <c r="A162" t="s" s="216">
        <v>150</v>
      </c>
      <c r="B162" t="s" s="216">
        <v>657</v>
      </c>
      <c r="C162" t="s" s="216">
        <v>688</v>
      </c>
      <c r="D162" s="244">
        <v>42614</v>
      </c>
      <c r="E162" s="244">
        <v>43069</v>
      </c>
      <c r="F162" s="245">
        <v>0</v>
      </c>
      <c r="G162" s="245">
        <v>0</v>
      </c>
      <c r="H162" t="s" s="216">
        <v>659</v>
      </c>
      <c r="I162" s="245">
        <v>455</v>
      </c>
      <c r="J162" s="245">
        <v>243</v>
      </c>
      <c r="K162" s="246">
        <v>0.5340659340659341</v>
      </c>
      <c r="L162" s="244">
        <f>E162-I162*0.4</f>
        <v>42887</v>
      </c>
      <c r="M162" s="215"/>
      <c r="N162" s="251">
        <v>42811.4</v>
      </c>
      <c r="O162" s="245">
        <v>357</v>
      </c>
      <c r="P162" s="215"/>
      <c r="Q162" s="215"/>
      <c r="R162" s="215"/>
    </row>
    <row r="163" ht="12.75" customHeight="1">
      <c r="A163" t="s" s="216">
        <v>150</v>
      </c>
      <c r="B163" t="s" s="216">
        <v>657</v>
      </c>
      <c r="C163" t="s" s="216">
        <v>709</v>
      </c>
      <c r="D163" s="244">
        <v>42644</v>
      </c>
      <c r="E163" s="244">
        <v>43099</v>
      </c>
      <c r="F163" s="245">
        <v>40</v>
      </c>
      <c r="G163" s="245">
        <v>0</v>
      </c>
      <c r="H163" t="s" s="216">
        <v>659</v>
      </c>
      <c r="I163" s="245">
        <v>455</v>
      </c>
      <c r="J163" s="245">
        <v>273</v>
      </c>
      <c r="K163" s="246">
        <v>0.6</v>
      </c>
      <c r="L163" s="244">
        <f>E163-I163*0.4</f>
        <v>42917</v>
      </c>
      <c r="M163" s="215"/>
      <c r="N163" t="s" s="258">
        <v>367</v>
      </c>
      <c r="O163" s="245">
        <v>546</v>
      </c>
      <c r="P163" s="215"/>
      <c r="Q163" s="215"/>
      <c r="R163" s="215"/>
    </row>
    <row r="164" ht="12.75" customHeight="1">
      <c r="A164" t="s" s="216">
        <v>150</v>
      </c>
      <c r="B164" t="s" s="216">
        <v>657</v>
      </c>
      <c r="C164" t="s" s="216">
        <v>710</v>
      </c>
      <c r="D164" s="244">
        <v>42675</v>
      </c>
      <c r="E164" s="244">
        <v>43130</v>
      </c>
      <c r="F164" s="245">
        <v>20</v>
      </c>
      <c r="G164" s="245">
        <v>0</v>
      </c>
      <c r="H164" t="s" s="216">
        <v>659</v>
      </c>
      <c r="I164" s="245">
        <v>455</v>
      </c>
      <c r="J164" s="245">
        <v>304</v>
      </c>
      <c r="K164" s="246">
        <v>0.6681318681318681</v>
      </c>
      <c r="L164" s="244">
        <f>E164-I164*0.4</f>
        <v>42948</v>
      </c>
      <c r="M164" s="215"/>
      <c r="N164" s="251">
        <v>42770.4</v>
      </c>
      <c r="O164" s="245">
        <v>140</v>
      </c>
      <c r="P164" s="215"/>
      <c r="Q164" s="215"/>
      <c r="R164" s="215"/>
    </row>
    <row r="165" ht="12.75" customHeight="1">
      <c r="A165" t="s" s="216">
        <v>150</v>
      </c>
      <c r="B165" t="s" s="216">
        <v>657</v>
      </c>
      <c r="C165" t="s" s="216">
        <v>690</v>
      </c>
      <c r="D165" s="244">
        <v>42704</v>
      </c>
      <c r="E165" s="244">
        <v>43159</v>
      </c>
      <c r="F165" s="245">
        <v>840</v>
      </c>
      <c r="G165" s="245">
        <v>720</v>
      </c>
      <c r="H165" t="s" s="216">
        <v>659</v>
      </c>
      <c r="I165" s="245">
        <v>455</v>
      </c>
      <c r="J165" s="245">
        <v>333</v>
      </c>
      <c r="K165" s="246">
        <v>0.7318681318681318</v>
      </c>
      <c r="L165" s="244">
        <f>E165-I165*0.4</f>
        <v>42977</v>
      </c>
      <c r="M165" s="215"/>
      <c r="N165" s="251">
        <v>42832.4</v>
      </c>
      <c r="O165" s="245">
        <v>406</v>
      </c>
      <c r="P165" s="215"/>
      <c r="Q165" s="215"/>
      <c r="R165" s="215"/>
    </row>
    <row r="166" ht="12.75" customHeight="1">
      <c r="A166" t="s" s="216">
        <v>150</v>
      </c>
      <c r="B166" t="s" s="216">
        <v>657</v>
      </c>
      <c r="C166" t="s" s="216">
        <v>686</v>
      </c>
      <c r="D166" s="244">
        <v>42553</v>
      </c>
      <c r="E166" s="244">
        <v>43008</v>
      </c>
      <c r="F166" s="245">
        <v>1120</v>
      </c>
      <c r="G166" s="245">
        <v>0</v>
      </c>
      <c r="H166" t="s" s="216">
        <v>659</v>
      </c>
      <c r="I166" s="245">
        <v>455</v>
      </c>
      <c r="J166" s="245">
        <v>182</v>
      </c>
      <c r="K166" s="246">
        <v>0.4</v>
      </c>
      <c r="L166" s="244">
        <f>E166-I166*0.4</f>
        <v>42826</v>
      </c>
      <c r="M166" s="215"/>
      <c r="N166" t="s" s="258">
        <v>711</v>
      </c>
      <c r="O166" s="245">
        <v>195</v>
      </c>
      <c r="P166" s="215"/>
      <c r="Q166" s="215"/>
      <c r="R166" s="215"/>
    </row>
    <row r="167" ht="12.75" customHeight="1">
      <c r="A167" t="s" s="216">
        <v>150</v>
      </c>
      <c r="B167" t="s" s="216">
        <v>657</v>
      </c>
      <c r="C167" t="s" s="216">
        <v>686</v>
      </c>
      <c r="D167" s="244">
        <v>42553</v>
      </c>
      <c r="E167" s="244">
        <v>43008</v>
      </c>
      <c r="F167" s="245">
        <v>43840</v>
      </c>
      <c r="G167" s="245">
        <v>0</v>
      </c>
      <c r="H167" t="s" s="216">
        <v>659</v>
      </c>
      <c r="I167" s="245">
        <v>455</v>
      </c>
      <c r="J167" s="245">
        <v>182</v>
      </c>
      <c r="K167" s="246">
        <v>0.4</v>
      </c>
      <c r="L167" s="244">
        <f>E167-I167*0.4</f>
        <v>42826</v>
      </c>
      <c r="M167" s="215"/>
      <c r="N167" s="251">
        <v>42770.4</v>
      </c>
      <c r="O167" s="245">
        <v>16</v>
      </c>
      <c r="P167" s="215"/>
      <c r="Q167" s="215"/>
      <c r="R167" s="215"/>
    </row>
    <row r="168" ht="12.75" customHeight="1">
      <c r="A168" t="s" s="216">
        <v>150</v>
      </c>
      <c r="B168" t="s" s="216">
        <v>657</v>
      </c>
      <c r="C168" t="s" s="216">
        <v>688</v>
      </c>
      <c r="D168" s="244">
        <v>42614</v>
      </c>
      <c r="E168" s="244">
        <v>43069</v>
      </c>
      <c r="F168" s="245">
        <v>8320</v>
      </c>
      <c r="G168" s="245">
        <v>0</v>
      </c>
      <c r="H168" t="s" s="216">
        <v>659</v>
      </c>
      <c r="I168" s="245">
        <v>455</v>
      </c>
      <c r="J168" s="245">
        <v>243</v>
      </c>
      <c r="K168" s="246">
        <v>0.5340659340659341</v>
      </c>
      <c r="L168" s="244">
        <f>E168-I168*0.4</f>
        <v>42887</v>
      </c>
      <c r="M168" s="215"/>
      <c r="N168" s="251">
        <v>42832.4</v>
      </c>
      <c r="O168" s="245">
        <v>179</v>
      </c>
      <c r="P168" s="215"/>
      <c r="Q168" s="215"/>
      <c r="R168" s="215"/>
    </row>
    <row r="169" ht="12.75" customHeight="1">
      <c r="A169" t="s" s="216">
        <v>150</v>
      </c>
      <c r="B169" t="s" s="216">
        <v>657</v>
      </c>
      <c r="C169" t="s" s="216">
        <v>690</v>
      </c>
      <c r="D169" s="244">
        <v>42704</v>
      </c>
      <c r="E169" s="244">
        <v>43159</v>
      </c>
      <c r="F169" s="245">
        <v>2780</v>
      </c>
      <c r="G169" s="245">
        <v>2740</v>
      </c>
      <c r="H169" t="s" s="216">
        <v>659</v>
      </c>
      <c r="I169" s="245">
        <v>455</v>
      </c>
      <c r="J169" s="245">
        <v>333</v>
      </c>
      <c r="K169" s="246">
        <v>0.7318681318681318</v>
      </c>
      <c r="L169" s="244">
        <f>E169-I169*0.4</f>
        <v>42977</v>
      </c>
      <c r="M169" s="215"/>
      <c r="N169" t="s" s="258">
        <v>379</v>
      </c>
      <c r="O169" s="245">
        <v>618</v>
      </c>
      <c r="P169" s="215"/>
      <c r="Q169" s="215"/>
      <c r="R169" s="215"/>
    </row>
    <row r="170" ht="12.75" customHeight="1">
      <c r="A170" t="s" s="216">
        <v>150</v>
      </c>
      <c r="B170" t="s" s="216">
        <v>657</v>
      </c>
      <c r="C170" t="s" s="216">
        <v>709</v>
      </c>
      <c r="D170" s="244">
        <v>42644</v>
      </c>
      <c r="E170" s="244">
        <v>43099</v>
      </c>
      <c r="F170" s="245">
        <v>47</v>
      </c>
      <c r="G170" s="245">
        <v>0</v>
      </c>
      <c r="H170" t="s" s="216">
        <v>659</v>
      </c>
      <c r="I170" s="245">
        <v>455</v>
      </c>
      <c r="J170" s="245">
        <v>273</v>
      </c>
      <c r="K170" s="246">
        <v>0.6</v>
      </c>
      <c r="L170" s="244">
        <f>E170-I170*0.4</f>
        <v>42917</v>
      </c>
      <c r="M170" s="215"/>
      <c r="N170" s="251">
        <v>42740.4</v>
      </c>
      <c r="O170" s="245">
        <v>16</v>
      </c>
      <c r="P170" s="215"/>
      <c r="Q170" s="215"/>
      <c r="R170" s="215"/>
    </row>
    <row r="171" ht="12.75" customHeight="1">
      <c r="A171" t="s" s="216">
        <v>150</v>
      </c>
      <c r="B171" t="s" s="216">
        <v>657</v>
      </c>
      <c r="C171" t="s" s="216">
        <v>690</v>
      </c>
      <c r="D171" s="244">
        <v>42704</v>
      </c>
      <c r="E171" s="244">
        <v>43159</v>
      </c>
      <c r="F171" s="245">
        <v>120</v>
      </c>
      <c r="G171" s="245">
        <v>0</v>
      </c>
      <c r="H171" t="s" s="216">
        <v>659</v>
      </c>
      <c r="I171" s="245">
        <v>455</v>
      </c>
      <c r="J171" s="245">
        <v>333</v>
      </c>
      <c r="K171" s="246">
        <v>0.7318681318681318</v>
      </c>
      <c r="L171" s="244">
        <f>E171-I171*0.4</f>
        <v>42977</v>
      </c>
      <c r="M171" s="215"/>
      <c r="N171" s="251">
        <v>42770.4</v>
      </c>
      <c r="O171" s="245">
        <v>316</v>
      </c>
      <c r="P171" s="215"/>
      <c r="Q171" s="215"/>
      <c r="R171" s="215"/>
    </row>
    <row r="172" ht="12.75" customHeight="1">
      <c r="A172" t="s" s="216">
        <v>150</v>
      </c>
      <c r="B172" t="s" s="216">
        <v>666</v>
      </c>
      <c r="C172" t="s" s="216">
        <v>712</v>
      </c>
      <c r="D172" s="244">
        <v>42522</v>
      </c>
      <c r="E172" s="244">
        <v>42977</v>
      </c>
      <c r="F172" s="245">
        <v>1</v>
      </c>
      <c r="G172" s="245">
        <v>0</v>
      </c>
      <c r="H172" t="s" s="216">
        <v>659</v>
      </c>
      <c r="I172" s="245">
        <v>455</v>
      </c>
      <c r="J172" s="245">
        <v>151</v>
      </c>
      <c r="K172" s="246">
        <v>0.3318681318681319</v>
      </c>
      <c r="L172" s="244">
        <f>E172-I172*0.4</f>
        <v>42795</v>
      </c>
      <c r="M172" s="215"/>
      <c r="N172" s="251">
        <v>42801.4</v>
      </c>
      <c r="O172" s="245">
        <v>286</v>
      </c>
      <c r="P172" s="215"/>
      <c r="Q172" s="215"/>
      <c r="R172" s="215"/>
    </row>
    <row r="173" ht="12.75" customHeight="1">
      <c r="A173" t="s" s="216">
        <v>150</v>
      </c>
      <c r="B173" t="s" s="216">
        <v>666</v>
      </c>
      <c r="C173" t="s" s="216">
        <v>686</v>
      </c>
      <c r="D173" s="244">
        <v>42553</v>
      </c>
      <c r="E173" s="244">
        <v>43008</v>
      </c>
      <c r="F173" s="245">
        <v>5035</v>
      </c>
      <c r="G173" s="245">
        <v>0</v>
      </c>
      <c r="H173" t="s" s="216">
        <v>659</v>
      </c>
      <c r="I173" s="245">
        <v>455</v>
      </c>
      <c r="J173" s="245">
        <v>182</v>
      </c>
      <c r="K173" s="246">
        <v>0.4</v>
      </c>
      <c r="L173" s="244">
        <f>E173-I173*0.4</f>
        <v>42826</v>
      </c>
      <c r="M173" s="215"/>
      <c r="N173" t="s" s="258">
        <v>391</v>
      </c>
      <c r="O173" s="245">
        <v>373</v>
      </c>
      <c r="P173" s="215"/>
      <c r="Q173" s="215"/>
      <c r="R173" s="215"/>
    </row>
    <row r="174" ht="12.75" customHeight="1">
      <c r="A174" t="s" s="216">
        <v>150</v>
      </c>
      <c r="B174" t="s" s="216">
        <v>666</v>
      </c>
      <c r="C174" t="s" s="216">
        <v>688</v>
      </c>
      <c r="D174" s="244">
        <v>42614</v>
      </c>
      <c r="E174" s="244">
        <v>43069</v>
      </c>
      <c r="F174" s="245">
        <v>3768</v>
      </c>
      <c r="G174" s="245">
        <v>0</v>
      </c>
      <c r="H174" t="s" s="216">
        <v>659</v>
      </c>
      <c r="I174" s="245">
        <v>455</v>
      </c>
      <c r="J174" s="245">
        <v>243</v>
      </c>
      <c r="K174" s="246">
        <v>0.5340659340659341</v>
      </c>
      <c r="L174" s="244">
        <f>E174-I174*0.4</f>
        <v>42887</v>
      </c>
      <c r="M174" s="215"/>
      <c r="N174" s="251">
        <v>42770.4</v>
      </c>
      <c r="O174" s="245">
        <v>100</v>
      </c>
      <c r="P174" s="215"/>
      <c r="Q174" s="215"/>
      <c r="R174" s="215"/>
    </row>
    <row r="175" ht="12.75" customHeight="1">
      <c r="A175" t="s" s="216">
        <v>150</v>
      </c>
      <c r="B175" t="s" s="216">
        <v>667</v>
      </c>
      <c r="C175" t="s" s="216">
        <v>712</v>
      </c>
      <c r="D175" s="244">
        <v>42522</v>
      </c>
      <c r="E175" s="244">
        <v>42977</v>
      </c>
      <c r="F175" s="245">
        <v>7</v>
      </c>
      <c r="G175" s="245">
        <v>0</v>
      </c>
      <c r="H175" t="s" s="216">
        <v>659</v>
      </c>
      <c r="I175" s="245">
        <v>455</v>
      </c>
      <c r="J175" s="245">
        <v>151</v>
      </c>
      <c r="K175" s="246">
        <v>0.3318681318681319</v>
      </c>
      <c r="L175" s="244">
        <f>E175-I175*0.4</f>
        <v>42795</v>
      </c>
      <c r="M175" s="215"/>
      <c r="N175" s="251">
        <v>42801.4</v>
      </c>
      <c r="O175" s="245">
        <v>268</v>
      </c>
      <c r="P175" s="215"/>
      <c r="Q175" s="215"/>
      <c r="R175" s="215"/>
    </row>
    <row r="176" ht="12.75" customHeight="1">
      <c r="A176" t="s" s="216">
        <v>150</v>
      </c>
      <c r="B176" t="s" s="216">
        <v>667</v>
      </c>
      <c r="C176" t="s" s="216">
        <v>686</v>
      </c>
      <c r="D176" s="244">
        <v>42553</v>
      </c>
      <c r="E176" s="244">
        <v>43008</v>
      </c>
      <c r="F176" s="245">
        <v>9363</v>
      </c>
      <c r="G176" s="245">
        <v>0</v>
      </c>
      <c r="H176" t="s" s="216">
        <v>659</v>
      </c>
      <c r="I176" s="245">
        <v>455</v>
      </c>
      <c r="J176" s="245">
        <v>182</v>
      </c>
      <c r="K176" s="246">
        <v>0.4</v>
      </c>
      <c r="L176" s="244">
        <f>E176-I176*0.4</f>
        <v>42826</v>
      </c>
      <c r="M176" s="215"/>
      <c r="N176" s="251">
        <v>42923.4</v>
      </c>
      <c r="O176" s="245">
        <v>5</v>
      </c>
      <c r="P176" s="215"/>
      <c r="Q176" s="215"/>
      <c r="R176" s="215"/>
    </row>
    <row r="177" ht="12.75" customHeight="1">
      <c r="A177" t="s" s="216">
        <v>150</v>
      </c>
      <c r="B177" t="s" s="216">
        <v>667</v>
      </c>
      <c r="C177" t="s" s="216">
        <v>688</v>
      </c>
      <c r="D177" s="244">
        <v>42614</v>
      </c>
      <c r="E177" s="244">
        <v>43069</v>
      </c>
      <c r="F177" s="245">
        <v>50</v>
      </c>
      <c r="G177" s="245">
        <v>0</v>
      </c>
      <c r="H177" t="s" s="216">
        <v>659</v>
      </c>
      <c r="I177" s="245">
        <v>455</v>
      </c>
      <c r="J177" s="245">
        <v>243</v>
      </c>
      <c r="K177" s="246">
        <v>0.5340659340659341</v>
      </c>
      <c r="L177" s="244">
        <f>E177-I177*0.4</f>
        <v>42887</v>
      </c>
      <c r="M177" s="215"/>
      <c r="N177" t="s" s="258">
        <v>403</v>
      </c>
      <c r="O177" s="245">
        <v>200</v>
      </c>
      <c r="P177" s="215"/>
      <c r="Q177" s="215"/>
      <c r="R177" s="215"/>
    </row>
    <row r="178" ht="12.75" customHeight="1">
      <c r="A178" t="s" s="216">
        <v>150</v>
      </c>
      <c r="B178" t="s" s="216">
        <v>667</v>
      </c>
      <c r="C178" t="s" s="216">
        <v>709</v>
      </c>
      <c r="D178" s="244">
        <v>42644</v>
      </c>
      <c r="E178" s="244">
        <v>43099</v>
      </c>
      <c r="F178" s="245">
        <v>340</v>
      </c>
      <c r="G178" s="245">
        <v>0</v>
      </c>
      <c r="H178" t="s" s="216">
        <v>659</v>
      </c>
      <c r="I178" s="245">
        <v>455</v>
      </c>
      <c r="J178" s="245">
        <v>273</v>
      </c>
      <c r="K178" s="246">
        <v>0.6</v>
      </c>
      <c r="L178" s="244">
        <f>E178-I178*0.4</f>
        <v>42917</v>
      </c>
      <c r="M178" s="215"/>
      <c r="N178" s="251">
        <v>42740.4</v>
      </c>
      <c r="O178" s="245">
        <v>70</v>
      </c>
      <c r="P178" s="215"/>
      <c r="Q178" s="215"/>
      <c r="R178" s="215"/>
    </row>
    <row r="179" ht="12.75" customHeight="1">
      <c r="A179" t="s" s="216">
        <v>150</v>
      </c>
      <c r="B179" t="s" s="216">
        <v>667</v>
      </c>
      <c r="C179" t="s" s="216">
        <v>690</v>
      </c>
      <c r="D179" s="244">
        <v>42704</v>
      </c>
      <c r="E179" s="244">
        <v>43159</v>
      </c>
      <c r="F179" s="245">
        <v>720</v>
      </c>
      <c r="G179" s="245">
        <v>0</v>
      </c>
      <c r="H179" t="s" s="216">
        <v>659</v>
      </c>
      <c r="I179" s="245">
        <v>455</v>
      </c>
      <c r="J179" s="245">
        <v>333</v>
      </c>
      <c r="K179" s="246">
        <v>0.7318681318681318</v>
      </c>
      <c r="L179" s="244">
        <f>E179-I179*0.4</f>
        <v>42977</v>
      </c>
      <c r="M179" s="215"/>
      <c r="N179" s="251">
        <v>42770.4</v>
      </c>
      <c r="O179" s="245">
        <v>130</v>
      </c>
      <c r="P179" s="215"/>
      <c r="Q179" s="215"/>
      <c r="R179" s="215"/>
    </row>
    <row r="180" ht="12.75" customHeight="1">
      <c r="A180" t="s" s="216">
        <v>162</v>
      </c>
      <c r="B180" t="s" s="216">
        <v>657</v>
      </c>
      <c r="C180" t="s" s="216">
        <v>713</v>
      </c>
      <c r="D180" s="244">
        <v>42583</v>
      </c>
      <c r="E180" s="244">
        <v>43038</v>
      </c>
      <c r="F180" s="245">
        <v>260</v>
      </c>
      <c r="G180" s="245">
        <v>0</v>
      </c>
      <c r="H180" t="s" s="216">
        <v>659</v>
      </c>
      <c r="I180" s="245">
        <v>455</v>
      </c>
      <c r="J180" s="245">
        <v>212</v>
      </c>
      <c r="K180" s="246">
        <v>0.4659340659340659</v>
      </c>
      <c r="L180" s="244">
        <f>E180-I180*0.4</f>
        <v>42856</v>
      </c>
      <c r="M180" s="215"/>
      <c r="N180" t="s" s="258">
        <v>568</v>
      </c>
      <c r="O180" s="245">
        <v>183</v>
      </c>
      <c r="P180" s="215"/>
      <c r="Q180" s="215"/>
      <c r="R180" s="215"/>
    </row>
    <row r="181" ht="12.75" customHeight="1">
      <c r="A181" t="s" s="216">
        <v>162</v>
      </c>
      <c r="B181" t="s" s="216">
        <v>657</v>
      </c>
      <c r="C181" t="s" s="216">
        <v>709</v>
      </c>
      <c r="D181" s="244">
        <v>42644</v>
      </c>
      <c r="E181" s="244">
        <v>43099</v>
      </c>
      <c r="F181" s="245">
        <v>20</v>
      </c>
      <c r="G181" s="245">
        <v>0</v>
      </c>
      <c r="H181" t="s" s="216">
        <v>659</v>
      </c>
      <c r="I181" s="245">
        <v>455</v>
      </c>
      <c r="J181" s="245">
        <v>273</v>
      </c>
      <c r="K181" s="246">
        <v>0.6</v>
      </c>
      <c r="L181" s="244">
        <f>E181-I181*0.4</f>
        <v>42917</v>
      </c>
      <c r="M181" s="215"/>
      <c r="N181" s="251">
        <v>42740.4</v>
      </c>
      <c r="O181" s="245">
        <v>80</v>
      </c>
      <c r="P181" s="215"/>
      <c r="Q181" s="215"/>
      <c r="R181" s="215"/>
    </row>
    <row r="182" ht="12.75" customHeight="1">
      <c r="A182" t="s" s="216">
        <v>162</v>
      </c>
      <c r="B182" t="s" s="216">
        <v>657</v>
      </c>
      <c r="C182" t="s" s="216">
        <v>686</v>
      </c>
      <c r="D182" s="244">
        <v>42553</v>
      </c>
      <c r="E182" s="244">
        <v>43008</v>
      </c>
      <c r="F182" s="245">
        <v>80</v>
      </c>
      <c r="G182" s="245">
        <v>0</v>
      </c>
      <c r="H182" t="s" s="216">
        <v>659</v>
      </c>
      <c r="I182" s="245">
        <v>455</v>
      </c>
      <c r="J182" s="245">
        <v>182</v>
      </c>
      <c r="K182" s="246">
        <v>0.4</v>
      </c>
      <c r="L182" s="244">
        <f>E182-I182*0.4</f>
        <v>42826</v>
      </c>
      <c r="M182" s="215"/>
      <c r="N182" s="251">
        <v>42770.4</v>
      </c>
      <c r="O182" s="245">
        <v>10</v>
      </c>
      <c r="P182" s="215"/>
      <c r="Q182" s="215"/>
      <c r="R182" s="215"/>
    </row>
    <row r="183" ht="12.75" customHeight="1">
      <c r="A183" t="s" s="216">
        <v>162</v>
      </c>
      <c r="B183" t="s" s="216">
        <v>657</v>
      </c>
      <c r="C183" t="s" s="216">
        <v>713</v>
      </c>
      <c r="D183" s="244">
        <v>42583</v>
      </c>
      <c r="E183" s="244">
        <v>43038</v>
      </c>
      <c r="F183" s="245">
        <v>500</v>
      </c>
      <c r="G183" s="245">
        <v>0</v>
      </c>
      <c r="H183" t="s" s="216">
        <v>659</v>
      </c>
      <c r="I183" s="245">
        <v>455</v>
      </c>
      <c r="J183" s="245">
        <v>212</v>
      </c>
      <c r="K183" s="246">
        <v>0.4659340659340659</v>
      </c>
      <c r="L183" s="244">
        <f>E183-I183*0.4</f>
        <v>42856</v>
      </c>
      <c r="M183" s="215"/>
      <c r="N183" s="251">
        <v>42801.4</v>
      </c>
      <c r="O183" s="245">
        <v>13</v>
      </c>
      <c r="P183" s="215"/>
      <c r="Q183" s="215"/>
      <c r="R183" s="215"/>
    </row>
    <row r="184" ht="12.75" customHeight="1">
      <c r="A184" t="s" s="216">
        <v>162</v>
      </c>
      <c r="B184" t="s" s="216">
        <v>657</v>
      </c>
      <c r="C184" t="s" s="216">
        <v>688</v>
      </c>
      <c r="D184" s="244">
        <v>42614</v>
      </c>
      <c r="E184" s="244">
        <v>43069</v>
      </c>
      <c r="F184" s="245">
        <v>20</v>
      </c>
      <c r="G184" s="245">
        <v>0</v>
      </c>
      <c r="H184" t="s" s="216">
        <v>659</v>
      </c>
      <c r="I184" s="245">
        <v>455</v>
      </c>
      <c r="J184" s="245">
        <v>243</v>
      </c>
      <c r="K184" s="246">
        <v>0.5340659340659341</v>
      </c>
      <c r="L184" s="244">
        <f>E184-I184*0.4</f>
        <v>42887</v>
      </c>
      <c r="M184" s="215"/>
      <c r="N184" s="251">
        <v>42832.4</v>
      </c>
      <c r="O184" s="245">
        <v>80</v>
      </c>
      <c r="P184" s="215"/>
      <c r="Q184" s="215"/>
      <c r="R184" s="215"/>
    </row>
    <row r="185" ht="12.75" customHeight="1">
      <c r="A185" t="s" s="216">
        <v>162</v>
      </c>
      <c r="B185" t="s" s="216">
        <v>657</v>
      </c>
      <c r="C185" t="s" s="216">
        <v>713</v>
      </c>
      <c r="D185" s="244">
        <v>42583</v>
      </c>
      <c r="E185" s="244">
        <v>43038</v>
      </c>
      <c r="F185" s="245">
        <v>32420</v>
      </c>
      <c r="G185" s="245">
        <v>0</v>
      </c>
      <c r="H185" t="s" s="216">
        <v>659</v>
      </c>
      <c r="I185" s="245">
        <v>455</v>
      </c>
      <c r="J185" s="245">
        <v>212</v>
      </c>
      <c r="K185" s="246">
        <v>0.4659340659340659</v>
      </c>
      <c r="L185" s="244">
        <f>E185-I185*0.4</f>
        <v>42856</v>
      </c>
      <c r="M185" s="215"/>
      <c r="N185" t="s" s="258">
        <v>415</v>
      </c>
      <c r="O185" s="245">
        <v>282</v>
      </c>
      <c r="P185" s="215"/>
      <c r="Q185" s="215"/>
      <c r="R185" s="215"/>
    </row>
    <row r="186" ht="12.75" customHeight="1">
      <c r="A186" t="s" s="216">
        <v>162</v>
      </c>
      <c r="B186" t="s" s="216">
        <v>657</v>
      </c>
      <c r="C186" t="s" s="216">
        <v>688</v>
      </c>
      <c r="D186" s="244">
        <v>42614</v>
      </c>
      <c r="E186" s="244">
        <v>43069</v>
      </c>
      <c r="F186" s="245">
        <v>20020</v>
      </c>
      <c r="G186" s="245">
        <v>0</v>
      </c>
      <c r="H186" t="s" s="216">
        <v>659</v>
      </c>
      <c r="I186" s="245">
        <v>455</v>
      </c>
      <c r="J186" s="245">
        <v>243</v>
      </c>
      <c r="K186" s="246">
        <v>0.5340659340659341</v>
      </c>
      <c r="L186" s="244">
        <f>E186-I186*0.4</f>
        <v>42887</v>
      </c>
      <c r="M186" s="215"/>
      <c r="N186" s="251">
        <v>42740.4</v>
      </c>
      <c r="O186" s="245">
        <v>214</v>
      </c>
      <c r="P186" s="215"/>
      <c r="Q186" s="215"/>
      <c r="R186" s="215"/>
    </row>
    <row r="187" ht="12.75" customHeight="1">
      <c r="A187" t="s" s="216">
        <v>162</v>
      </c>
      <c r="B187" t="s" s="216">
        <v>657</v>
      </c>
      <c r="C187" t="s" s="216">
        <v>690</v>
      </c>
      <c r="D187" s="244">
        <v>42704</v>
      </c>
      <c r="E187" s="244">
        <v>43159</v>
      </c>
      <c r="F187" s="245">
        <v>5000</v>
      </c>
      <c r="G187" s="245">
        <v>5000</v>
      </c>
      <c r="H187" t="s" s="216">
        <v>659</v>
      </c>
      <c r="I187" s="245">
        <v>455</v>
      </c>
      <c r="J187" s="245">
        <v>333</v>
      </c>
      <c r="K187" s="246">
        <v>0.7318681318681318</v>
      </c>
      <c r="L187" s="244">
        <f>E187-I187*0.4</f>
        <v>42977</v>
      </c>
      <c r="M187" s="215"/>
      <c r="N187" s="251">
        <v>42862.4</v>
      </c>
      <c r="O187" s="245">
        <v>68</v>
      </c>
      <c r="P187" s="215"/>
      <c r="Q187" s="215"/>
      <c r="R187" s="215"/>
    </row>
    <row r="188" ht="12.75" customHeight="1">
      <c r="A188" t="s" s="216">
        <v>162</v>
      </c>
      <c r="B188" t="s" s="216">
        <v>657</v>
      </c>
      <c r="C188" t="s" s="216">
        <v>710</v>
      </c>
      <c r="D188" s="244">
        <v>42675</v>
      </c>
      <c r="E188" s="244">
        <v>43130</v>
      </c>
      <c r="F188" s="245">
        <v>99</v>
      </c>
      <c r="G188" s="245">
        <v>0</v>
      </c>
      <c r="H188" t="s" s="216">
        <v>659</v>
      </c>
      <c r="I188" s="245">
        <v>455</v>
      </c>
      <c r="J188" s="245">
        <v>304</v>
      </c>
      <c r="K188" s="246">
        <v>0.6681318681318681</v>
      </c>
      <c r="L188" s="244">
        <f>E188-I188*0.4</f>
        <v>42948</v>
      </c>
      <c r="M188" s="215"/>
      <c r="N188" t="s" s="258">
        <v>427</v>
      </c>
      <c r="O188" s="245">
        <v>2294</v>
      </c>
      <c r="P188" s="215"/>
      <c r="Q188" s="215"/>
      <c r="R188" s="215"/>
    </row>
    <row r="189" ht="12.75" customHeight="1">
      <c r="A189" t="s" s="216">
        <v>162</v>
      </c>
      <c r="B189" t="s" s="216">
        <v>666</v>
      </c>
      <c r="C189" t="s" s="216">
        <v>686</v>
      </c>
      <c r="D189" s="244">
        <v>42553</v>
      </c>
      <c r="E189" s="244">
        <v>43008</v>
      </c>
      <c r="F189" s="245">
        <v>2</v>
      </c>
      <c r="G189" s="245">
        <v>0</v>
      </c>
      <c r="H189" t="s" s="216">
        <v>659</v>
      </c>
      <c r="I189" s="245">
        <v>455</v>
      </c>
      <c r="J189" s="245">
        <v>182</v>
      </c>
      <c r="K189" s="246">
        <v>0.4</v>
      </c>
      <c r="L189" s="244">
        <f>E189-I189*0.4</f>
        <v>42826</v>
      </c>
      <c r="M189" s="215"/>
      <c r="N189" s="251">
        <v>42770.4</v>
      </c>
      <c r="O189" s="245">
        <v>8</v>
      </c>
      <c r="P189" s="215"/>
      <c r="Q189" s="215"/>
      <c r="R189" s="215"/>
    </row>
    <row r="190" ht="12.75" customHeight="1">
      <c r="A190" t="s" s="216">
        <v>162</v>
      </c>
      <c r="B190" t="s" s="216">
        <v>666</v>
      </c>
      <c r="C190" t="s" s="216">
        <v>688</v>
      </c>
      <c r="D190" s="244">
        <v>42614</v>
      </c>
      <c r="E190" s="244">
        <v>43069</v>
      </c>
      <c r="F190" s="245">
        <v>3080</v>
      </c>
      <c r="G190" s="245">
        <v>0</v>
      </c>
      <c r="H190" t="s" s="216">
        <v>659</v>
      </c>
      <c r="I190" s="245">
        <v>455</v>
      </c>
      <c r="J190" s="245">
        <v>243</v>
      </c>
      <c r="K190" s="246">
        <v>0.5340659340659341</v>
      </c>
      <c r="L190" s="244">
        <f>E190-I190*0.4</f>
        <v>42887</v>
      </c>
      <c r="M190" s="215"/>
      <c r="N190" s="251">
        <v>42801.4</v>
      </c>
      <c r="O190" s="245">
        <v>6</v>
      </c>
      <c r="P190" s="215"/>
      <c r="Q190" s="215"/>
      <c r="R190" s="215"/>
    </row>
    <row r="191" ht="12.75" customHeight="1">
      <c r="A191" t="s" s="216">
        <v>162</v>
      </c>
      <c r="B191" t="s" s="216">
        <v>666</v>
      </c>
      <c r="C191" t="s" s="216">
        <v>709</v>
      </c>
      <c r="D191" s="244">
        <v>42644</v>
      </c>
      <c r="E191" s="244">
        <v>43099</v>
      </c>
      <c r="F191" s="245">
        <v>20</v>
      </c>
      <c r="G191" s="245">
        <v>0</v>
      </c>
      <c r="H191" t="s" s="216">
        <v>659</v>
      </c>
      <c r="I191" s="245">
        <v>455</v>
      </c>
      <c r="J191" s="245">
        <v>273</v>
      </c>
      <c r="K191" s="246">
        <v>0.6</v>
      </c>
      <c r="L191" s="244">
        <f>E191-I191*0.4</f>
        <v>42917</v>
      </c>
      <c r="M191" s="215"/>
      <c r="N191" s="251">
        <v>42832.4</v>
      </c>
      <c r="O191" s="245">
        <v>688</v>
      </c>
      <c r="P191" s="215"/>
      <c r="Q191" s="215"/>
      <c r="R191" s="215"/>
    </row>
    <row r="192" ht="12.75" customHeight="1">
      <c r="A192" t="s" s="216">
        <v>162</v>
      </c>
      <c r="B192" t="s" s="216">
        <v>667</v>
      </c>
      <c r="C192" t="s" s="216">
        <v>713</v>
      </c>
      <c r="D192" s="244">
        <v>42583</v>
      </c>
      <c r="E192" s="244">
        <v>43038</v>
      </c>
      <c r="F192" s="245">
        <v>568</v>
      </c>
      <c r="G192" s="245">
        <v>0</v>
      </c>
      <c r="H192" t="s" s="216">
        <v>659</v>
      </c>
      <c r="I192" s="245">
        <v>455</v>
      </c>
      <c r="J192" s="245">
        <v>212</v>
      </c>
      <c r="K192" s="246">
        <v>0.4659340659340659</v>
      </c>
      <c r="L192" s="244">
        <f>E192-I192*0.4</f>
        <v>42856</v>
      </c>
      <c r="M192" s="215"/>
      <c r="N192" s="251">
        <v>42893.4</v>
      </c>
      <c r="O192" s="245">
        <v>8</v>
      </c>
      <c r="P192" s="215"/>
      <c r="Q192" s="215"/>
      <c r="R192" s="215"/>
    </row>
    <row r="193" ht="12.75" customHeight="1">
      <c r="A193" t="s" s="216">
        <v>162</v>
      </c>
      <c r="B193" t="s" s="216">
        <v>667</v>
      </c>
      <c r="C193" t="s" s="216">
        <v>688</v>
      </c>
      <c r="D193" s="244">
        <v>42614</v>
      </c>
      <c r="E193" s="244">
        <v>43069</v>
      </c>
      <c r="F193" s="245">
        <v>20</v>
      </c>
      <c r="G193" s="245">
        <v>0</v>
      </c>
      <c r="H193" t="s" s="216">
        <v>659</v>
      </c>
      <c r="I193" s="245">
        <v>455</v>
      </c>
      <c r="J193" s="245">
        <v>243</v>
      </c>
      <c r="K193" s="246">
        <v>0.5340659340659341</v>
      </c>
      <c r="L193" s="244">
        <f>E193-I193*0.4</f>
        <v>42887</v>
      </c>
      <c r="M193" s="215"/>
      <c r="N193" s="251">
        <v>42923.4</v>
      </c>
      <c r="O193" s="245">
        <v>1584</v>
      </c>
      <c r="P193" s="215"/>
      <c r="Q193" s="215"/>
      <c r="R193" s="215"/>
    </row>
    <row r="194" ht="12.75" customHeight="1">
      <c r="A194" t="s" s="216">
        <v>162</v>
      </c>
      <c r="B194" t="s" s="216">
        <v>667</v>
      </c>
      <c r="C194" t="s" s="216">
        <v>709</v>
      </c>
      <c r="D194" s="244">
        <v>42644</v>
      </c>
      <c r="E194" s="244">
        <v>43099</v>
      </c>
      <c r="F194" s="245">
        <v>18</v>
      </c>
      <c r="G194" s="245">
        <v>0</v>
      </c>
      <c r="H194" t="s" s="216">
        <v>659</v>
      </c>
      <c r="I194" s="245">
        <v>455</v>
      </c>
      <c r="J194" s="245">
        <v>273</v>
      </c>
      <c r="K194" s="246">
        <v>0.6</v>
      </c>
      <c r="L194" s="244">
        <f>E194-I194*0.4</f>
        <v>42917</v>
      </c>
      <c r="M194" s="215"/>
      <c r="N194" t="s" s="258">
        <v>439</v>
      </c>
      <c r="O194" s="245">
        <v>13583</v>
      </c>
      <c r="P194" s="215"/>
      <c r="Q194" s="215"/>
      <c r="R194" s="215"/>
    </row>
    <row r="195" ht="12.75" customHeight="1">
      <c r="A195" t="s" s="216">
        <v>162</v>
      </c>
      <c r="B195" t="s" s="216">
        <v>667</v>
      </c>
      <c r="C195" t="s" s="216">
        <v>690</v>
      </c>
      <c r="D195" s="244">
        <v>42704</v>
      </c>
      <c r="E195" s="244">
        <v>43159</v>
      </c>
      <c r="F195" s="245">
        <v>20</v>
      </c>
      <c r="G195" s="245">
        <v>0</v>
      </c>
      <c r="H195" t="s" s="216">
        <v>659</v>
      </c>
      <c r="I195" s="245">
        <v>455</v>
      </c>
      <c r="J195" s="245">
        <v>333</v>
      </c>
      <c r="K195" s="246">
        <v>0.7318681318681318</v>
      </c>
      <c r="L195" s="244">
        <f>E195-I195*0.4</f>
        <v>42977</v>
      </c>
      <c r="M195" s="215"/>
      <c r="N195" s="251">
        <v>42743.4</v>
      </c>
      <c r="O195" s="245">
        <v>5363</v>
      </c>
      <c r="P195" s="215"/>
      <c r="Q195" s="215"/>
      <c r="R195" s="215"/>
    </row>
    <row r="196" ht="12.75" customHeight="1">
      <c r="A196" t="s" s="216">
        <v>162</v>
      </c>
      <c r="B196" t="s" s="216">
        <v>668</v>
      </c>
      <c r="C196" t="s" s="216">
        <v>714</v>
      </c>
      <c r="D196" s="244">
        <v>42461</v>
      </c>
      <c r="E196" s="244">
        <v>42916</v>
      </c>
      <c r="F196" s="245">
        <v>13</v>
      </c>
      <c r="G196" s="245">
        <v>0</v>
      </c>
      <c r="H196" t="s" s="216">
        <v>659</v>
      </c>
      <c r="I196" s="245">
        <v>455</v>
      </c>
      <c r="J196" s="245">
        <v>90</v>
      </c>
      <c r="K196" s="246">
        <v>0.1978021978021978</v>
      </c>
      <c r="L196" s="244">
        <f>E196-I196*0.4</f>
        <v>42734</v>
      </c>
      <c r="M196" s="215"/>
      <c r="N196" s="251">
        <v>42803.4</v>
      </c>
      <c r="O196" s="245">
        <v>7852</v>
      </c>
      <c r="P196" s="215"/>
      <c r="Q196" s="215"/>
      <c r="R196" s="215"/>
    </row>
    <row r="197" ht="12.75" customHeight="1">
      <c r="A197" t="s" s="216">
        <v>162</v>
      </c>
      <c r="B197" t="s" s="216">
        <v>668</v>
      </c>
      <c r="C197" t="s" s="216">
        <v>715</v>
      </c>
      <c r="D197" s="244">
        <v>42491</v>
      </c>
      <c r="E197" s="244">
        <v>42946</v>
      </c>
      <c r="F197" s="245">
        <v>8</v>
      </c>
      <c r="G197" s="245">
        <v>0</v>
      </c>
      <c r="H197" t="s" s="216">
        <v>659</v>
      </c>
      <c r="I197" s="245">
        <v>455</v>
      </c>
      <c r="J197" s="245">
        <v>120</v>
      </c>
      <c r="K197" s="246">
        <v>0.2637362637362637</v>
      </c>
      <c r="L197" s="244">
        <f>E197-I197*0.4</f>
        <v>42764</v>
      </c>
      <c r="M197" s="215"/>
      <c r="N197" s="251">
        <v>42834.4</v>
      </c>
      <c r="O197" s="245">
        <v>368</v>
      </c>
      <c r="P197" s="215"/>
      <c r="Q197" s="215"/>
      <c r="R197" s="215"/>
    </row>
    <row r="198" ht="12.75" customHeight="1">
      <c r="A198" t="s" s="216">
        <v>162</v>
      </c>
      <c r="B198" t="s" s="216">
        <v>668</v>
      </c>
      <c r="C198" t="s" s="216">
        <v>686</v>
      </c>
      <c r="D198" s="244">
        <v>42553</v>
      </c>
      <c r="E198" s="244">
        <v>43008</v>
      </c>
      <c r="F198" s="245">
        <v>14</v>
      </c>
      <c r="G198" s="245">
        <v>0</v>
      </c>
      <c r="H198" t="s" s="216">
        <v>659</v>
      </c>
      <c r="I198" s="245">
        <v>455</v>
      </c>
      <c r="J198" s="245">
        <v>182</v>
      </c>
      <c r="K198" s="246">
        <v>0.4</v>
      </c>
      <c r="L198" s="244">
        <f>E198-I198*0.4</f>
        <v>42826</v>
      </c>
      <c r="M198" s="215"/>
      <c r="N198" t="s" s="258">
        <v>451</v>
      </c>
      <c r="O198" s="245">
        <v>382</v>
      </c>
      <c r="P198" s="215"/>
      <c r="Q198" s="215"/>
      <c r="R198" s="215"/>
    </row>
    <row r="199" ht="12.75" customHeight="1">
      <c r="A199" t="s" s="216">
        <v>162</v>
      </c>
      <c r="B199" t="s" s="216">
        <v>668</v>
      </c>
      <c r="C199" t="s" s="216">
        <v>688</v>
      </c>
      <c r="D199" s="244">
        <v>42614</v>
      </c>
      <c r="E199" s="244">
        <v>43069</v>
      </c>
      <c r="F199" s="245">
        <v>8</v>
      </c>
      <c r="G199" s="245">
        <v>0</v>
      </c>
      <c r="H199" t="s" s="216">
        <v>659</v>
      </c>
      <c r="I199" s="245">
        <v>455</v>
      </c>
      <c r="J199" s="245">
        <v>243</v>
      </c>
      <c r="K199" s="246">
        <v>0.5340659340659341</v>
      </c>
      <c r="L199" s="244">
        <f>E199-I199*0.4</f>
        <v>42887</v>
      </c>
      <c r="M199" s="215"/>
      <c r="N199" s="251">
        <v>42770.4</v>
      </c>
      <c r="O199" s="245">
        <v>178</v>
      </c>
      <c r="P199" s="215"/>
      <c r="Q199" s="215"/>
      <c r="R199" s="215"/>
    </row>
    <row r="200" ht="12.75" customHeight="1">
      <c r="A200" t="s" s="216">
        <v>162</v>
      </c>
      <c r="B200" t="s" s="216">
        <v>668</v>
      </c>
      <c r="C200" t="s" s="216">
        <v>709</v>
      </c>
      <c r="D200" s="244">
        <v>42644</v>
      </c>
      <c r="E200" s="244">
        <v>43099</v>
      </c>
      <c r="F200" s="245">
        <v>14</v>
      </c>
      <c r="G200" s="245">
        <v>0</v>
      </c>
      <c r="H200" t="s" s="216">
        <v>659</v>
      </c>
      <c r="I200" s="245">
        <v>455</v>
      </c>
      <c r="J200" s="245">
        <v>273</v>
      </c>
      <c r="K200" s="246">
        <v>0.6</v>
      </c>
      <c r="L200" s="244">
        <f>E200-I200*0.4</f>
        <v>42917</v>
      </c>
      <c r="M200" s="215"/>
      <c r="N200" s="251">
        <v>42801.4</v>
      </c>
      <c r="O200" s="245">
        <v>204</v>
      </c>
      <c r="P200" s="215"/>
      <c r="Q200" s="215"/>
      <c r="R200" s="215"/>
    </row>
    <row r="201" ht="12.75" customHeight="1">
      <c r="A201" t="s" s="216">
        <v>174</v>
      </c>
      <c r="B201" t="s" s="216">
        <v>657</v>
      </c>
      <c r="C201" t="s" s="216">
        <v>689</v>
      </c>
      <c r="D201" s="244">
        <v>42645</v>
      </c>
      <c r="E201" s="244">
        <v>43100</v>
      </c>
      <c r="F201" s="245">
        <v>1</v>
      </c>
      <c r="G201" s="245">
        <v>0</v>
      </c>
      <c r="H201" t="s" s="216">
        <v>659</v>
      </c>
      <c r="I201" s="245">
        <v>455</v>
      </c>
      <c r="J201" s="245">
        <v>274</v>
      </c>
      <c r="K201" s="246">
        <v>0.6021978021978022</v>
      </c>
      <c r="L201" s="244">
        <f>E201-I201*0.4</f>
        <v>42918</v>
      </c>
      <c r="M201" s="215"/>
      <c r="N201" t="s" s="258">
        <v>554</v>
      </c>
      <c r="O201" s="245">
        <v>2</v>
      </c>
      <c r="P201" s="215"/>
      <c r="Q201" s="215"/>
      <c r="R201" s="215"/>
    </row>
    <row r="202" ht="12.75" customHeight="1">
      <c r="A202" t="s" s="216">
        <v>174</v>
      </c>
      <c r="B202" t="s" s="216">
        <v>657</v>
      </c>
      <c r="C202" t="s" s="216">
        <v>716</v>
      </c>
      <c r="D202" s="244">
        <v>42676</v>
      </c>
      <c r="E202" s="244">
        <v>43131</v>
      </c>
      <c r="F202" s="245">
        <v>6</v>
      </c>
      <c r="G202" s="245">
        <v>0</v>
      </c>
      <c r="H202" t="s" s="216">
        <v>659</v>
      </c>
      <c r="I202" s="245">
        <v>455</v>
      </c>
      <c r="J202" s="245">
        <v>305</v>
      </c>
      <c r="K202" s="246">
        <v>0.6703296703296703</v>
      </c>
      <c r="L202" s="244">
        <f>E202-I202*0.4</f>
        <v>42949</v>
      </c>
      <c r="M202" s="215"/>
      <c r="N202" s="251">
        <v>42770.4</v>
      </c>
      <c r="O202" s="245">
        <v>2</v>
      </c>
      <c r="P202" s="215"/>
      <c r="Q202" s="215"/>
      <c r="R202" s="215"/>
    </row>
    <row r="203" ht="12.75" customHeight="1">
      <c r="A203" t="s" s="216">
        <v>174</v>
      </c>
      <c r="B203" t="s" s="216">
        <v>657</v>
      </c>
      <c r="C203" t="s" s="216">
        <v>690</v>
      </c>
      <c r="D203" s="244">
        <v>42704</v>
      </c>
      <c r="E203" s="244">
        <v>43159</v>
      </c>
      <c r="F203" s="245">
        <v>12</v>
      </c>
      <c r="G203" s="245">
        <v>0</v>
      </c>
      <c r="H203" t="s" s="216">
        <v>659</v>
      </c>
      <c r="I203" s="245">
        <v>455</v>
      </c>
      <c r="J203" s="245">
        <v>333</v>
      </c>
      <c r="K203" s="246">
        <v>0.7318681318681318</v>
      </c>
      <c r="L203" s="244">
        <f>E203-I203*0.4</f>
        <v>42977</v>
      </c>
      <c r="M203" s="215"/>
      <c r="N203" t="s" s="258">
        <v>555</v>
      </c>
      <c r="O203" s="245">
        <v>11</v>
      </c>
      <c r="P203" s="215"/>
      <c r="Q203" s="215"/>
      <c r="R203" s="215"/>
    </row>
    <row r="204" ht="12.75" customHeight="1">
      <c r="A204" t="s" s="216">
        <v>174</v>
      </c>
      <c r="B204" t="s" s="216">
        <v>657</v>
      </c>
      <c r="C204" t="s" s="216">
        <v>689</v>
      </c>
      <c r="D204" s="244">
        <v>42645</v>
      </c>
      <c r="E204" s="244">
        <v>43100</v>
      </c>
      <c r="F204" s="245">
        <v>54</v>
      </c>
      <c r="G204" s="245">
        <v>0</v>
      </c>
      <c r="H204" t="s" s="216">
        <v>659</v>
      </c>
      <c r="I204" s="245">
        <v>455</v>
      </c>
      <c r="J204" s="245">
        <v>274</v>
      </c>
      <c r="K204" s="246">
        <v>0.6021978021978022</v>
      </c>
      <c r="L204" s="244">
        <f>E204-I204*0.4</f>
        <v>42918</v>
      </c>
      <c r="M204" s="215"/>
      <c r="N204" s="251">
        <v>42709.4</v>
      </c>
      <c r="O204" s="245">
        <v>10</v>
      </c>
      <c r="P204" s="215"/>
      <c r="Q204" s="215"/>
      <c r="R204" s="215"/>
    </row>
    <row r="205" ht="12.75" customHeight="1">
      <c r="A205" t="s" s="216">
        <v>174</v>
      </c>
      <c r="B205" t="s" s="216">
        <v>657</v>
      </c>
      <c r="C205" t="s" s="216">
        <v>690</v>
      </c>
      <c r="D205" s="244">
        <v>42704</v>
      </c>
      <c r="E205" s="244">
        <v>43159</v>
      </c>
      <c r="F205" s="245">
        <v>68</v>
      </c>
      <c r="G205" s="245">
        <v>0</v>
      </c>
      <c r="H205" t="s" s="216">
        <v>659</v>
      </c>
      <c r="I205" s="245">
        <v>455</v>
      </c>
      <c r="J205" s="245">
        <v>333</v>
      </c>
      <c r="K205" s="246">
        <v>0.7318681318681318</v>
      </c>
      <c r="L205" s="244">
        <f>E205-I205*0.4</f>
        <v>42977</v>
      </c>
      <c r="M205" s="215"/>
      <c r="N205" s="251">
        <v>42770.4</v>
      </c>
      <c r="O205" s="245">
        <v>1</v>
      </c>
      <c r="P205" s="215"/>
      <c r="Q205" s="215"/>
      <c r="R205" s="215"/>
    </row>
    <row r="206" ht="12.75" customHeight="1">
      <c r="A206" t="s" s="216">
        <v>174</v>
      </c>
      <c r="B206" t="s" s="216">
        <v>657</v>
      </c>
      <c r="C206" t="s" s="216">
        <v>716</v>
      </c>
      <c r="D206" s="244">
        <v>42676</v>
      </c>
      <c r="E206" s="244">
        <v>43131</v>
      </c>
      <c r="F206" s="245">
        <v>25</v>
      </c>
      <c r="G206" s="245">
        <v>0</v>
      </c>
      <c r="H206" t="s" s="216">
        <v>659</v>
      </c>
      <c r="I206" s="245">
        <v>455</v>
      </c>
      <c r="J206" s="245">
        <v>305</v>
      </c>
      <c r="K206" s="246">
        <v>0.6703296703296703</v>
      </c>
      <c r="L206" s="244">
        <f>E206-I206*0.4</f>
        <v>42949</v>
      </c>
      <c r="M206" s="215"/>
      <c r="N206" t="s" s="258">
        <v>556</v>
      </c>
      <c r="O206" s="245">
        <v>8285</v>
      </c>
      <c r="P206" s="215"/>
      <c r="Q206" s="215"/>
      <c r="R206" s="215"/>
    </row>
    <row r="207" ht="12.75" customHeight="1">
      <c r="A207" t="s" s="216">
        <v>174</v>
      </c>
      <c r="B207" t="s" s="216">
        <v>666</v>
      </c>
      <c r="C207" t="s" s="216">
        <v>710</v>
      </c>
      <c r="D207" s="244">
        <v>42675</v>
      </c>
      <c r="E207" s="244">
        <v>43130</v>
      </c>
      <c r="F207" s="245">
        <v>18</v>
      </c>
      <c r="G207" s="245">
        <v>0</v>
      </c>
      <c r="H207" t="s" s="216">
        <v>659</v>
      </c>
      <c r="I207" s="245">
        <v>455</v>
      </c>
      <c r="J207" s="245">
        <v>304</v>
      </c>
      <c r="K207" s="246">
        <v>0.6681318681318681</v>
      </c>
      <c r="L207" s="244">
        <f>E207-I207*0.4</f>
        <v>42948</v>
      </c>
      <c r="M207" s="215"/>
      <c r="N207" s="260">
        <v>42856.8</v>
      </c>
      <c r="O207" s="254">
        <v>8285</v>
      </c>
      <c r="P207" s="215"/>
      <c r="Q207" s="215"/>
      <c r="R207" s="215"/>
    </row>
    <row r="208" ht="12.75" customHeight="1">
      <c r="A208" t="s" s="216">
        <v>174</v>
      </c>
      <c r="B208" t="s" s="216">
        <v>667</v>
      </c>
      <c r="C208" t="s" s="216">
        <v>686</v>
      </c>
      <c r="D208" s="244">
        <v>42553</v>
      </c>
      <c r="E208" s="244">
        <v>43008</v>
      </c>
      <c r="F208" s="245">
        <v>1632</v>
      </c>
      <c r="G208" s="245">
        <v>0</v>
      </c>
      <c r="H208" t="s" s="216">
        <v>659</v>
      </c>
      <c r="I208" s="245">
        <v>455</v>
      </c>
      <c r="J208" s="245">
        <v>182</v>
      </c>
      <c r="K208" s="246">
        <v>0.4</v>
      </c>
      <c r="L208" s="244">
        <f>E208-I208*0.4</f>
        <v>42826</v>
      </c>
      <c r="M208" s="239"/>
      <c r="N208" t="s" s="261">
        <v>570</v>
      </c>
      <c r="O208" s="262">
        <v>509282</v>
      </c>
      <c r="P208" s="237"/>
      <c r="Q208" s="215"/>
      <c r="R208" s="215"/>
    </row>
    <row r="209" ht="12.75" customHeight="1">
      <c r="A209" t="s" s="216">
        <v>174</v>
      </c>
      <c r="B209" t="s" s="216">
        <v>667</v>
      </c>
      <c r="C209" t="s" s="216">
        <v>689</v>
      </c>
      <c r="D209" s="244">
        <v>42645</v>
      </c>
      <c r="E209" s="244">
        <v>43100</v>
      </c>
      <c r="F209" s="245">
        <v>14</v>
      </c>
      <c r="G209" s="245">
        <v>0</v>
      </c>
      <c r="H209" t="s" s="216">
        <v>659</v>
      </c>
      <c r="I209" s="245">
        <v>455</v>
      </c>
      <c r="J209" s="245">
        <v>274</v>
      </c>
      <c r="K209" s="246">
        <v>0.6021978021978022</v>
      </c>
      <c r="L209" s="244">
        <f>E209-I209*0.4</f>
        <v>42918</v>
      </c>
      <c r="M209" s="215"/>
      <c r="N209" s="253"/>
      <c r="O209" s="253"/>
      <c r="P209" s="215"/>
      <c r="Q209" s="215"/>
      <c r="R209" s="215"/>
    </row>
    <row r="210" ht="12.75" customHeight="1">
      <c r="A210" t="s" s="216">
        <v>174</v>
      </c>
      <c r="B210" t="s" s="216">
        <v>668</v>
      </c>
      <c r="C210" t="s" s="216">
        <v>715</v>
      </c>
      <c r="D210" s="244">
        <v>42491</v>
      </c>
      <c r="E210" s="244">
        <v>42946</v>
      </c>
      <c r="F210" s="245">
        <v>5</v>
      </c>
      <c r="G210" s="245">
        <v>0</v>
      </c>
      <c r="H210" t="s" s="216">
        <v>659</v>
      </c>
      <c r="I210" s="245">
        <v>455</v>
      </c>
      <c r="J210" s="245">
        <v>120</v>
      </c>
      <c r="K210" s="246">
        <v>0.2637362637362637</v>
      </c>
      <c r="L210" s="244">
        <f>E210-I210*0.4</f>
        <v>42764</v>
      </c>
      <c r="M210" s="215"/>
      <c r="N210" s="215"/>
      <c r="O210" s="215"/>
      <c r="P210" s="215"/>
      <c r="Q210" s="215"/>
      <c r="R210" s="215"/>
    </row>
    <row r="211" ht="12.75" customHeight="1">
      <c r="A211" t="s" s="216">
        <v>174</v>
      </c>
      <c r="B211" t="s" s="216">
        <v>668</v>
      </c>
      <c r="C211" t="s" s="216">
        <v>712</v>
      </c>
      <c r="D211" s="244">
        <v>42522</v>
      </c>
      <c r="E211" s="244">
        <v>42977</v>
      </c>
      <c r="F211" s="245">
        <v>6</v>
      </c>
      <c r="G211" s="245">
        <v>0</v>
      </c>
      <c r="H211" t="s" s="216">
        <v>659</v>
      </c>
      <c r="I211" s="245">
        <v>455</v>
      </c>
      <c r="J211" s="245">
        <v>151</v>
      </c>
      <c r="K211" s="246">
        <v>0.3318681318681319</v>
      </c>
      <c r="L211" s="244">
        <f>E211-I211*0.4</f>
        <v>42795</v>
      </c>
      <c r="M211" s="215"/>
      <c r="N211" s="215"/>
      <c r="O211" s="215"/>
      <c r="P211" s="215"/>
      <c r="Q211" s="215"/>
      <c r="R211" s="215"/>
    </row>
    <row r="212" ht="12.75" customHeight="1">
      <c r="A212" t="s" s="216">
        <v>174</v>
      </c>
      <c r="B212" t="s" s="216">
        <v>668</v>
      </c>
      <c r="C212" t="s" s="216">
        <v>689</v>
      </c>
      <c r="D212" s="244">
        <v>42645</v>
      </c>
      <c r="E212" s="244">
        <v>43100</v>
      </c>
      <c r="F212" s="245">
        <v>306</v>
      </c>
      <c r="G212" s="245">
        <v>0</v>
      </c>
      <c r="H212" t="s" s="216">
        <v>659</v>
      </c>
      <c r="I212" s="245">
        <v>455</v>
      </c>
      <c r="J212" s="245">
        <v>274</v>
      </c>
      <c r="K212" s="246">
        <v>0.6021978021978022</v>
      </c>
      <c r="L212" s="244">
        <f>E212-I212*0.4</f>
        <v>42918</v>
      </c>
      <c r="M212" s="215"/>
      <c r="N212" s="215"/>
      <c r="O212" s="215"/>
      <c r="P212" s="215"/>
      <c r="Q212" s="215"/>
      <c r="R212" s="215"/>
    </row>
    <row r="213" ht="12.75" customHeight="1">
      <c r="A213" t="s" s="216">
        <v>211</v>
      </c>
      <c r="B213" t="s" s="216">
        <v>657</v>
      </c>
      <c r="C213" t="s" s="216">
        <v>717</v>
      </c>
      <c r="D213" s="244">
        <v>42586</v>
      </c>
      <c r="E213" s="244">
        <v>42950</v>
      </c>
      <c r="F213" s="245">
        <v>25</v>
      </c>
      <c r="G213" s="245">
        <v>0</v>
      </c>
      <c r="H213" t="s" s="216">
        <v>659</v>
      </c>
      <c r="I213" s="245">
        <v>364</v>
      </c>
      <c r="J213" s="245">
        <v>124</v>
      </c>
      <c r="K213" s="246">
        <v>0.3406593406593407</v>
      </c>
      <c r="L213" s="244">
        <f>E213-I213*0.4</f>
        <v>42804.4</v>
      </c>
      <c r="M213" s="215"/>
      <c r="N213" s="215"/>
      <c r="O213" s="215"/>
      <c r="P213" s="215"/>
      <c r="Q213" s="215"/>
      <c r="R213" s="215"/>
    </row>
    <row r="214" ht="12.75" customHeight="1">
      <c r="A214" t="s" s="216">
        <v>211</v>
      </c>
      <c r="B214" t="s" s="216">
        <v>666</v>
      </c>
      <c r="C214" t="s" s="216">
        <v>718</v>
      </c>
      <c r="D214" s="244">
        <v>42550</v>
      </c>
      <c r="E214" s="244">
        <v>42914</v>
      </c>
      <c r="F214" s="245">
        <v>5</v>
      </c>
      <c r="G214" s="245">
        <v>0</v>
      </c>
      <c r="H214" t="s" s="216">
        <v>659</v>
      </c>
      <c r="I214" s="245">
        <v>364</v>
      </c>
      <c r="J214" s="245">
        <v>88</v>
      </c>
      <c r="K214" s="246">
        <v>0.2417582417582418</v>
      </c>
      <c r="L214" s="244">
        <f>E214-I214*0.4</f>
        <v>42768.4</v>
      </c>
      <c r="M214" s="215"/>
      <c r="N214" s="215"/>
      <c r="O214" s="215"/>
      <c r="P214" s="215"/>
      <c r="Q214" s="215"/>
      <c r="R214" s="215"/>
    </row>
    <row r="215" ht="12.75" customHeight="1">
      <c r="A215" t="s" s="216">
        <v>223</v>
      </c>
      <c r="B215" t="s" s="216">
        <v>657</v>
      </c>
      <c r="C215" t="s" s="216">
        <v>719</v>
      </c>
      <c r="D215" s="244">
        <v>42542</v>
      </c>
      <c r="E215" s="244">
        <v>42906</v>
      </c>
      <c r="F215" s="245">
        <v>2</v>
      </c>
      <c r="G215" s="245">
        <v>0</v>
      </c>
      <c r="H215" t="s" s="216">
        <v>659</v>
      </c>
      <c r="I215" s="245">
        <v>364</v>
      </c>
      <c r="J215" s="245">
        <v>80</v>
      </c>
      <c r="K215" s="246">
        <v>0.2197802197802198</v>
      </c>
      <c r="L215" s="244">
        <f>E215-I215*0.4</f>
        <v>42760.4</v>
      </c>
      <c r="M215" s="215"/>
      <c r="N215" s="215"/>
      <c r="O215" s="215"/>
      <c r="P215" s="215"/>
      <c r="Q215" s="215"/>
      <c r="R215" s="215"/>
    </row>
    <row r="216" ht="12.75" customHeight="1">
      <c r="A216" t="s" s="216">
        <v>223</v>
      </c>
      <c r="B216" t="s" s="216">
        <v>657</v>
      </c>
      <c r="C216" t="s" s="216">
        <v>719</v>
      </c>
      <c r="D216" s="244">
        <v>42542</v>
      </c>
      <c r="E216" s="244">
        <v>42906</v>
      </c>
      <c r="F216" s="245">
        <v>81</v>
      </c>
      <c r="G216" s="245">
        <v>0</v>
      </c>
      <c r="H216" t="s" s="216">
        <v>659</v>
      </c>
      <c r="I216" s="245">
        <v>364</v>
      </c>
      <c r="J216" s="245">
        <v>80</v>
      </c>
      <c r="K216" s="246">
        <v>0.2197802197802198</v>
      </c>
      <c r="L216" s="244">
        <f>E216-I216*0.4</f>
        <v>42760.4</v>
      </c>
      <c r="M216" s="215"/>
      <c r="N216" s="215"/>
      <c r="O216" s="215"/>
      <c r="P216" s="215"/>
      <c r="Q216" s="215"/>
      <c r="R216" s="215"/>
    </row>
    <row r="217" ht="12.75" customHeight="1">
      <c r="A217" t="s" s="216">
        <v>223</v>
      </c>
      <c r="B217" t="s" s="216">
        <v>657</v>
      </c>
      <c r="C217" t="s" s="216">
        <v>679</v>
      </c>
      <c r="D217" s="244">
        <v>42562</v>
      </c>
      <c r="E217" s="244">
        <v>42926</v>
      </c>
      <c r="F217" s="245">
        <v>4</v>
      </c>
      <c r="G217" s="245">
        <v>0</v>
      </c>
      <c r="H217" t="s" s="216">
        <v>659</v>
      </c>
      <c r="I217" s="245">
        <v>364</v>
      </c>
      <c r="J217" s="245">
        <v>100</v>
      </c>
      <c r="K217" s="246">
        <v>0.2747252747252747</v>
      </c>
      <c r="L217" s="244">
        <f>E217-I217*0.4</f>
        <v>42780.4</v>
      </c>
      <c r="M217" s="215"/>
      <c r="N217" s="215"/>
      <c r="O217" s="215"/>
      <c r="P217" s="215"/>
      <c r="Q217" s="215"/>
      <c r="R217" s="215"/>
    </row>
    <row r="218" ht="12.75" customHeight="1">
      <c r="A218" t="s" s="216">
        <v>223</v>
      </c>
      <c r="B218" t="s" s="216">
        <v>666</v>
      </c>
      <c r="C218" t="s" s="216">
        <v>679</v>
      </c>
      <c r="D218" s="244">
        <v>42562</v>
      </c>
      <c r="E218" s="244">
        <v>42926</v>
      </c>
      <c r="F218" s="245">
        <v>1040</v>
      </c>
      <c r="G218" s="245">
        <v>200</v>
      </c>
      <c r="H218" t="s" s="216">
        <v>659</v>
      </c>
      <c r="I218" s="245">
        <v>364</v>
      </c>
      <c r="J218" s="245">
        <v>100</v>
      </c>
      <c r="K218" s="246">
        <v>0.2747252747252747</v>
      </c>
      <c r="L218" s="244">
        <f>E218-I218*0.4</f>
        <v>42780.4</v>
      </c>
      <c r="M218" s="215"/>
      <c r="N218" s="215"/>
      <c r="O218" s="215"/>
      <c r="P218" s="215"/>
      <c r="Q218" s="215"/>
      <c r="R218" s="215"/>
    </row>
    <row r="219" ht="12.75" customHeight="1">
      <c r="A219" t="s" s="216">
        <v>223</v>
      </c>
      <c r="B219" t="s" s="216">
        <v>667</v>
      </c>
      <c r="C219" t="s" s="216">
        <v>679</v>
      </c>
      <c r="D219" s="244">
        <v>42562</v>
      </c>
      <c r="E219" s="244">
        <v>42926</v>
      </c>
      <c r="F219" s="245">
        <v>2</v>
      </c>
      <c r="G219" s="245">
        <v>0</v>
      </c>
      <c r="H219" t="s" s="216">
        <v>659</v>
      </c>
      <c r="I219" s="245">
        <v>364</v>
      </c>
      <c r="J219" s="245">
        <v>100</v>
      </c>
      <c r="K219" s="246">
        <v>0.2747252747252747</v>
      </c>
      <c r="L219" s="244">
        <f>E219-I219*0.4</f>
        <v>42780.4</v>
      </c>
      <c r="M219" s="215"/>
      <c r="N219" s="215"/>
      <c r="O219" s="215"/>
      <c r="P219" s="215"/>
      <c r="Q219" s="215"/>
      <c r="R219" s="215"/>
    </row>
    <row r="220" ht="12.75" customHeight="1">
      <c r="A220" t="s" s="216">
        <v>235</v>
      </c>
      <c r="B220" t="s" s="216">
        <v>657</v>
      </c>
      <c r="C220" t="s" s="216">
        <v>720</v>
      </c>
      <c r="D220" s="244">
        <v>42524</v>
      </c>
      <c r="E220" s="244">
        <v>42888</v>
      </c>
      <c r="F220" s="245">
        <v>36</v>
      </c>
      <c r="G220" s="245">
        <v>0</v>
      </c>
      <c r="H220" t="s" s="216">
        <v>659</v>
      </c>
      <c r="I220" s="245">
        <v>364</v>
      </c>
      <c r="J220" s="245">
        <v>62</v>
      </c>
      <c r="K220" s="246">
        <v>0.1703296703296703</v>
      </c>
      <c r="L220" s="244">
        <f>E220-I220*0.4</f>
        <v>42742.4</v>
      </c>
      <c r="M220" s="215"/>
      <c r="N220" s="215"/>
      <c r="O220" s="215"/>
      <c r="P220" s="215"/>
      <c r="Q220" s="215"/>
      <c r="R220" s="215"/>
    </row>
    <row r="221" ht="12.75" customHeight="1">
      <c r="A221" t="s" s="216">
        <v>235</v>
      </c>
      <c r="B221" t="s" s="216">
        <v>657</v>
      </c>
      <c r="C221" t="s" s="216">
        <v>721</v>
      </c>
      <c r="D221" s="244">
        <v>42571</v>
      </c>
      <c r="E221" s="244">
        <v>42935</v>
      </c>
      <c r="F221" s="245">
        <v>16</v>
      </c>
      <c r="G221" s="245">
        <v>0</v>
      </c>
      <c r="H221" t="s" s="216">
        <v>659</v>
      </c>
      <c r="I221" s="245">
        <v>364</v>
      </c>
      <c r="J221" s="245">
        <v>109</v>
      </c>
      <c r="K221" s="246">
        <v>0.2994505494505494</v>
      </c>
      <c r="L221" s="244">
        <f>E221-I221*0.4</f>
        <v>42789.4</v>
      </c>
      <c r="M221" s="215"/>
      <c r="N221" s="215"/>
      <c r="O221" s="215"/>
      <c r="P221" s="215"/>
      <c r="Q221" s="215"/>
      <c r="R221" s="215"/>
    </row>
    <row r="222" ht="12.75" customHeight="1">
      <c r="A222" t="s" s="216">
        <v>235</v>
      </c>
      <c r="B222" t="s" s="216">
        <v>657</v>
      </c>
      <c r="C222" t="s" s="216">
        <v>721</v>
      </c>
      <c r="D222" s="244">
        <v>42571</v>
      </c>
      <c r="E222" s="244">
        <v>42935</v>
      </c>
      <c r="F222" s="245">
        <v>0</v>
      </c>
      <c r="G222" s="245">
        <v>0</v>
      </c>
      <c r="H222" t="s" s="216">
        <v>659</v>
      </c>
      <c r="I222" s="245">
        <v>364</v>
      </c>
      <c r="J222" s="245">
        <v>109</v>
      </c>
      <c r="K222" s="246">
        <v>0.2994505494505494</v>
      </c>
      <c r="L222" s="244">
        <f>E222-I222*0.4</f>
        <v>42789.4</v>
      </c>
      <c r="M222" s="215"/>
      <c r="N222" s="215"/>
      <c r="O222" s="215"/>
      <c r="P222" s="215"/>
      <c r="Q222" s="215"/>
      <c r="R222" s="215"/>
    </row>
    <row r="223" ht="12.75" customHeight="1">
      <c r="A223" t="s" s="216">
        <v>235</v>
      </c>
      <c r="B223" t="s" s="216">
        <v>666</v>
      </c>
      <c r="C223" t="s" s="216">
        <v>720</v>
      </c>
      <c r="D223" s="244">
        <v>42524</v>
      </c>
      <c r="E223" s="244">
        <v>42888</v>
      </c>
      <c r="F223" s="245">
        <v>6</v>
      </c>
      <c r="G223" s="245">
        <v>0</v>
      </c>
      <c r="H223" t="s" s="216">
        <v>659</v>
      </c>
      <c r="I223" s="245">
        <v>364</v>
      </c>
      <c r="J223" s="245">
        <v>62</v>
      </c>
      <c r="K223" s="246">
        <v>0.1703296703296703</v>
      </c>
      <c r="L223" s="244">
        <f>E223-I223*0.4</f>
        <v>42742.4</v>
      </c>
      <c r="M223" s="215"/>
      <c r="N223" s="215"/>
      <c r="O223" s="215"/>
      <c r="P223" s="215"/>
      <c r="Q223" s="215"/>
      <c r="R223" s="215"/>
    </row>
    <row r="224" ht="12.75" customHeight="1">
      <c r="A224" t="s" s="216">
        <v>235</v>
      </c>
      <c r="B224" t="s" s="216">
        <v>666</v>
      </c>
      <c r="C224" t="s" s="216">
        <v>721</v>
      </c>
      <c r="D224" s="244">
        <v>42571</v>
      </c>
      <c r="E224" s="244">
        <v>42935</v>
      </c>
      <c r="F224" s="245">
        <v>169</v>
      </c>
      <c r="G224" s="245">
        <v>0</v>
      </c>
      <c r="H224" t="s" s="216">
        <v>659</v>
      </c>
      <c r="I224" s="245">
        <v>364</v>
      </c>
      <c r="J224" s="245">
        <v>109</v>
      </c>
      <c r="K224" s="246">
        <v>0.2994505494505494</v>
      </c>
      <c r="L224" s="244">
        <f>E224-I224*0.4</f>
        <v>42789.4</v>
      </c>
      <c r="M224" s="215"/>
      <c r="N224" s="215"/>
      <c r="O224" s="215"/>
      <c r="P224" s="215"/>
      <c r="Q224" s="215"/>
      <c r="R224" s="215"/>
    </row>
    <row r="225" ht="12.75" customHeight="1">
      <c r="A225" t="s" s="216">
        <v>235</v>
      </c>
      <c r="B225" t="s" s="216">
        <v>667</v>
      </c>
      <c r="C225" t="s" s="216">
        <v>721</v>
      </c>
      <c r="D225" s="244">
        <v>42571</v>
      </c>
      <c r="E225" s="244">
        <v>42935</v>
      </c>
      <c r="F225" s="245">
        <v>156</v>
      </c>
      <c r="G225" s="245">
        <v>0</v>
      </c>
      <c r="H225" t="s" s="216">
        <v>659</v>
      </c>
      <c r="I225" s="245">
        <v>364</v>
      </c>
      <c r="J225" s="245">
        <v>109</v>
      </c>
      <c r="K225" s="246">
        <v>0.2994505494505494</v>
      </c>
      <c r="L225" s="244">
        <f>E225-I225*0.4</f>
        <v>42789.4</v>
      </c>
      <c r="M225" s="215"/>
      <c r="N225" s="215"/>
      <c r="O225" s="215"/>
      <c r="P225" s="215"/>
      <c r="Q225" s="215"/>
      <c r="R225" s="215"/>
    </row>
    <row r="226" ht="12.75" customHeight="1">
      <c r="A226" t="s" s="216">
        <v>235</v>
      </c>
      <c r="B226" t="s" s="216">
        <v>668</v>
      </c>
      <c r="C226" t="s" s="216">
        <v>722</v>
      </c>
      <c r="D226" s="244">
        <v>42507</v>
      </c>
      <c r="E226" s="244">
        <v>42871</v>
      </c>
      <c r="F226" s="245">
        <v>32</v>
      </c>
      <c r="G226" s="245">
        <v>0</v>
      </c>
      <c r="H226" t="s" s="216">
        <v>659</v>
      </c>
      <c r="I226" s="245">
        <v>364</v>
      </c>
      <c r="J226" s="245">
        <v>45</v>
      </c>
      <c r="K226" s="246">
        <v>0.1236263736263736</v>
      </c>
      <c r="L226" s="244">
        <f>E226-I226*0.4</f>
        <v>42725.4</v>
      </c>
      <c r="M226" s="215"/>
      <c r="N226" s="215"/>
      <c r="O226" s="215"/>
      <c r="P226" s="215"/>
      <c r="Q226" s="215"/>
      <c r="R226" s="215"/>
    </row>
    <row r="227" ht="12.75" customHeight="1">
      <c r="A227" t="s" s="216">
        <v>235</v>
      </c>
      <c r="B227" t="s" s="216">
        <v>668</v>
      </c>
      <c r="C227" t="s" s="216">
        <v>720</v>
      </c>
      <c r="D227" s="244">
        <v>42524</v>
      </c>
      <c r="E227" s="244">
        <v>42888</v>
      </c>
      <c r="F227" s="245">
        <v>12</v>
      </c>
      <c r="G227" s="245">
        <v>0</v>
      </c>
      <c r="H227" t="s" s="216">
        <v>659</v>
      </c>
      <c r="I227" s="245">
        <v>364</v>
      </c>
      <c r="J227" s="245">
        <v>62</v>
      </c>
      <c r="K227" s="246">
        <v>0.1703296703296703</v>
      </c>
      <c r="L227" s="244">
        <f>E227-I227*0.4</f>
        <v>42742.4</v>
      </c>
      <c r="M227" s="215"/>
      <c r="N227" s="215"/>
      <c r="O227" s="215"/>
      <c r="P227" s="215"/>
      <c r="Q227" s="215"/>
      <c r="R227" s="215"/>
    </row>
    <row r="228" ht="12.75" customHeight="1">
      <c r="A228" t="s" s="216">
        <v>247</v>
      </c>
      <c r="B228" t="s" s="216">
        <v>657</v>
      </c>
      <c r="C228" t="s" s="216">
        <v>723</v>
      </c>
      <c r="D228" s="244">
        <v>42521</v>
      </c>
      <c r="E228" s="244">
        <v>42885</v>
      </c>
      <c r="F228" s="245">
        <v>1</v>
      </c>
      <c r="G228" s="245">
        <v>0</v>
      </c>
      <c r="H228" t="s" s="216">
        <v>659</v>
      </c>
      <c r="I228" s="245">
        <v>364</v>
      </c>
      <c r="J228" s="245">
        <v>59</v>
      </c>
      <c r="K228" s="246">
        <v>0.1620879120879121</v>
      </c>
      <c r="L228" s="244">
        <f>E228-I228*0.4</f>
        <v>42739.4</v>
      </c>
      <c r="M228" s="215"/>
      <c r="N228" s="215"/>
      <c r="O228" s="215"/>
      <c r="P228" s="215"/>
      <c r="Q228" s="215"/>
      <c r="R228" s="215"/>
    </row>
    <row r="229" ht="12.75" customHeight="1">
      <c r="A229" t="s" s="216">
        <v>247</v>
      </c>
      <c r="B229" t="s" s="216">
        <v>657</v>
      </c>
      <c r="C229" t="s" s="216">
        <v>724</v>
      </c>
      <c r="D229" s="244">
        <v>42537</v>
      </c>
      <c r="E229" s="244">
        <v>42901</v>
      </c>
      <c r="F229" s="245">
        <v>12</v>
      </c>
      <c r="G229" s="245">
        <v>0</v>
      </c>
      <c r="H229" t="s" s="216">
        <v>659</v>
      </c>
      <c r="I229" s="245">
        <v>364</v>
      </c>
      <c r="J229" s="245">
        <v>75</v>
      </c>
      <c r="K229" s="246">
        <v>0.206043956043956</v>
      </c>
      <c r="L229" s="244">
        <f>E229-I229*0.4</f>
        <v>42755.4</v>
      </c>
      <c r="M229" s="215"/>
      <c r="N229" s="215"/>
      <c r="O229" s="215"/>
      <c r="P229" s="215"/>
      <c r="Q229" s="215"/>
      <c r="R229" s="215"/>
    </row>
    <row r="230" ht="12.75" customHeight="1">
      <c r="A230" t="s" s="216">
        <v>247</v>
      </c>
      <c r="B230" t="s" s="216">
        <v>657</v>
      </c>
      <c r="C230" t="s" s="216">
        <v>725</v>
      </c>
      <c r="D230" s="244">
        <v>42566</v>
      </c>
      <c r="E230" s="244">
        <v>42930</v>
      </c>
      <c r="F230" s="245">
        <v>7</v>
      </c>
      <c r="G230" s="245">
        <v>0</v>
      </c>
      <c r="H230" t="s" s="216">
        <v>659</v>
      </c>
      <c r="I230" s="245">
        <v>364</v>
      </c>
      <c r="J230" s="245">
        <v>104</v>
      </c>
      <c r="K230" s="246">
        <v>0.2857142857142857</v>
      </c>
      <c r="L230" s="244">
        <f>E230-I230*0.4</f>
        <v>42784.4</v>
      </c>
      <c r="M230" s="215"/>
      <c r="N230" s="215"/>
      <c r="O230" s="215"/>
      <c r="P230" s="215"/>
      <c r="Q230" s="215"/>
      <c r="R230" s="215"/>
    </row>
    <row r="231" ht="12.75" customHeight="1">
      <c r="A231" t="s" s="216">
        <v>247</v>
      </c>
      <c r="B231" t="s" s="216">
        <v>666</v>
      </c>
      <c r="C231" t="s" s="216">
        <v>725</v>
      </c>
      <c r="D231" s="244">
        <v>42566</v>
      </c>
      <c r="E231" s="244">
        <v>42930</v>
      </c>
      <c r="F231" s="245">
        <v>1774</v>
      </c>
      <c r="G231" s="245">
        <v>0</v>
      </c>
      <c r="H231" t="s" s="216">
        <v>659</v>
      </c>
      <c r="I231" s="245">
        <v>364</v>
      </c>
      <c r="J231" s="245">
        <v>104</v>
      </c>
      <c r="K231" s="246">
        <v>0.2857142857142857</v>
      </c>
      <c r="L231" s="244">
        <f>E231-I231*0.4</f>
        <v>42784.4</v>
      </c>
      <c r="M231" s="215"/>
      <c r="N231" s="215"/>
      <c r="O231" s="215"/>
      <c r="P231" s="215"/>
      <c r="Q231" s="215"/>
      <c r="R231" s="215"/>
    </row>
    <row r="232" ht="12.75" customHeight="1">
      <c r="A232" t="s" s="216">
        <v>259</v>
      </c>
      <c r="B232" t="s" s="216">
        <v>657</v>
      </c>
      <c r="C232" t="s" s="216">
        <v>726</v>
      </c>
      <c r="D232" s="244">
        <v>42522</v>
      </c>
      <c r="E232" s="244">
        <v>42886</v>
      </c>
      <c r="F232" s="245">
        <v>678</v>
      </c>
      <c r="G232" s="245">
        <v>0</v>
      </c>
      <c r="H232" t="s" s="216">
        <v>659</v>
      </c>
      <c r="I232" s="245">
        <v>364</v>
      </c>
      <c r="J232" s="245">
        <v>60</v>
      </c>
      <c r="K232" s="246">
        <v>0.1648351648351648</v>
      </c>
      <c r="L232" s="244">
        <f>E232-I232*0.4</f>
        <v>42740.4</v>
      </c>
      <c r="M232" s="215"/>
      <c r="N232" s="215"/>
      <c r="O232" s="215"/>
      <c r="P232" s="215"/>
      <c r="Q232" s="215"/>
      <c r="R232" s="215"/>
    </row>
    <row r="233" ht="12.75" customHeight="1">
      <c r="A233" t="s" s="216">
        <v>259</v>
      </c>
      <c r="B233" t="s" s="216">
        <v>657</v>
      </c>
      <c r="C233" t="s" s="216">
        <v>700</v>
      </c>
      <c r="D233" s="244">
        <v>42552</v>
      </c>
      <c r="E233" s="244">
        <v>42916</v>
      </c>
      <c r="F233" s="245">
        <v>560</v>
      </c>
      <c r="G233" s="245">
        <v>0</v>
      </c>
      <c r="H233" t="s" s="216">
        <v>659</v>
      </c>
      <c r="I233" s="245">
        <v>364</v>
      </c>
      <c r="J233" s="245">
        <v>90</v>
      </c>
      <c r="K233" s="246">
        <v>0.2472527472527473</v>
      </c>
      <c r="L233" s="244">
        <f>E233-I233*0.4</f>
        <v>42770.4</v>
      </c>
      <c r="M233" s="215"/>
      <c r="N233" s="215"/>
      <c r="O233" s="215"/>
      <c r="P233" s="215"/>
      <c r="Q233" s="215"/>
      <c r="R233" s="215"/>
    </row>
    <row r="234" ht="12.75" customHeight="1">
      <c r="A234" t="s" s="216">
        <v>259</v>
      </c>
      <c r="B234" t="s" s="216">
        <v>657</v>
      </c>
      <c r="C234" t="s" s="216">
        <v>701</v>
      </c>
      <c r="D234" s="244">
        <v>42583</v>
      </c>
      <c r="E234" s="244">
        <v>42947</v>
      </c>
      <c r="F234" s="245">
        <v>5</v>
      </c>
      <c r="G234" s="245">
        <v>0</v>
      </c>
      <c r="H234" t="s" s="216">
        <v>659</v>
      </c>
      <c r="I234" s="245">
        <v>364</v>
      </c>
      <c r="J234" s="245">
        <v>121</v>
      </c>
      <c r="K234" s="246">
        <v>0.3324175824175824</v>
      </c>
      <c r="L234" s="244">
        <f>E234-I234*0.4</f>
        <v>42801.4</v>
      </c>
      <c r="M234" s="215"/>
      <c r="N234" s="215"/>
      <c r="O234" s="215"/>
      <c r="P234" s="215"/>
      <c r="Q234" s="215"/>
      <c r="R234" s="215"/>
    </row>
    <row r="235" ht="12.75" customHeight="1">
      <c r="A235" t="s" s="216">
        <v>259</v>
      </c>
      <c r="B235" t="s" s="216">
        <v>657</v>
      </c>
      <c r="C235" t="s" s="216">
        <v>727</v>
      </c>
      <c r="D235" s="244">
        <v>42614</v>
      </c>
      <c r="E235" s="244">
        <v>42978</v>
      </c>
      <c r="F235" s="245">
        <v>14</v>
      </c>
      <c r="G235" s="245">
        <v>0</v>
      </c>
      <c r="H235" t="s" s="216">
        <v>659</v>
      </c>
      <c r="I235" s="245">
        <v>364</v>
      </c>
      <c r="J235" s="245">
        <v>152</v>
      </c>
      <c r="K235" s="246">
        <v>0.4175824175824176</v>
      </c>
      <c r="L235" s="244">
        <f>E235-I235*0.4</f>
        <v>42832.4</v>
      </c>
      <c r="M235" s="215"/>
      <c r="N235" s="215"/>
      <c r="O235" s="215"/>
      <c r="P235" s="215"/>
      <c r="Q235" s="215"/>
      <c r="R235" s="215"/>
    </row>
    <row r="236" ht="12.75" customHeight="1">
      <c r="A236" t="s" s="216">
        <v>259</v>
      </c>
      <c r="B236" t="s" s="216">
        <v>657</v>
      </c>
      <c r="C236" t="s" s="216">
        <v>702</v>
      </c>
      <c r="D236" s="244">
        <v>42675</v>
      </c>
      <c r="E236" s="244">
        <v>43039</v>
      </c>
      <c r="F236" s="245">
        <v>1264</v>
      </c>
      <c r="G236" s="245">
        <v>0</v>
      </c>
      <c r="H236" t="s" s="216">
        <v>659</v>
      </c>
      <c r="I236" s="245">
        <v>364</v>
      </c>
      <c r="J236" s="245">
        <v>213</v>
      </c>
      <c r="K236" s="246">
        <v>0.5851648351648352</v>
      </c>
      <c r="L236" s="244">
        <f>E236-I236*0.4</f>
        <v>42893.4</v>
      </c>
      <c r="M236" s="215"/>
      <c r="N236" s="215"/>
      <c r="O236" s="215"/>
      <c r="P236" s="215"/>
      <c r="Q236" s="215"/>
      <c r="R236" s="215"/>
    </row>
    <row r="237" ht="12.75" customHeight="1">
      <c r="A237" t="s" s="216">
        <v>259</v>
      </c>
      <c r="B237" t="s" s="216">
        <v>657</v>
      </c>
      <c r="C237" t="s" s="216">
        <v>700</v>
      </c>
      <c r="D237" s="244">
        <v>42552</v>
      </c>
      <c r="E237" s="244">
        <v>42916</v>
      </c>
      <c r="F237" s="245">
        <v>40</v>
      </c>
      <c r="G237" s="245">
        <v>0</v>
      </c>
      <c r="H237" t="s" s="216">
        <v>659</v>
      </c>
      <c r="I237" s="245">
        <v>364</v>
      </c>
      <c r="J237" s="245">
        <v>90</v>
      </c>
      <c r="K237" s="246">
        <v>0.2472527472527473</v>
      </c>
      <c r="L237" s="244">
        <f>E237-I237*0.4</f>
        <v>42770.4</v>
      </c>
      <c r="M237" s="215"/>
      <c r="N237" s="215"/>
      <c r="O237" s="215"/>
      <c r="P237" s="215"/>
      <c r="Q237" s="215"/>
      <c r="R237" s="215"/>
    </row>
    <row r="238" ht="12.75" customHeight="1">
      <c r="A238" t="s" s="216">
        <v>259</v>
      </c>
      <c r="B238" t="s" s="216">
        <v>657</v>
      </c>
      <c r="C238" t="s" s="216">
        <v>702</v>
      </c>
      <c r="D238" s="244">
        <v>42675</v>
      </c>
      <c r="E238" s="244">
        <v>43039</v>
      </c>
      <c r="F238" s="245">
        <v>1660</v>
      </c>
      <c r="G238" s="245">
        <v>0</v>
      </c>
      <c r="H238" t="s" s="216">
        <v>659</v>
      </c>
      <c r="I238" s="245">
        <v>364</v>
      </c>
      <c r="J238" s="245">
        <v>213</v>
      </c>
      <c r="K238" s="246">
        <v>0.5851648351648352</v>
      </c>
      <c r="L238" s="244">
        <f>E238-I238*0.4</f>
        <v>42893.4</v>
      </c>
      <c r="M238" s="215"/>
      <c r="N238" s="215"/>
      <c r="O238" s="215"/>
      <c r="P238" s="215"/>
      <c r="Q238" s="215"/>
      <c r="R238" s="215"/>
    </row>
    <row r="239" ht="12.75" customHeight="1">
      <c r="A239" t="s" s="216">
        <v>259</v>
      </c>
      <c r="B239" t="s" s="216">
        <v>666</v>
      </c>
      <c r="C239" t="s" s="216">
        <v>726</v>
      </c>
      <c r="D239" s="244">
        <v>42522</v>
      </c>
      <c r="E239" s="244">
        <v>42886</v>
      </c>
      <c r="F239" s="245">
        <v>178</v>
      </c>
      <c r="G239" s="245">
        <v>0</v>
      </c>
      <c r="H239" t="s" s="216">
        <v>659</v>
      </c>
      <c r="I239" s="245">
        <v>364</v>
      </c>
      <c r="J239" s="245">
        <v>60</v>
      </c>
      <c r="K239" s="246">
        <v>0.1648351648351648</v>
      </c>
      <c r="L239" s="244">
        <f>E239-I239*0.4</f>
        <v>42740.4</v>
      </c>
      <c r="M239" s="215"/>
      <c r="N239" s="215"/>
      <c r="O239" s="215"/>
      <c r="P239" s="215"/>
      <c r="Q239" s="215"/>
      <c r="R239" s="215"/>
    </row>
    <row r="240" ht="12.75" customHeight="1">
      <c r="A240" t="s" s="216">
        <v>259</v>
      </c>
      <c r="B240" t="s" s="216">
        <v>666</v>
      </c>
      <c r="C240" t="s" s="216">
        <v>701</v>
      </c>
      <c r="D240" s="244">
        <v>42583</v>
      </c>
      <c r="E240" s="244">
        <v>42947</v>
      </c>
      <c r="F240" s="245">
        <v>1</v>
      </c>
      <c r="G240" s="245">
        <v>0</v>
      </c>
      <c r="H240" t="s" s="216">
        <v>659</v>
      </c>
      <c r="I240" s="245">
        <v>364</v>
      </c>
      <c r="J240" s="245">
        <v>121</v>
      </c>
      <c r="K240" s="246">
        <v>0.3324175824175824</v>
      </c>
      <c r="L240" s="244">
        <f>E240-I240*0.4</f>
        <v>42801.4</v>
      </c>
      <c r="M240" s="215"/>
      <c r="N240" s="215"/>
      <c r="O240" s="215"/>
      <c r="P240" s="215"/>
      <c r="Q240" s="215"/>
      <c r="R240" s="215"/>
    </row>
    <row r="241" ht="12.75" customHeight="1">
      <c r="A241" t="s" s="216">
        <v>259</v>
      </c>
      <c r="B241" t="s" s="216">
        <v>666</v>
      </c>
      <c r="C241" t="s" s="216">
        <v>727</v>
      </c>
      <c r="D241" s="244">
        <v>42614</v>
      </c>
      <c r="E241" s="244">
        <v>42978</v>
      </c>
      <c r="F241" s="245">
        <v>4</v>
      </c>
      <c r="G241" s="245">
        <v>0</v>
      </c>
      <c r="H241" t="s" s="216">
        <v>659</v>
      </c>
      <c r="I241" s="245">
        <v>364</v>
      </c>
      <c r="J241" s="245">
        <v>152</v>
      </c>
      <c r="K241" s="246">
        <v>0.4175824175824176</v>
      </c>
      <c r="L241" s="244">
        <f>E241-I241*0.4</f>
        <v>42832.4</v>
      </c>
      <c r="M241" s="215"/>
      <c r="N241" s="215"/>
      <c r="O241" s="215"/>
      <c r="P241" s="215"/>
      <c r="Q241" s="215"/>
      <c r="R241" s="215"/>
    </row>
    <row r="242" ht="12.75" customHeight="1">
      <c r="A242" t="s" s="216">
        <v>259</v>
      </c>
      <c r="B242" t="s" s="216">
        <v>666</v>
      </c>
      <c r="C242" t="s" s="216">
        <v>702</v>
      </c>
      <c r="D242" s="244">
        <v>42675</v>
      </c>
      <c r="E242" s="244">
        <v>43039</v>
      </c>
      <c r="F242" s="245">
        <v>4566</v>
      </c>
      <c r="G242" s="245">
        <v>0</v>
      </c>
      <c r="H242" t="s" s="216">
        <v>659</v>
      </c>
      <c r="I242" s="245">
        <v>364</v>
      </c>
      <c r="J242" s="245">
        <v>213</v>
      </c>
      <c r="K242" s="246">
        <v>0.5851648351648352</v>
      </c>
      <c r="L242" s="244">
        <f>E242-I242*0.4</f>
        <v>42893.4</v>
      </c>
      <c r="M242" s="215"/>
      <c r="N242" s="215"/>
      <c r="O242" s="215"/>
      <c r="P242" s="215"/>
      <c r="Q242" s="215"/>
      <c r="R242" s="215"/>
    </row>
    <row r="243" ht="12.75" customHeight="1">
      <c r="A243" t="s" s="216">
        <v>259</v>
      </c>
      <c r="B243" t="s" s="216">
        <v>667</v>
      </c>
      <c r="C243" t="s" s="216">
        <v>727</v>
      </c>
      <c r="D243" s="244">
        <v>42614</v>
      </c>
      <c r="E243" s="244">
        <v>42978</v>
      </c>
      <c r="F243" s="245">
        <v>68</v>
      </c>
      <c r="G243" s="245">
        <v>0</v>
      </c>
      <c r="H243" t="s" s="216">
        <v>659</v>
      </c>
      <c r="I243" s="245">
        <v>364</v>
      </c>
      <c r="J243" s="245">
        <v>152</v>
      </c>
      <c r="K243" s="246">
        <v>0.4175824175824176</v>
      </c>
      <c r="L243" s="244">
        <f>E243-I243*0.4</f>
        <v>42832.4</v>
      </c>
      <c r="M243" s="215"/>
      <c r="N243" s="215"/>
      <c r="O243" s="215"/>
      <c r="P243" s="215"/>
      <c r="Q243" s="215"/>
      <c r="R243" s="215"/>
    </row>
    <row r="244" ht="12.75" customHeight="1">
      <c r="A244" t="s" s="216">
        <v>259</v>
      </c>
      <c r="B244" t="s" s="216">
        <v>667</v>
      </c>
      <c r="C244" t="s" s="216">
        <v>702</v>
      </c>
      <c r="D244" s="244">
        <v>42675</v>
      </c>
      <c r="E244" s="244">
        <v>43039</v>
      </c>
      <c r="F244" s="245">
        <v>10</v>
      </c>
      <c r="G244" s="245">
        <v>0</v>
      </c>
      <c r="H244" t="s" s="216">
        <v>659</v>
      </c>
      <c r="I244" s="245">
        <v>364</v>
      </c>
      <c r="J244" s="245">
        <v>213</v>
      </c>
      <c r="K244" s="246">
        <v>0.5851648351648352</v>
      </c>
      <c r="L244" s="244">
        <f>E244-I244*0.4</f>
        <v>42893.4</v>
      </c>
      <c r="M244" s="215"/>
      <c r="N244" s="215"/>
      <c r="O244" s="215"/>
      <c r="P244" s="215"/>
      <c r="Q244" s="215"/>
      <c r="R244" s="215"/>
    </row>
    <row r="245" ht="12.75" customHeight="1">
      <c r="A245" t="s" s="216">
        <v>259</v>
      </c>
      <c r="B245" t="s" s="216">
        <v>668</v>
      </c>
      <c r="C245" t="s" s="216">
        <v>726</v>
      </c>
      <c r="D245" s="244">
        <v>42522</v>
      </c>
      <c r="E245" s="244">
        <v>42886</v>
      </c>
      <c r="F245" s="245">
        <v>1050</v>
      </c>
      <c r="G245" s="245">
        <v>0</v>
      </c>
      <c r="H245" t="s" s="216">
        <v>659</v>
      </c>
      <c r="I245" s="245">
        <v>364</v>
      </c>
      <c r="J245" s="245">
        <v>60</v>
      </c>
      <c r="K245" s="246">
        <v>0.1648351648351648</v>
      </c>
      <c r="L245" s="244">
        <f>E245-I245*0.4</f>
        <v>42740.4</v>
      </c>
      <c r="M245" s="215"/>
      <c r="N245" s="215"/>
      <c r="O245" s="215"/>
      <c r="P245" s="215"/>
      <c r="Q245" s="215"/>
      <c r="R245" s="215"/>
    </row>
    <row r="246" ht="12.75" customHeight="1">
      <c r="A246" t="s" s="216">
        <v>259</v>
      </c>
      <c r="B246" t="s" s="216">
        <v>668</v>
      </c>
      <c r="C246" t="s" s="216">
        <v>702</v>
      </c>
      <c r="D246" s="244">
        <v>42675</v>
      </c>
      <c r="E246" s="244">
        <v>43039</v>
      </c>
      <c r="F246" s="245">
        <v>366</v>
      </c>
      <c r="G246" s="245">
        <v>0</v>
      </c>
      <c r="H246" t="s" s="216">
        <v>659</v>
      </c>
      <c r="I246" s="245">
        <v>364</v>
      </c>
      <c r="J246" s="245">
        <v>213</v>
      </c>
      <c r="K246" s="246">
        <v>0.5851648351648352</v>
      </c>
      <c r="L246" s="244">
        <f>E246-I246*0.4</f>
        <v>42893.4</v>
      </c>
      <c r="M246" s="215"/>
      <c r="N246" s="215"/>
      <c r="O246" s="215"/>
      <c r="P246" s="215"/>
      <c r="Q246" s="215"/>
      <c r="R246" s="215"/>
    </row>
    <row r="247" ht="12.75" customHeight="1">
      <c r="A247" t="s" s="216">
        <v>271</v>
      </c>
      <c r="B247" t="s" s="216">
        <v>657</v>
      </c>
      <c r="C247" t="s" s="216">
        <v>700</v>
      </c>
      <c r="D247" s="244">
        <v>42552</v>
      </c>
      <c r="E247" s="244">
        <v>42916</v>
      </c>
      <c r="F247" s="245">
        <v>1</v>
      </c>
      <c r="G247" s="245">
        <v>0</v>
      </c>
      <c r="H247" t="s" s="216">
        <v>659</v>
      </c>
      <c r="I247" s="245">
        <v>364</v>
      </c>
      <c r="J247" s="245">
        <v>90</v>
      </c>
      <c r="K247" s="246">
        <v>0.2472527472527473</v>
      </c>
      <c r="L247" s="244">
        <f>E247-I247*0.4</f>
        <v>42770.4</v>
      </c>
      <c r="M247" s="215"/>
      <c r="N247" s="215"/>
      <c r="O247" s="215"/>
      <c r="P247" s="215"/>
      <c r="Q247" s="215"/>
      <c r="R247" s="215"/>
    </row>
    <row r="248" ht="12.75" customHeight="1">
      <c r="A248" t="s" s="216">
        <v>271</v>
      </c>
      <c r="B248" t="s" s="216">
        <v>657</v>
      </c>
      <c r="C248" t="s" s="216">
        <v>727</v>
      </c>
      <c r="D248" s="244">
        <v>42614</v>
      </c>
      <c r="E248" s="244">
        <v>42978</v>
      </c>
      <c r="F248" s="245">
        <v>66</v>
      </c>
      <c r="G248" s="245">
        <v>0</v>
      </c>
      <c r="H248" t="s" s="216">
        <v>659</v>
      </c>
      <c r="I248" s="245">
        <v>364</v>
      </c>
      <c r="J248" s="245">
        <v>152</v>
      </c>
      <c r="K248" s="246">
        <v>0.4175824175824176</v>
      </c>
      <c r="L248" s="244">
        <f>E248-I248*0.4</f>
        <v>42832.4</v>
      </c>
      <c r="M248" s="215"/>
      <c r="N248" s="215"/>
      <c r="O248" s="215"/>
      <c r="P248" s="215"/>
      <c r="Q248" s="215"/>
      <c r="R248" s="215"/>
    </row>
    <row r="249" ht="12.75" customHeight="1">
      <c r="A249" t="s" s="216">
        <v>271</v>
      </c>
      <c r="B249" t="s" s="216">
        <v>657</v>
      </c>
      <c r="C249" t="s" s="216">
        <v>701</v>
      </c>
      <c r="D249" s="244">
        <v>42583</v>
      </c>
      <c r="E249" s="244">
        <v>42947</v>
      </c>
      <c r="F249" s="245">
        <v>40</v>
      </c>
      <c r="G249" s="245">
        <v>0</v>
      </c>
      <c r="H249" t="s" s="216">
        <v>659</v>
      </c>
      <c r="I249" s="245">
        <v>364</v>
      </c>
      <c r="J249" s="245">
        <v>121</v>
      </c>
      <c r="K249" s="246">
        <v>0.3324175824175824</v>
      </c>
      <c r="L249" s="244">
        <f>E249-I249*0.4</f>
        <v>42801.4</v>
      </c>
      <c r="M249" s="215"/>
      <c r="N249" s="215"/>
      <c r="O249" s="215"/>
      <c r="P249" s="215"/>
      <c r="Q249" s="215"/>
      <c r="R249" s="215"/>
    </row>
    <row r="250" ht="12.75" customHeight="1">
      <c r="A250" t="s" s="216">
        <v>271</v>
      </c>
      <c r="B250" t="s" s="216">
        <v>666</v>
      </c>
      <c r="C250" t="s" s="216">
        <v>701</v>
      </c>
      <c r="D250" s="244">
        <v>42583</v>
      </c>
      <c r="E250" s="244">
        <v>42947</v>
      </c>
      <c r="F250" s="245">
        <v>461</v>
      </c>
      <c r="G250" s="245">
        <v>0</v>
      </c>
      <c r="H250" t="s" s="216">
        <v>659</v>
      </c>
      <c r="I250" s="245">
        <v>364</v>
      </c>
      <c r="J250" s="245">
        <v>121</v>
      </c>
      <c r="K250" s="246">
        <v>0.3324175824175824</v>
      </c>
      <c r="L250" s="244">
        <f>E250-I250*0.4</f>
        <v>42801.4</v>
      </c>
      <c r="M250" s="215"/>
      <c r="N250" s="215"/>
      <c r="O250" s="215"/>
      <c r="P250" s="215"/>
      <c r="Q250" s="215"/>
      <c r="R250" s="215"/>
    </row>
    <row r="251" ht="12.75" customHeight="1">
      <c r="A251" t="s" s="216">
        <v>271</v>
      </c>
      <c r="B251" t="s" s="216">
        <v>666</v>
      </c>
      <c r="C251" t="s" s="216">
        <v>727</v>
      </c>
      <c r="D251" s="244">
        <v>42614</v>
      </c>
      <c r="E251" s="244">
        <v>42978</v>
      </c>
      <c r="F251" s="245">
        <v>814</v>
      </c>
      <c r="G251" s="245">
        <v>0</v>
      </c>
      <c r="H251" t="s" s="216">
        <v>659</v>
      </c>
      <c r="I251" s="245">
        <v>364</v>
      </c>
      <c r="J251" s="245">
        <v>152</v>
      </c>
      <c r="K251" s="246">
        <v>0.4175824175824176</v>
      </c>
      <c r="L251" s="244">
        <f>E251-I251*0.4</f>
        <v>42832.4</v>
      </c>
      <c r="M251" s="215"/>
      <c r="N251" s="215"/>
      <c r="O251" s="215"/>
      <c r="P251" s="215"/>
      <c r="Q251" s="215"/>
      <c r="R251" s="215"/>
    </row>
    <row r="252" ht="12.75" customHeight="1">
      <c r="A252" t="s" s="216">
        <v>271</v>
      </c>
      <c r="B252" t="s" s="216">
        <v>668</v>
      </c>
      <c r="C252" t="s" s="216">
        <v>701</v>
      </c>
      <c r="D252" s="244">
        <v>42583</v>
      </c>
      <c r="E252" s="244">
        <v>42947</v>
      </c>
      <c r="F252" s="245">
        <v>649</v>
      </c>
      <c r="G252" s="245">
        <v>0</v>
      </c>
      <c r="H252" t="s" s="216">
        <v>659</v>
      </c>
      <c r="I252" s="245">
        <v>364</v>
      </c>
      <c r="J252" s="245">
        <v>121</v>
      </c>
      <c r="K252" s="246">
        <v>0.3324175824175824</v>
      </c>
      <c r="L252" s="244">
        <f>E252-I252*0.4</f>
        <v>42801.4</v>
      </c>
      <c r="M252" s="215"/>
      <c r="N252" s="215"/>
      <c r="O252" s="215"/>
      <c r="P252" s="215"/>
      <c r="Q252" s="215"/>
      <c r="R252" s="215"/>
    </row>
    <row r="253" ht="12.75" customHeight="1">
      <c r="A253" t="s" s="216">
        <v>271</v>
      </c>
      <c r="B253" t="s" s="216">
        <v>668</v>
      </c>
      <c r="C253" t="s" s="216">
        <v>727</v>
      </c>
      <c r="D253" s="244">
        <v>42614</v>
      </c>
      <c r="E253" s="244">
        <v>42978</v>
      </c>
      <c r="F253" s="245">
        <v>25</v>
      </c>
      <c r="G253" s="245">
        <v>0</v>
      </c>
      <c r="H253" t="s" s="216">
        <v>659</v>
      </c>
      <c r="I253" s="245">
        <v>364</v>
      </c>
      <c r="J253" s="245">
        <v>152</v>
      </c>
      <c r="K253" s="246">
        <v>0.4175824175824176</v>
      </c>
      <c r="L253" s="244">
        <f>E253-I253*0.4</f>
        <v>42832.4</v>
      </c>
      <c r="M253" s="215"/>
      <c r="N253" s="215"/>
      <c r="O253" s="215"/>
      <c r="P253" s="215"/>
      <c r="Q253" s="215"/>
      <c r="R253" s="215"/>
    </row>
    <row r="254" ht="12.75" customHeight="1">
      <c r="A254" t="s" s="216">
        <v>283</v>
      </c>
      <c r="B254" t="s" s="216">
        <v>657</v>
      </c>
      <c r="C254" t="s" s="216">
        <v>728</v>
      </c>
      <c r="D254" s="244">
        <v>42538</v>
      </c>
      <c r="E254" s="244">
        <v>42902</v>
      </c>
      <c r="F254" s="245">
        <v>40</v>
      </c>
      <c r="G254" s="245">
        <v>0</v>
      </c>
      <c r="H254" t="s" s="216">
        <v>659</v>
      </c>
      <c r="I254" s="245">
        <v>364</v>
      </c>
      <c r="J254" s="245">
        <v>76</v>
      </c>
      <c r="K254" s="246">
        <v>0.2087912087912088</v>
      </c>
      <c r="L254" s="244">
        <f>E254-I254*0.4</f>
        <v>42756.4</v>
      </c>
      <c r="M254" s="215"/>
      <c r="N254" s="215"/>
      <c r="O254" s="215"/>
      <c r="P254" s="215"/>
      <c r="Q254" s="215"/>
      <c r="R254" s="215"/>
    </row>
    <row r="255" ht="12.75" customHeight="1">
      <c r="A255" t="s" s="216">
        <v>283</v>
      </c>
      <c r="B255" t="s" s="216">
        <v>667</v>
      </c>
      <c r="C255" t="s" s="216">
        <v>729</v>
      </c>
      <c r="D255" s="244">
        <v>42572</v>
      </c>
      <c r="E255" s="244">
        <v>42936</v>
      </c>
      <c r="F255" s="245">
        <v>252</v>
      </c>
      <c r="G255" s="245">
        <v>0</v>
      </c>
      <c r="H255" t="s" s="216">
        <v>659</v>
      </c>
      <c r="I255" s="245">
        <v>364</v>
      </c>
      <c r="J255" s="245">
        <v>110</v>
      </c>
      <c r="K255" s="246">
        <v>0.3021978021978022</v>
      </c>
      <c r="L255" s="244">
        <f>E255-I255*0.4</f>
        <v>42790.4</v>
      </c>
      <c r="M255" s="215"/>
      <c r="N255" s="215"/>
      <c r="O255" s="215"/>
      <c r="P255" s="215"/>
      <c r="Q255" s="215"/>
      <c r="R255" s="215"/>
    </row>
    <row r="256" ht="12.75" customHeight="1">
      <c r="A256" t="s" s="216">
        <v>283</v>
      </c>
      <c r="B256" t="s" s="216">
        <v>668</v>
      </c>
      <c r="C256" t="s" s="216">
        <v>728</v>
      </c>
      <c r="D256" s="244">
        <v>42538</v>
      </c>
      <c r="E256" s="244">
        <v>42902</v>
      </c>
      <c r="F256" s="245">
        <v>340</v>
      </c>
      <c r="G256" s="245">
        <v>0</v>
      </c>
      <c r="H256" t="s" s="216">
        <v>659</v>
      </c>
      <c r="I256" s="245">
        <v>364</v>
      </c>
      <c r="J256" s="245">
        <v>76</v>
      </c>
      <c r="K256" s="246">
        <v>0.2087912087912088</v>
      </c>
      <c r="L256" s="244">
        <f>E256-I256*0.4</f>
        <v>42756.4</v>
      </c>
      <c r="M256" s="215"/>
      <c r="N256" s="215"/>
      <c r="O256" s="215"/>
      <c r="P256" s="215"/>
      <c r="Q256" s="215"/>
      <c r="R256" s="215"/>
    </row>
    <row r="257" ht="12.75" customHeight="1">
      <c r="A257" t="s" s="216">
        <v>283</v>
      </c>
      <c r="B257" t="s" s="216">
        <v>668</v>
      </c>
      <c r="C257" t="s" s="216">
        <v>730</v>
      </c>
      <c r="D257" s="244">
        <v>42598</v>
      </c>
      <c r="E257" s="244">
        <v>42962</v>
      </c>
      <c r="F257" s="245">
        <v>80</v>
      </c>
      <c r="G257" s="245">
        <v>0</v>
      </c>
      <c r="H257" t="s" s="216">
        <v>659</v>
      </c>
      <c r="I257" s="245">
        <v>364</v>
      </c>
      <c r="J257" s="245">
        <v>136</v>
      </c>
      <c r="K257" s="246">
        <v>0.3736263736263736</v>
      </c>
      <c r="L257" s="244">
        <f>E257-I257*0.4</f>
        <v>42816.4</v>
      </c>
      <c r="M257" s="215"/>
      <c r="N257" s="215"/>
      <c r="O257" s="215"/>
      <c r="P257" s="215"/>
      <c r="Q257" s="215"/>
      <c r="R257" s="215"/>
    </row>
    <row r="258" ht="12.75" customHeight="1">
      <c r="A258" t="s" s="216">
        <v>295</v>
      </c>
      <c r="B258" t="s" s="216">
        <v>657</v>
      </c>
      <c r="C258" t="s" s="216">
        <v>701</v>
      </c>
      <c r="D258" s="244">
        <v>42583</v>
      </c>
      <c r="E258" s="244">
        <v>42947</v>
      </c>
      <c r="F258" s="245">
        <v>281</v>
      </c>
      <c r="G258" s="245">
        <v>0</v>
      </c>
      <c r="H258" t="s" s="216">
        <v>659</v>
      </c>
      <c r="I258" s="245">
        <v>364</v>
      </c>
      <c r="J258" s="245">
        <v>121</v>
      </c>
      <c r="K258" s="246">
        <v>0.3324175824175824</v>
      </c>
      <c r="L258" s="244">
        <f>E258-I258*0.4</f>
        <v>42801.4</v>
      </c>
      <c r="M258" s="215"/>
      <c r="N258" s="215"/>
      <c r="O258" s="215"/>
      <c r="P258" s="215"/>
      <c r="Q258" s="215"/>
      <c r="R258" s="215"/>
    </row>
    <row r="259" ht="12.75" customHeight="1">
      <c r="A259" t="s" s="216">
        <v>295</v>
      </c>
      <c r="B259" t="s" s="216">
        <v>657</v>
      </c>
      <c r="C259" t="s" s="216">
        <v>727</v>
      </c>
      <c r="D259" s="244">
        <v>42614</v>
      </c>
      <c r="E259" s="244">
        <v>42978</v>
      </c>
      <c r="F259" s="245">
        <v>1</v>
      </c>
      <c r="G259" s="245">
        <v>0</v>
      </c>
      <c r="H259" t="s" s="216">
        <v>659</v>
      </c>
      <c r="I259" s="245">
        <v>364</v>
      </c>
      <c r="J259" s="245">
        <v>152</v>
      </c>
      <c r="K259" s="246">
        <v>0.4175824175824176</v>
      </c>
      <c r="L259" s="244">
        <f>E259-I259*0.4</f>
        <v>42832.4</v>
      </c>
      <c r="M259" s="215"/>
      <c r="N259" s="215"/>
      <c r="O259" s="215"/>
      <c r="P259" s="215"/>
      <c r="Q259" s="215"/>
      <c r="R259" s="215"/>
    </row>
    <row r="260" ht="12.75" customHeight="1">
      <c r="A260" t="s" s="216">
        <v>295</v>
      </c>
      <c r="B260" t="s" s="216">
        <v>657</v>
      </c>
      <c r="C260" t="s" s="216">
        <v>700</v>
      </c>
      <c r="D260" s="244">
        <v>42552</v>
      </c>
      <c r="E260" s="244">
        <v>42916</v>
      </c>
      <c r="F260" s="245">
        <v>20</v>
      </c>
      <c r="G260" s="245">
        <v>0</v>
      </c>
      <c r="H260" t="s" s="216">
        <v>659</v>
      </c>
      <c r="I260" s="245">
        <v>364</v>
      </c>
      <c r="J260" s="245">
        <v>90</v>
      </c>
      <c r="K260" s="246">
        <v>0.2472527472527473</v>
      </c>
      <c r="L260" s="244">
        <f>E260-I260*0.4</f>
        <v>42770.4</v>
      </c>
      <c r="M260" s="215"/>
      <c r="N260" s="215"/>
      <c r="O260" s="215"/>
      <c r="P260" s="215"/>
      <c r="Q260" s="215"/>
      <c r="R260" s="215"/>
    </row>
    <row r="261" ht="12.75" customHeight="1">
      <c r="A261" t="s" s="216">
        <v>295</v>
      </c>
      <c r="B261" t="s" s="216">
        <v>666</v>
      </c>
      <c r="C261" t="s" s="216">
        <v>700</v>
      </c>
      <c r="D261" s="244">
        <v>42552</v>
      </c>
      <c r="E261" s="244">
        <v>42916</v>
      </c>
      <c r="F261" s="245">
        <v>1</v>
      </c>
      <c r="G261" s="245">
        <v>0</v>
      </c>
      <c r="H261" t="s" s="216">
        <v>659</v>
      </c>
      <c r="I261" s="245">
        <v>364</v>
      </c>
      <c r="J261" s="245">
        <v>90</v>
      </c>
      <c r="K261" s="246">
        <v>0.2472527472527473</v>
      </c>
      <c r="L261" s="244">
        <f>E261-I261*0.4</f>
        <v>42770.4</v>
      </c>
      <c r="M261" s="215"/>
      <c r="N261" s="215"/>
      <c r="O261" s="215"/>
      <c r="P261" s="215"/>
      <c r="Q261" s="215"/>
      <c r="R261" s="215"/>
    </row>
    <row r="262" ht="12.75" customHeight="1">
      <c r="A262" t="s" s="216">
        <v>295</v>
      </c>
      <c r="B262" t="s" s="216">
        <v>666</v>
      </c>
      <c r="C262" t="s" s="216">
        <v>701</v>
      </c>
      <c r="D262" s="244">
        <v>42583</v>
      </c>
      <c r="E262" s="244">
        <v>42947</v>
      </c>
      <c r="F262" s="245">
        <v>219</v>
      </c>
      <c r="G262" s="245">
        <v>0</v>
      </c>
      <c r="H262" t="s" s="216">
        <v>659</v>
      </c>
      <c r="I262" s="245">
        <v>364</v>
      </c>
      <c r="J262" s="245">
        <v>121</v>
      </c>
      <c r="K262" s="246">
        <v>0.3324175824175824</v>
      </c>
      <c r="L262" s="244">
        <f>E262-I262*0.4</f>
        <v>42801.4</v>
      </c>
      <c r="M262" s="215"/>
      <c r="N262" s="215"/>
      <c r="O262" s="215"/>
      <c r="P262" s="215"/>
      <c r="Q262" s="215"/>
      <c r="R262" s="215"/>
    </row>
    <row r="263" ht="12.75" customHeight="1">
      <c r="A263" t="s" s="216">
        <v>295</v>
      </c>
      <c r="B263" t="s" s="216">
        <v>667</v>
      </c>
      <c r="C263" t="s" s="216">
        <v>700</v>
      </c>
      <c r="D263" s="244">
        <v>42552</v>
      </c>
      <c r="E263" s="244">
        <v>42916</v>
      </c>
      <c r="F263" s="245">
        <v>0</v>
      </c>
      <c r="G263" s="245">
        <v>0</v>
      </c>
      <c r="H263" t="s" s="216">
        <v>659</v>
      </c>
      <c r="I263" s="245">
        <v>364</v>
      </c>
      <c r="J263" s="245">
        <v>90</v>
      </c>
      <c r="K263" s="246">
        <v>0.2472527472527473</v>
      </c>
      <c r="L263" s="244">
        <f>E263-I263*0.4</f>
        <v>42770.4</v>
      </c>
      <c r="M263" s="215"/>
      <c r="N263" s="215"/>
      <c r="O263" s="215"/>
      <c r="P263" s="215"/>
      <c r="Q263" s="215"/>
      <c r="R263" s="215"/>
    </row>
    <row r="264" ht="12.75" customHeight="1">
      <c r="A264" t="s" s="216">
        <v>295</v>
      </c>
      <c r="B264" t="s" s="216">
        <v>667</v>
      </c>
      <c r="C264" t="s" s="216">
        <v>727</v>
      </c>
      <c r="D264" s="244">
        <v>42614</v>
      </c>
      <c r="E264" s="244">
        <v>42978</v>
      </c>
      <c r="F264" s="245">
        <v>9</v>
      </c>
      <c r="G264" s="245">
        <v>0</v>
      </c>
      <c r="H264" t="s" s="216">
        <v>659</v>
      </c>
      <c r="I264" s="245">
        <v>364</v>
      </c>
      <c r="J264" s="245">
        <v>152</v>
      </c>
      <c r="K264" s="246">
        <v>0.4175824175824176</v>
      </c>
      <c r="L264" s="244">
        <f>E264-I264*0.4</f>
        <v>42832.4</v>
      </c>
      <c r="M264" s="215"/>
      <c r="N264" s="215"/>
      <c r="O264" s="215"/>
      <c r="P264" s="215"/>
      <c r="Q264" s="215"/>
      <c r="R264" s="215"/>
    </row>
    <row r="265" ht="12.75" customHeight="1">
      <c r="A265" t="s" s="216">
        <v>295</v>
      </c>
      <c r="B265" t="s" s="216">
        <v>668</v>
      </c>
      <c r="C265" t="s" s="216">
        <v>700</v>
      </c>
      <c r="D265" s="244">
        <v>42552</v>
      </c>
      <c r="E265" s="244">
        <v>42916</v>
      </c>
      <c r="F265" s="245">
        <v>186</v>
      </c>
      <c r="G265" s="245">
        <v>0</v>
      </c>
      <c r="H265" t="s" s="216">
        <v>659</v>
      </c>
      <c r="I265" s="245">
        <v>364</v>
      </c>
      <c r="J265" s="245">
        <v>90</v>
      </c>
      <c r="K265" s="246">
        <v>0.2472527472527473</v>
      </c>
      <c r="L265" s="244">
        <f>E265-I265*0.4</f>
        <v>42770.4</v>
      </c>
      <c r="M265" s="215"/>
      <c r="N265" s="215"/>
      <c r="O265" s="215"/>
      <c r="P265" s="215"/>
      <c r="Q265" s="215"/>
      <c r="R265" s="215"/>
    </row>
    <row r="266" ht="12.75" customHeight="1">
      <c r="A266" t="s" s="216">
        <v>307</v>
      </c>
      <c r="B266" t="s" s="216">
        <v>657</v>
      </c>
      <c r="C266" t="s" s="216">
        <v>727</v>
      </c>
      <c r="D266" s="244">
        <v>42614</v>
      </c>
      <c r="E266" s="244">
        <v>42978</v>
      </c>
      <c r="F266" s="245">
        <v>40</v>
      </c>
      <c r="G266" s="245">
        <v>0</v>
      </c>
      <c r="H266" t="s" s="216">
        <v>659</v>
      </c>
      <c r="I266" s="245">
        <v>364</v>
      </c>
      <c r="J266" s="245">
        <v>152</v>
      </c>
      <c r="K266" s="246">
        <v>0.4175824175824176</v>
      </c>
      <c r="L266" s="244">
        <f>E266-I266*0.4</f>
        <v>42832.4</v>
      </c>
      <c r="M266" s="215"/>
      <c r="N266" s="215"/>
      <c r="O266" s="215"/>
      <c r="P266" s="215"/>
      <c r="Q266" s="215"/>
      <c r="R266" s="215"/>
    </row>
    <row r="267" ht="12.75" customHeight="1">
      <c r="A267" t="s" s="216">
        <v>307</v>
      </c>
      <c r="B267" t="s" s="216">
        <v>666</v>
      </c>
      <c r="C267" t="s" s="216">
        <v>727</v>
      </c>
      <c r="D267" s="244">
        <v>42614</v>
      </c>
      <c r="E267" s="244">
        <v>42978</v>
      </c>
      <c r="F267" s="245">
        <v>32</v>
      </c>
      <c r="G267" s="245">
        <v>0</v>
      </c>
      <c r="H267" t="s" s="216">
        <v>659</v>
      </c>
      <c r="I267" s="245">
        <v>364</v>
      </c>
      <c r="J267" s="245">
        <v>152</v>
      </c>
      <c r="K267" s="246">
        <v>0.4175824175824176</v>
      </c>
      <c r="L267" s="244">
        <f>E267-I267*0.4</f>
        <v>42832.4</v>
      </c>
      <c r="M267" s="215"/>
      <c r="N267" s="215"/>
      <c r="O267" s="215"/>
      <c r="P267" s="215"/>
      <c r="Q267" s="215"/>
      <c r="R267" s="215"/>
    </row>
    <row r="268" ht="12.75" customHeight="1">
      <c r="A268" t="s" s="216">
        <v>307</v>
      </c>
      <c r="B268" t="s" s="216">
        <v>667</v>
      </c>
      <c r="C268" t="s" s="216">
        <v>727</v>
      </c>
      <c r="D268" s="244">
        <v>42614</v>
      </c>
      <c r="E268" s="244">
        <v>42978</v>
      </c>
      <c r="F268" s="245">
        <v>2</v>
      </c>
      <c r="G268" s="245">
        <v>0</v>
      </c>
      <c r="H268" t="s" s="216">
        <v>659</v>
      </c>
      <c r="I268" s="245">
        <v>364</v>
      </c>
      <c r="J268" s="245">
        <v>152</v>
      </c>
      <c r="K268" s="246">
        <v>0.4175824175824176</v>
      </c>
      <c r="L268" s="244">
        <f>E268-I268*0.4</f>
        <v>42832.4</v>
      </c>
      <c r="M268" s="215"/>
      <c r="N268" s="215"/>
      <c r="O268" s="215"/>
      <c r="P268" s="215"/>
      <c r="Q268" s="215"/>
      <c r="R268" s="215"/>
    </row>
    <row r="269" ht="12.75" customHeight="1">
      <c r="A269" t="s" s="216">
        <v>307</v>
      </c>
      <c r="B269" t="s" s="216">
        <v>668</v>
      </c>
      <c r="C269" t="s" s="216">
        <v>726</v>
      </c>
      <c r="D269" s="244">
        <v>42522</v>
      </c>
      <c r="E269" s="244">
        <v>42886</v>
      </c>
      <c r="F269" s="245">
        <v>192</v>
      </c>
      <c r="G269" s="245">
        <v>0</v>
      </c>
      <c r="H269" t="s" s="216">
        <v>659</v>
      </c>
      <c r="I269" s="245">
        <v>364</v>
      </c>
      <c r="J269" s="245">
        <v>60</v>
      </c>
      <c r="K269" s="246">
        <v>0.1648351648351648</v>
      </c>
      <c r="L269" s="244">
        <f>E269-I269*0.4</f>
        <v>42740.4</v>
      </c>
      <c r="M269" s="215"/>
      <c r="N269" s="215"/>
      <c r="O269" s="215"/>
      <c r="P269" s="215"/>
      <c r="Q269" s="215"/>
      <c r="R269" s="215"/>
    </row>
    <row r="270" ht="12.75" customHeight="1">
      <c r="A270" t="s" s="216">
        <v>307</v>
      </c>
      <c r="B270" t="s" s="216">
        <v>668</v>
      </c>
      <c r="C270" t="s" s="216">
        <v>727</v>
      </c>
      <c r="D270" s="244">
        <v>42614</v>
      </c>
      <c r="E270" s="244">
        <v>42978</v>
      </c>
      <c r="F270" s="245">
        <v>734</v>
      </c>
      <c r="G270" s="245">
        <v>0</v>
      </c>
      <c r="H270" t="s" s="216">
        <v>659</v>
      </c>
      <c r="I270" s="245">
        <v>364</v>
      </c>
      <c r="J270" s="245">
        <v>152</v>
      </c>
      <c r="K270" s="246">
        <v>0.4175824175824176</v>
      </c>
      <c r="L270" s="244">
        <f>E270-I270*0.4</f>
        <v>42832.4</v>
      </c>
      <c r="M270" s="215"/>
      <c r="N270" s="215"/>
      <c r="O270" s="215"/>
      <c r="P270" s="215"/>
      <c r="Q270" s="215"/>
      <c r="R270" s="215"/>
    </row>
    <row r="271" ht="12.75" customHeight="1">
      <c r="A271" t="s" s="216">
        <v>319</v>
      </c>
      <c r="B271" t="s" s="216">
        <v>657</v>
      </c>
      <c r="C271" t="s" s="216">
        <v>701</v>
      </c>
      <c r="D271" s="244">
        <v>42583</v>
      </c>
      <c r="E271" s="244">
        <v>42947</v>
      </c>
      <c r="F271" s="245">
        <v>19</v>
      </c>
      <c r="G271" s="245">
        <v>0</v>
      </c>
      <c r="H271" t="s" s="216">
        <v>659</v>
      </c>
      <c r="I271" s="245">
        <v>364</v>
      </c>
      <c r="J271" s="245">
        <v>121</v>
      </c>
      <c r="K271" s="246">
        <v>0.3324175824175824</v>
      </c>
      <c r="L271" s="244">
        <f>E271-I271*0.4</f>
        <v>42801.4</v>
      </c>
      <c r="M271" s="215"/>
      <c r="N271" s="215"/>
      <c r="O271" s="215"/>
      <c r="P271" s="215"/>
      <c r="Q271" s="215"/>
      <c r="R271" s="215"/>
    </row>
    <row r="272" ht="12.75" customHeight="1">
      <c r="A272" t="s" s="216">
        <v>319</v>
      </c>
      <c r="B272" t="s" s="216">
        <v>657</v>
      </c>
      <c r="C272" t="s" s="216">
        <v>700</v>
      </c>
      <c r="D272" s="244">
        <v>42552</v>
      </c>
      <c r="E272" s="244">
        <v>42916</v>
      </c>
      <c r="F272" s="245">
        <v>72</v>
      </c>
      <c r="G272" s="245">
        <v>0</v>
      </c>
      <c r="H272" t="s" s="216">
        <v>659</v>
      </c>
      <c r="I272" s="245">
        <v>364</v>
      </c>
      <c r="J272" s="245">
        <v>90</v>
      </c>
      <c r="K272" s="246">
        <v>0.2472527472527473</v>
      </c>
      <c r="L272" s="244">
        <f>E272-I272*0.4</f>
        <v>42770.4</v>
      </c>
      <c r="M272" s="215"/>
      <c r="N272" s="215"/>
      <c r="O272" s="215"/>
      <c r="P272" s="215"/>
      <c r="Q272" s="215"/>
      <c r="R272" s="215"/>
    </row>
    <row r="273" ht="12.75" customHeight="1">
      <c r="A273" t="s" s="216">
        <v>319</v>
      </c>
      <c r="B273" t="s" s="216">
        <v>657</v>
      </c>
      <c r="C273" t="s" s="216">
        <v>701</v>
      </c>
      <c r="D273" s="244">
        <v>42583</v>
      </c>
      <c r="E273" s="244">
        <v>42947</v>
      </c>
      <c r="F273" s="245">
        <v>32</v>
      </c>
      <c r="G273" s="245">
        <v>0</v>
      </c>
      <c r="H273" t="s" s="216">
        <v>659</v>
      </c>
      <c r="I273" s="245">
        <v>364</v>
      </c>
      <c r="J273" s="245">
        <v>121</v>
      </c>
      <c r="K273" s="246">
        <v>0.3324175824175824</v>
      </c>
      <c r="L273" s="244">
        <f>E273-I273*0.4</f>
        <v>42801.4</v>
      </c>
      <c r="M273" s="215"/>
      <c r="N273" s="215"/>
      <c r="O273" s="215"/>
      <c r="P273" s="215"/>
      <c r="Q273" s="215"/>
      <c r="R273" s="215"/>
    </row>
    <row r="274" ht="12.75" customHeight="1">
      <c r="A274" t="s" s="216">
        <v>319</v>
      </c>
      <c r="B274" t="s" s="216">
        <v>666</v>
      </c>
      <c r="C274" t="s" s="216">
        <v>700</v>
      </c>
      <c r="D274" s="244">
        <v>42552</v>
      </c>
      <c r="E274" s="244">
        <v>42916</v>
      </c>
      <c r="F274" s="245">
        <v>16</v>
      </c>
      <c r="G274" s="245">
        <v>0</v>
      </c>
      <c r="H274" t="s" s="216">
        <v>659</v>
      </c>
      <c r="I274" s="245">
        <v>364</v>
      </c>
      <c r="J274" s="245">
        <v>90</v>
      </c>
      <c r="K274" s="246">
        <v>0.2472527472527473</v>
      </c>
      <c r="L274" s="244">
        <f>E274-I274*0.4</f>
        <v>42770.4</v>
      </c>
      <c r="M274" s="215"/>
      <c r="N274" s="215"/>
      <c r="O274" s="215"/>
      <c r="P274" s="215"/>
      <c r="Q274" s="215"/>
      <c r="R274" s="215"/>
    </row>
    <row r="275" ht="12.75" customHeight="1">
      <c r="A275" t="s" s="216">
        <v>319</v>
      </c>
      <c r="B275" t="s" s="216">
        <v>667</v>
      </c>
      <c r="C275" t="s" s="216">
        <v>727</v>
      </c>
      <c r="D275" s="244">
        <v>42614</v>
      </c>
      <c r="E275" s="244">
        <v>42978</v>
      </c>
      <c r="F275" s="245">
        <v>1</v>
      </c>
      <c r="G275" s="245">
        <v>0</v>
      </c>
      <c r="H275" t="s" s="216">
        <v>659</v>
      </c>
      <c r="I275" s="245">
        <v>364</v>
      </c>
      <c r="J275" s="245">
        <v>152</v>
      </c>
      <c r="K275" s="246">
        <v>0.4175824175824176</v>
      </c>
      <c r="L275" s="244">
        <f>E275-I275*0.4</f>
        <v>42832.4</v>
      </c>
      <c r="M275" s="215"/>
      <c r="N275" s="215"/>
      <c r="O275" s="215"/>
      <c r="P275" s="215"/>
      <c r="Q275" s="215"/>
      <c r="R275" s="215"/>
    </row>
    <row r="276" ht="12.75" customHeight="1">
      <c r="A276" t="s" s="216">
        <v>319</v>
      </c>
      <c r="B276" t="s" s="216">
        <v>668</v>
      </c>
      <c r="C276" t="s" s="216">
        <v>700</v>
      </c>
      <c r="D276" s="244">
        <v>42552</v>
      </c>
      <c r="E276" s="244">
        <v>42916</v>
      </c>
      <c r="F276" s="245">
        <v>96</v>
      </c>
      <c r="G276" s="245">
        <v>0</v>
      </c>
      <c r="H276" t="s" s="216">
        <v>659</v>
      </c>
      <c r="I276" s="245">
        <v>364</v>
      </c>
      <c r="J276" s="245">
        <v>90</v>
      </c>
      <c r="K276" s="246">
        <v>0.2472527472527473</v>
      </c>
      <c r="L276" s="244">
        <f>E276-I276*0.4</f>
        <v>42770.4</v>
      </c>
      <c r="M276" s="215"/>
      <c r="N276" s="215"/>
      <c r="O276" s="215"/>
      <c r="P276" s="215"/>
      <c r="Q276" s="215"/>
      <c r="R276" s="215"/>
    </row>
    <row r="277" ht="12.75" customHeight="1">
      <c r="A277" t="s" s="216">
        <v>319</v>
      </c>
      <c r="B277" t="s" s="216">
        <v>668</v>
      </c>
      <c r="C277" t="s" s="216">
        <v>701</v>
      </c>
      <c r="D277" s="244">
        <v>42583</v>
      </c>
      <c r="E277" s="244">
        <v>42947</v>
      </c>
      <c r="F277" s="245">
        <v>450</v>
      </c>
      <c r="G277" s="245">
        <v>0</v>
      </c>
      <c r="H277" t="s" s="216">
        <v>659</v>
      </c>
      <c r="I277" s="245">
        <v>364</v>
      </c>
      <c r="J277" s="245">
        <v>121</v>
      </c>
      <c r="K277" s="246">
        <v>0.3324175824175824</v>
      </c>
      <c r="L277" s="244">
        <f>E277-I277*0.4</f>
        <v>42801.4</v>
      </c>
      <c r="M277" s="215"/>
      <c r="N277" s="215"/>
      <c r="O277" s="215"/>
      <c r="P277" s="215"/>
      <c r="Q277" s="215"/>
      <c r="R277" s="215"/>
    </row>
    <row r="278" ht="12.75" customHeight="1">
      <c r="A278" t="s" s="216">
        <v>331</v>
      </c>
      <c r="B278" t="s" s="216">
        <v>657</v>
      </c>
      <c r="C278" t="s" s="216">
        <v>727</v>
      </c>
      <c r="D278" s="244">
        <v>42614</v>
      </c>
      <c r="E278" s="244">
        <v>42978</v>
      </c>
      <c r="F278" s="245">
        <v>2153</v>
      </c>
      <c r="G278" s="245">
        <v>0</v>
      </c>
      <c r="H278" t="s" s="216">
        <v>659</v>
      </c>
      <c r="I278" s="245">
        <v>364</v>
      </c>
      <c r="J278" s="245">
        <v>152</v>
      </c>
      <c r="K278" s="246">
        <v>0.4175824175824176</v>
      </c>
      <c r="L278" s="244">
        <f>E278-I278*0.4</f>
        <v>42832.4</v>
      </c>
      <c r="M278" s="215"/>
      <c r="N278" s="215"/>
      <c r="O278" s="215"/>
      <c r="P278" s="215"/>
      <c r="Q278" s="215"/>
      <c r="R278" s="215"/>
    </row>
    <row r="279" ht="12.75" customHeight="1">
      <c r="A279" t="s" s="216">
        <v>331</v>
      </c>
      <c r="B279" t="s" s="216">
        <v>657</v>
      </c>
      <c r="C279" t="s" s="216">
        <v>702</v>
      </c>
      <c r="D279" s="244">
        <v>42675</v>
      </c>
      <c r="E279" s="244">
        <v>43039</v>
      </c>
      <c r="F279" s="245">
        <v>60</v>
      </c>
      <c r="G279" s="245">
        <v>0</v>
      </c>
      <c r="H279" t="s" s="216">
        <v>659</v>
      </c>
      <c r="I279" s="245">
        <v>364</v>
      </c>
      <c r="J279" s="245">
        <v>213</v>
      </c>
      <c r="K279" s="246">
        <v>0.5851648351648352</v>
      </c>
      <c r="L279" s="244">
        <f>E279-I279*0.4</f>
        <v>42893.4</v>
      </c>
      <c r="M279" s="215"/>
      <c r="N279" s="215"/>
      <c r="O279" s="215"/>
      <c r="P279" s="215"/>
      <c r="Q279" s="215"/>
      <c r="R279" s="215"/>
    </row>
    <row r="280" ht="12.75" customHeight="1">
      <c r="A280" t="s" s="216">
        <v>331</v>
      </c>
      <c r="B280" t="s" s="216">
        <v>657</v>
      </c>
      <c r="C280" t="s" s="216">
        <v>701</v>
      </c>
      <c r="D280" s="244">
        <v>42583</v>
      </c>
      <c r="E280" s="244">
        <v>42947</v>
      </c>
      <c r="F280" s="245">
        <v>12</v>
      </c>
      <c r="G280" s="245">
        <v>0</v>
      </c>
      <c r="H280" t="s" s="216">
        <v>659</v>
      </c>
      <c r="I280" s="245">
        <v>364</v>
      </c>
      <c r="J280" s="245">
        <v>121</v>
      </c>
      <c r="K280" s="246">
        <v>0.3324175824175824</v>
      </c>
      <c r="L280" s="244">
        <f>E280-I280*0.4</f>
        <v>42801.4</v>
      </c>
      <c r="M280" s="215"/>
      <c r="N280" s="215"/>
      <c r="O280" s="215"/>
      <c r="P280" s="215"/>
      <c r="Q280" s="215"/>
      <c r="R280" s="215"/>
    </row>
    <row r="281" ht="12.75" customHeight="1">
      <c r="A281" t="s" s="216">
        <v>331</v>
      </c>
      <c r="B281" t="s" s="216">
        <v>657</v>
      </c>
      <c r="C281" t="s" s="216">
        <v>727</v>
      </c>
      <c r="D281" s="244">
        <v>42614</v>
      </c>
      <c r="E281" s="244">
        <v>42978</v>
      </c>
      <c r="F281" s="245">
        <v>2262</v>
      </c>
      <c r="G281" s="245">
        <v>0</v>
      </c>
      <c r="H281" t="s" s="216">
        <v>659</v>
      </c>
      <c r="I281" s="245">
        <v>364</v>
      </c>
      <c r="J281" s="245">
        <v>152</v>
      </c>
      <c r="K281" s="246">
        <v>0.4175824175824176</v>
      </c>
      <c r="L281" s="244">
        <f>E281-I281*0.4</f>
        <v>42832.4</v>
      </c>
      <c r="M281" s="215"/>
      <c r="N281" s="215"/>
      <c r="O281" s="215"/>
      <c r="P281" s="215"/>
      <c r="Q281" s="215"/>
      <c r="R281" s="215"/>
    </row>
    <row r="282" ht="12.75" customHeight="1">
      <c r="A282" t="s" s="216">
        <v>331</v>
      </c>
      <c r="B282" t="s" s="216">
        <v>657</v>
      </c>
      <c r="C282" t="s" s="216">
        <v>702</v>
      </c>
      <c r="D282" s="244">
        <v>42675</v>
      </c>
      <c r="E282" s="244">
        <v>43039</v>
      </c>
      <c r="F282" s="245">
        <v>2808</v>
      </c>
      <c r="G282" s="245">
        <v>0</v>
      </c>
      <c r="H282" t="s" s="216">
        <v>659</v>
      </c>
      <c r="I282" s="245">
        <v>364</v>
      </c>
      <c r="J282" s="245">
        <v>213</v>
      </c>
      <c r="K282" s="246">
        <v>0.5851648351648352</v>
      </c>
      <c r="L282" s="244">
        <f>E282-I282*0.4</f>
        <v>42893.4</v>
      </c>
      <c r="M282" s="215"/>
      <c r="N282" s="215"/>
      <c r="O282" s="215"/>
      <c r="P282" s="215"/>
      <c r="Q282" s="215"/>
      <c r="R282" s="215"/>
    </row>
    <row r="283" ht="12.75" customHeight="1">
      <c r="A283" t="s" s="216">
        <v>331</v>
      </c>
      <c r="B283" t="s" s="216">
        <v>666</v>
      </c>
      <c r="C283" t="s" s="216">
        <v>701</v>
      </c>
      <c r="D283" s="244">
        <v>42583</v>
      </c>
      <c r="E283" s="244">
        <v>42947</v>
      </c>
      <c r="F283" s="245">
        <v>108</v>
      </c>
      <c r="G283" s="245">
        <v>0</v>
      </c>
      <c r="H283" t="s" s="216">
        <v>659</v>
      </c>
      <c r="I283" s="245">
        <v>364</v>
      </c>
      <c r="J283" s="245">
        <v>121</v>
      </c>
      <c r="K283" s="246">
        <v>0.3324175824175824</v>
      </c>
      <c r="L283" s="244">
        <f>E283-I283*0.4</f>
        <v>42801.4</v>
      </c>
      <c r="M283" s="215"/>
      <c r="N283" s="215"/>
      <c r="O283" s="215"/>
      <c r="P283" s="215"/>
      <c r="Q283" s="215"/>
      <c r="R283" s="215"/>
    </row>
    <row r="284" ht="12.75" customHeight="1">
      <c r="A284" t="s" s="216">
        <v>331</v>
      </c>
      <c r="B284" t="s" s="216">
        <v>666</v>
      </c>
      <c r="C284" t="s" s="216">
        <v>727</v>
      </c>
      <c r="D284" s="244">
        <v>42614</v>
      </c>
      <c r="E284" s="244">
        <v>42978</v>
      </c>
      <c r="F284" s="245">
        <v>568</v>
      </c>
      <c r="G284" s="245">
        <v>0</v>
      </c>
      <c r="H284" t="s" s="216">
        <v>659</v>
      </c>
      <c r="I284" s="245">
        <v>364</v>
      </c>
      <c r="J284" s="245">
        <v>152</v>
      </c>
      <c r="K284" s="246">
        <v>0.4175824175824176</v>
      </c>
      <c r="L284" s="244">
        <f>E284-I284*0.4</f>
        <v>42832.4</v>
      </c>
      <c r="M284" s="215"/>
      <c r="N284" s="215"/>
      <c r="O284" s="215"/>
      <c r="P284" s="215"/>
      <c r="Q284" s="215"/>
      <c r="R284" s="215"/>
    </row>
    <row r="285" ht="12.75" customHeight="1">
      <c r="A285" t="s" s="216">
        <v>331</v>
      </c>
      <c r="B285" t="s" s="216">
        <v>667</v>
      </c>
      <c r="C285" t="s" s="216">
        <v>727</v>
      </c>
      <c r="D285" s="244">
        <v>42614</v>
      </c>
      <c r="E285" s="244">
        <v>42978</v>
      </c>
      <c r="F285" s="245">
        <v>2443</v>
      </c>
      <c r="G285" s="245">
        <v>0</v>
      </c>
      <c r="H285" t="s" s="216">
        <v>659</v>
      </c>
      <c r="I285" s="245">
        <v>364</v>
      </c>
      <c r="J285" s="245">
        <v>152</v>
      </c>
      <c r="K285" s="246">
        <v>0.4175824175824176</v>
      </c>
      <c r="L285" s="244">
        <f>E285-I285*0.4</f>
        <v>42832.4</v>
      </c>
      <c r="M285" s="215"/>
      <c r="N285" s="215"/>
      <c r="O285" s="215"/>
      <c r="P285" s="215"/>
      <c r="Q285" s="215"/>
      <c r="R285" s="215"/>
    </row>
    <row r="286" ht="12.75" customHeight="1">
      <c r="A286" t="s" s="216">
        <v>331</v>
      </c>
      <c r="B286" t="s" s="216">
        <v>668</v>
      </c>
      <c r="C286" t="s" s="216">
        <v>701</v>
      </c>
      <c r="D286" s="244">
        <v>42583</v>
      </c>
      <c r="E286" s="244">
        <v>42947</v>
      </c>
      <c r="F286" s="245">
        <v>85</v>
      </c>
      <c r="G286" s="245">
        <v>0</v>
      </c>
      <c r="H286" t="s" s="216">
        <v>659</v>
      </c>
      <c r="I286" s="245">
        <v>364</v>
      </c>
      <c r="J286" s="245">
        <v>121</v>
      </c>
      <c r="K286" s="246">
        <v>0.3324175824175824</v>
      </c>
      <c r="L286" s="244">
        <f>E286-I286*0.4</f>
        <v>42801.4</v>
      </c>
      <c r="M286" s="215"/>
      <c r="N286" s="215"/>
      <c r="O286" s="215"/>
      <c r="P286" s="215"/>
      <c r="Q286" s="215"/>
      <c r="R286" s="215"/>
    </row>
    <row r="287" ht="12.75" customHeight="1">
      <c r="A287" t="s" s="216">
        <v>564</v>
      </c>
      <c r="B287" t="s" s="216">
        <v>666</v>
      </c>
      <c r="C287" t="s" s="216">
        <v>727</v>
      </c>
      <c r="D287" s="244">
        <v>42614</v>
      </c>
      <c r="E287" s="244">
        <v>42978</v>
      </c>
      <c r="F287" s="245">
        <v>82</v>
      </c>
      <c r="G287" s="245">
        <v>0</v>
      </c>
      <c r="H287" t="s" s="216">
        <v>659</v>
      </c>
      <c r="I287" s="245">
        <v>364</v>
      </c>
      <c r="J287" s="245">
        <v>152</v>
      </c>
      <c r="K287" s="246">
        <v>0.4175824175824176</v>
      </c>
      <c r="L287" s="244">
        <f>E287-I287*0.4</f>
        <v>42832.4</v>
      </c>
      <c r="M287" s="215"/>
      <c r="N287" s="215"/>
      <c r="O287" s="215"/>
      <c r="P287" s="215"/>
      <c r="Q287" s="215"/>
      <c r="R287" s="215"/>
    </row>
    <row r="288" ht="12.75" customHeight="1">
      <c r="A288" t="s" s="216">
        <v>564</v>
      </c>
      <c r="B288" t="s" s="216">
        <v>667</v>
      </c>
      <c r="C288" t="s" s="216">
        <v>727</v>
      </c>
      <c r="D288" s="244">
        <v>42614</v>
      </c>
      <c r="E288" s="244">
        <v>42978</v>
      </c>
      <c r="F288" s="245">
        <v>10</v>
      </c>
      <c r="G288" s="245">
        <v>0</v>
      </c>
      <c r="H288" t="s" s="216">
        <v>659</v>
      </c>
      <c r="I288" s="245">
        <v>364</v>
      </c>
      <c r="J288" s="245">
        <v>152</v>
      </c>
      <c r="K288" s="246">
        <v>0.4175824175824176</v>
      </c>
      <c r="L288" s="244">
        <f>E288-I288*0.4</f>
        <v>42832.4</v>
      </c>
      <c r="M288" s="215"/>
      <c r="N288" s="215"/>
      <c r="O288" s="215"/>
      <c r="P288" s="215"/>
      <c r="Q288" s="215"/>
      <c r="R288" s="215"/>
    </row>
    <row r="289" ht="12.75" customHeight="1">
      <c r="A289" t="s" s="216">
        <v>564</v>
      </c>
      <c r="B289" t="s" s="216">
        <v>668</v>
      </c>
      <c r="C289" t="s" s="216">
        <v>727</v>
      </c>
      <c r="D289" s="244">
        <v>42614</v>
      </c>
      <c r="E289" s="244">
        <v>42978</v>
      </c>
      <c r="F289" s="245">
        <v>218</v>
      </c>
      <c r="G289" s="245">
        <v>0</v>
      </c>
      <c r="H289" t="s" s="216">
        <v>659</v>
      </c>
      <c r="I289" s="245">
        <v>364</v>
      </c>
      <c r="J289" s="245">
        <v>152</v>
      </c>
      <c r="K289" s="246">
        <v>0.4175824175824176</v>
      </c>
      <c r="L289" s="244">
        <f>E289-I289*0.4</f>
        <v>42832.4</v>
      </c>
      <c r="M289" s="215"/>
      <c r="N289" s="215"/>
      <c r="O289" s="215"/>
      <c r="P289" s="215"/>
      <c r="Q289" s="215"/>
      <c r="R289" s="215"/>
    </row>
    <row r="290" ht="12.75" customHeight="1">
      <c r="A290" t="s" s="216">
        <v>343</v>
      </c>
      <c r="B290" t="s" s="216">
        <v>657</v>
      </c>
      <c r="C290" t="s" s="216">
        <v>727</v>
      </c>
      <c r="D290" s="244">
        <v>42614</v>
      </c>
      <c r="E290" s="244">
        <v>42978</v>
      </c>
      <c r="F290" s="245">
        <v>557</v>
      </c>
      <c r="G290" s="245">
        <v>0</v>
      </c>
      <c r="H290" t="s" s="216">
        <v>659</v>
      </c>
      <c r="I290" s="245">
        <v>364</v>
      </c>
      <c r="J290" s="245">
        <v>152</v>
      </c>
      <c r="K290" s="246">
        <v>0.4175824175824176</v>
      </c>
      <c r="L290" s="244">
        <f>E290-I290*0.4</f>
        <v>42832.4</v>
      </c>
      <c r="M290" s="215"/>
      <c r="N290" s="215"/>
      <c r="O290" s="215"/>
      <c r="P290" s="215"/>
      <c r="Q290" s="215"/>
      <c r="R290" s="215"/>
    </row>
    <row r="291" ht="12.75" customHeight="1">
      <c r="A291" t="s" s="216">
        <v>343</v>
      </c>
      <c r="B291" t="s" s="216">
        <v>666</v>
      </c>
      <c r="C291" t="s" s="216">
        <v>701</v>
      </c>
      <c r="D291" s="244">
        <v>42583</v>
      </c>
      <c r="E291" s="244">
        <v>42947</v>
      </c>
      <c r="F291" s="245">
        <v>80</v>
      </c>
      <c r="G291" s="245">
        <v>0</v>
      </c>
      <c r="H291" t="s" s="216">
        <v>659</v>
      </c>
      <c r="I291" s="245">
        <v>364</v>
      </c>
      <c r="J291" s="245">
        <v>121</v>
      </c>
      <c r="K291" s="246">
        <v>0.3324175824175824</v>
      </c>
      <c r="L291" s="244">
        <f>E291-I291*0.4</f>
        <v>42801.4</v>
      </c>
      <c r="M291" s="215"/>
      <c r="N291" s="215"/>
      <c r="O291" s="215"/>
      <c r="P291" s="215"/>
      <c r="Q291" s="215"/>
      <c r="R291" s="215"/>
    </row>
    <row r="292" ht="12.75" customHeight="1">
      <c r="A292" t="s" s="216">
        <v>343</v>
      </c>
      <c r="B292" t="s" s="216">
        <v>666</v>
      </c>
      <c r="C292" t="s" s="216">
        <v>727</v>
      </c>
      <c r="D292" s="244">
        <v>42614</v>
      </c>
      <c r="E292" s="244">
        <v>42978</v>
      </c>
      <c r="F292" s="245">
        <v>100</v>
      </c>
      <c r="G292" s="245">
        <v>0</v>
      </c>
      <c r="H292" t="s" s="216">
        <v>659</v>
      </c>
      <c r="I292" s="245">
        <v>364</v>
      </c>
      <c r="J292" s="245">
        <v>152</v>
      </c>
      <c r="K292" s="246">
        <v>0.4175824175824176</v>
      </c>
      <c r="L292" s="244">
        <f>E292-I292*0.4</f>
        <v>42832.4</v>
      </c>
      <c r="M292" s="215"/>
      <c r="N292" s="215"/>
      <c r="O292" s="215"/>
      <c r="P292" s="215"/>
      <c r="Q292" s="215"/>
      <c r="R292" s="215"/>
    </row>
    <row r="293" ht="12.75" customHeight="1">
      <c r="A293" t="s" s="216">
        <v>343</v>
      </c>
      <c r="B293" t="s" s="216">
        <v>667</v>
      </c>
      <c r="C293" t="s" s="216">
        <v>727</v>
      </c>
      <c r="D293" s="244">
        <v>42614</v>
      </c>
      <c r="E293" s="244">
        <v>42978</v>
      </c>
      <c r="F293" s="245">
        <v>30</v>
      </c>
      <c r="G293" s="245">
        <v>0</v>
      </c>
      <c r="H293" t="s" s="216">
        <v>659</v>
      </c>
      <c r="I293" s="245">
        <v>364</v>
      </c>
      <c r="J293" s="245">
        <v>152</v>
      </c>
      <c r="K293" s="246">
        <v>0.4175824175824176</v>
      </c>
      <c r="L293" s="244">
        <f>E293-I293*0.4</f>
        <v>42832.4</v>
      </c>
      <c r="M293" s="215"/>
      <c r="N293" s="215"/>
      <c r="O293" s="215"/>
      <c r="P293" s="215"/>
      <c r="Q293" s="215"/>
      <c r="R293" s="215"/>
    </row>
    <row r="294" ht="12.75" customHeight="1">
      <c r="A294" t="s" s="216">
        <v>355</v>
      </c>
      <c r="B294" t="s" s="216">
        <v>657</v>
      </c>
      <c r="C294" t="s" s="216">
        <v>700</v>
      </c>
      <c r="D294" s="244">
        <v>42552</v>
      </c>
      <c r="E294" s="244">
        <v>42916</v>
      </c>
      <c r="F294" s="245">
        <v>12</v>
      </c>
      <c r="G294" s="245">
        <v>0</v>
      </c>
      <c r="H294" t="s" s="216">
        <v>659</v>
      </c>
      <c r="I294" s="245">
        <v>364</v>
      </c>
      <c r="J294" s="245">
        <v>90</v>
      </c>
      <c r="K294" s="246">
        <v>0.2472527472527473</v>
      </c>
      <c r="L294" s="244">
        <f>E294-I294*0.4</f>
        <v>42770.4</v>
      </c>
      <c r="M294" s="215"/>
      <c r="N294" s="215"/>
      <c r="O294" s="215"/>
      <c r="P294" s="215"/>
      <c r="Q294" s="215"/>
      <c r="R294" s="215"/>
    </row>
    <row r="295" ht="12.75" customHeight="1">
      <c r="A295" t="s" s="216">
        <v>355</v>
      </c>
      <c r="B295" t="s" s="216">
        <v>657</v>
      </c>
      <c r="C295" t="s" s="216">
        <v>701</v>
      </c>
      <c r="D295" s="244">
        <v>42583</v>
      </c>
      <c r="E295" s="244">
        <v>42947</v>
      </c>
      <c r="F295" s="245">
        <v>1338</v>
      </c>
      <c r="G295" s="245">
        <v>0</v>
      </c>
      <c r="H295" t="s" s="216">
        <v>659</v>
      </c>
      <c r="I295" s="245">
        <v>364</v>
      </c>
      <c r="J295" s="245">
        <v>121</v>
      </c>
      <c r="K295" s="246">
        <v>0.3324175824175824</v>
      </c>
      <c r="L295" s="244">
        <f>E295-I295*0.4</f>
        <v>42801.4</v>
      </c>
      <c r="M295" s="215"/>
      <c r="N295" s="215"/>
      <c r="O295" s="215"/>
      <c r="P295" s="215"/>
      <c r="Q295" s="215"/>
      <c r="R295" s="215"/>
    </row>
    <row r="296" ht="12.75" customHeight="1">
      <c r="A296" t="s" s="216">
        <v>355</v>
      </c>
      <c r="B296" t="s" s="216">
        <v>666</v>
      </c>
      <c r="C296" t="s" s="216">
        <v>726</v>
      </c>
      <c r="D296" s="244">
        <v>42522</v>
      </c>
      <c r="E296" s="244">
        <v>42886</v>
      </c>
      <c r="F296" s="245">
        <v>401</v>
      </c>
      <c r="G296" s="245">
        <v>0</v>
      </c>
      <c r="H296" t="s" s="216">
        <v>659</v>
      </c>
      <c r="I296" s="245">
        <v>364</v>
      </c>
      <c r="J296" s="245">
        <v>60</v>
      </c>
      <c r="K296" s="246">
        <v>0.1648351648351648</v>
      </c>
      <c r="L296" s="244">
        <f>E296-I296*0.4</f>
        <v>42740.4</v>
      </c>
      <c r="M296" s="215"/>
      <c r="N296" s="215"/>
      <c r="O296" s="215"/>
      <c r="P296" s="215"/>
      <c r="Q296" s="215"/>
      <c r="R296" s="215"/>
    </row>
    <row r="297" ht="12.75" customHeight="1">
      <c r="A297" t="s" s="216">
        <v>355</v>
      </c>
      <c r="B297" t="s" s="216">
        <v>666</v>
      </c>
      <c r="C297" t="s" s="216">
        <v>700</v>
      </c>
      <c r="D297" s="244">
        <v>42552</v>
      </c>
      <c r="E297" s="244">
        <v>42916</v>
      </c>
      <c r="F297" s="245">
        <v>38</v>
      </c>
      <c r="G297" s="245">
        <v>0</v>
      </c>
      <c r="H297" t="s" s="216">
        <v>659</v>
      </c>
      <c r="I297" s="245">
        <v>364</v>
      </c>
      <c r="J297" s="245">
        <v>90</v>
      </c>
      <c r="K297" s="246">
        <v>0.2472527472527473</v>
      </c>
      <c r="L297" s="244">
        <f>E297-I297*0.4</f>
        <v>42770.4</v>
      </c>
      <c r="M297" s="215"/>
      <c r="N297" s="215"/>
      <c r="O297" s="215"/>
      <c r="P297" s="215"/>
      <c r="Q297" s="215"/>
      <c r="R297" s="215"/>
    </row>
    <row r="298" ht="12.75" customHeight="1">
      <c r="A298" t="s" s="216">
        <v>355</v>
      </c>
      <c r="B298" t="s" s="216">
        <v>666</v>
      </c>
      <c r="C298" t="s" s="216">
        <v>701</v>
      </c>
      <c r="D298" s="244">
        <v>42583</v>
      </c>
      <c r="E298" s="244">
        <v>42947</v>
      </c>
      <c r="F298" s="245">
        <v>892</v>
      </c>
      <c r="G298" s="245">
        <v>0</v>
      </c>
      <c r="H298" t="s" s="216">
        <v>659</v>
      </c>
      <c r="I298" s="245">
        <v>364</v>
      </c>
      <c r="J298" s="245">
        <v>121</v>
      </c>
      <c r="K298" s="246">
        <v>0.3324175824175824</v>
      </c>
      <c r="L298" s="244">
        <f>E298-I298*0.4</f>
        <v>42801.4</v>
      </c>
      <c r="M298" s="215"/>
      <c r="N298" s="215"/>
      <c r="O298" s="215"/>
      <c r="P298" s="215"/>
      <c r="Q298" s="215"/>
      <c r="R298" s="215"/>
    </row>
    <row r="299" ht="12.75" customHeight="1">
      <c r="A299" t="s" s="216">
        <v>355</v>
      </c>
      <c r="B299" t="s" s="216">
        <v>667</v>
      </c>
      <c r="C299" t="s" s="216">
        <v>701</v>
      </c>
      <c r="D299" s="244">
        <v>42583</v>
      </c>
      <c r="E299" s="244">
        <v>42947</v>
      </c>
      <c r="F299" s="245">
        <v>155</v>
      </c>
      <c r="G299" s="245">
        <v>0</v>
      </c>
      <c r="H299" t="s" s="216">
        <v>659</v>
      </c>
      <c r="I299" s="245">
        <v>364</v>
      </c>
      <c r="J299" s="245">
        <v>121</v>
      </c>
      <c r="K299" s="246">
        <v>0.3324175824175824</v>
      </c>
      <c r="L299" s="244">
        <f>E299-I299*0.4</f>
        <v>42801.4</v>
      </c>
      <c r="M299" s="215"/>
      <c r="N299" s="215"/>
      <c r="O299" s="215"/>
      <c r="P299" s="215"/>
      <c r="Q299" s="215"/>
      <c r="R299" s="215"/>
    </row>
    <row r="300" ht="12.75" customHeight="1">
      <c r="A300" t="s" s="216">
        <v>355</v>
      </c>
      <c r="B300" t="s" s="216">
        <v>668</v>
      </c>
      <c r="C300" t="s" s="216">
        <v>700</v>
      </c>
      <c r="D300" s="244">
        <v>42552</v>
      </c>
      <c r="E300" s="244">
        <v>42916</v>
      </c>
      <c r="F300" s="245">
        <v>264</v>
      </c>
      <c r="G300" s="245">
        <v>0</v>
      </c>
      <c r="H300" t="s" s="216">
        <v>659</v>
      </c>
      <c r="I300" s="245">
        <v>364</v>
      </c>
      <c r="J300" s="245">
        <v>90</v>
      </c>
      <c r="K300" s="246">
        <v>0.2472527472527473</v>
      </c>
      <c r="L300" s="244">
        <f>E300-I300*0.4</f>
        <v>42770.4</v>
      </c>
      <c r="M300" s="215"/>
      <c r="N300" s="215"/>
      <c r="O300" s="215"/>
      <c r="P300" s="215"/>
      <c r="Q300" s="215"/>
      <c r="R300" s="215"/>
    </row>
    <row r="301" ht="12.75" customHeight="1">
      <c r="A301" t="s" s="216">
        <v>565</v>
      </c>
      <c r="B301" t="s" s="216">
        <v>657</v>
      </c>
      <c r="C301" t="s" s="216">
        <v>727</v>
      </c>
      <c r="D301" s="244">
        <v>42614</v>
      </c>
      <c r="E301" s="244">
        <v>42978</v>
      </c>
      <c r="F301" s="245">
        <v>30</v>
      </c>
      <c r="G301" s="245">
        <v>0</v>
      </c>
      <c r="H301" t="s" s="216">
        <v>659</v>
      </c>
      <c r="I301" s="245">
        <v>364</v>
      </c>
      <c r="J301" s="245">
        <v>152</v>
      </c>
      <c r="K301" s="246">
        <v>0.4175824175824176</v>
      </c>
      <c r="L301" s="244">
        <f>E301-I301*0.4</f>
        <v>42832.4</v>
      </c>
      <c r="M301" s="215"/>
      <c r="N301" s="215"/>
      <c r="O301" s="215"/>
      <c r="P301" s="215"/>
      <c r="Q301" s="215"/>
      <c r="R301" s="215"/>
    </row>
    <row r="302" ht="12.75" customHeight="1">
      <c r="A302" t="s" s="216">
        <v>565</v>
      </c>
      <c r="B302" t="s" s="216">
        <v>657</v>
      </c>
      <c r="C302" t="s" s="216">
        <v>726</v>
      </c>
      <c r="D302" s="244">
        <v>42522</v>
      </c>
      <c r="E302" s="244">
        <v>42886</v>
      </c>
      <c r="F302" s="245">
        <v>40</v>
      </c>
      <c r="G302" s="245">
        <v>0</v>
      </c>
      <c r="H302" t="s" s="216">
        <v>659</v>
      </c>
      <c r="I302" s="245">
        <v>364</v>
      </c>
      <c r="J302" s="245">
        <v>60</v>
      </c>
      <c r="K302" s="246">
        <v>0.1648351648351648</v>
      </c>
      <c r="L302" s="244">
        <f>E302-I302*0.4</f>
        <v>42740.4</v>
      </c>
      <c r="M302" s="215"/>
      <c r="N302" s="215"/>
      <c r="O302" s="215"/>
      <c r="P302" s="215"/>
      <c r="Q302" s="215"/>
      <c r="R302" s="215"/>
    </row>
    <row r="303" ht="12.75" customHeight="1">
      <c r="A303" t="s" s="216">
        <v>565</v>
      </c>
      <c r="B303" t="s" s="216">
        <v>657</v>
      </c>
      <c r="C303" t="s" s="216">
        <v>701</v>
      </c>
      <c r="D303" s="244">
        <v>42583</v>
      </c>
      <c r="E303" s="244">
        <v>42947</v>
      </c>
      <c r="F303" s="245">
        <v>70</v>
      </c>
      <c r="G303" s="245">
        <v>0</v>
      </c>
      <c r="H303" t="s" s="216">
        <v>659</v>
      </c>
      <c r="I303" s="245">
        <v>364</v>
      </c>
      <c r="J303" s="245">
        <v>121</v>
      </c>
      <c r="K303" s="246">
        <v>0.3324175824175824</v>
      </c>
      <c r="L303" s="244">
        <f>E303-I303*0.4</f>
        <v>42801.4</v>
      </c>
      <c r="M303" s="215"/>
      <c r="N303" s="215"/>
      <c r="O303" s="215"/>
      <c r="P303" s="215"/>
      <c r="Q303" s="215"/>
      <c r="R303" s="215"/>
    </row>
    <row r="304" ht="12.75" customHeight="1">
      <c r="A304" t="s" s="216">
        <v>565</v>
      </c>
      <c r="B304" t="s" s="216">
        <v>666</v>
      </c>
      <c r="C304" t="s" s="216">
        <v>701</v>
      </c>
      <c r="D304" s="244">
        <v>42583</v>
      </c>
      <c r="E304" s="244">
        <v>42947</v>
      </c>
      <c r="F304" s="245">
        <v>3276</v>
      </c>
      <c r="G304" s="245">
        <v>0</v>
      </c>
      <c r="H304" t="s" s="216">
        <v>659</v>
      </c>
      <c r="I304" s="245">
        <v>364</v>
      </c>
      <c r="J304" s="245">
        <v>121</v>
      </c>
      <c r="K304" s="246">
        <v>0.3324175824175824</v>
      </c>
      <c r="L304" s="244">
        <f>E304-I304*0.4</f>
        <v>42801.4</v>
      </c>
      <c r="M304" s="215"/>
      <c r="N304" s="215"/>
      <c r="O304" s="215"/>
      <c r="P304" s="215"/>
      <c r="Q304" s="215"/>
      <c r="R304" s="215"/>
    </row>
    <row r="305" ht="12.75" customHeight="1">
      <c r="A305" t="s" s="216">
        <v>565</v>
      </c>
      <c r="B305" t="s" s="216">
        <v>666</v>
      </c>
      <c r="C305" t="s" s="216">
        <v>727</v>
      </c>
      <c r="D305" s="244">
        <v>42614</v>
      </c>
      <c r="E305" s="244">
        <v>42978</v>
      </c>
      <c r="F305" s="245">
        <v>2</v>
      </c>
      <c r="G305" s="245">
        <v>0</v>
      </c>
      <c r="H305" t="s" s="216">
        <v>659</v>
      </c>
      <c r="I305" s="245">
        <v>364</v>
      </c>
      <c r="J305" s="245">
        <v>152</v>
      </c>
      <c r="K305" s="246">
        <v>0.4175824175824176</v>
      </c>
      <c r="L305" s="244">
        <f>E305-I305*0.4</f>
        <v>42832.4</v>
      </c>
      <c r="M305" s="215"/>
      <c r="N305" s="215"/>
      <c r="O305" s="215"/>
      <c r="P305" s="215"/>
      <c r="Q305" s="215"/>
      <c r="R305" s="215"/>
    </row>
    <row r="306" ht="12.75" customHeight="1">
      <c r="A306" t="s" s="216">
        <v>565</v>
      </c>
      <c r="B306" t="s" s="216">
        <v>667</v>
      </c>
      <c r="C306" t="s" s="216">
        <v>700</v>
      </c>
      <c r="D306" s="244">
        <v>42552</v>
      </c>
      <c r="E306" s="244">
        <v>42916</v>
      </c>
      <c r="F306" s="245">
        <v>0</v>
      </c>
      <c r="G306" s="245">
        <v>0</v>
      </c>
      <c r="H306" t="s" s="216">
        <v>659</v>
      </c>
      <c r="I306" s="245">
        <v>364</v>
      </c>
      <c r="J306" s="245">
        <v>90</v>
      </c>
      <c r="K306" s="246">
        <v>0.2472527472527473</v>
      </c>
      <c r="L306" s="244">
        <f>E306-I306*0.4</f>
        <v>42770.4</v>
      </c>
      <c r="M306" s="215"/>
      <c r="N306" s="215"/>
      <c r="O306" s="215"/>
      <c r="P306" s="215"/>
      <c r="Q306" s="215"/>
      <c r="R306" s="215"/>
    </row>
    <row r="307" ht="12.75" customHeight="1">
      <c r="A307" t="s" s="216">
        <v>565</v>
      </c>
      <c r="B307" t="s" s="216">
        <v>667</v>
      </c>
      <c r="C307" t="s" s="216">
        <v>701</v>
      </c>
      <c r="D307" s="244">
        <v>42583</v>
      </c>
      <c r="E307" s="244">
        <v>42947</v>
      </c>
      <c r="F307" s="245">
        <v>498</v>
      </c>
      <c r="G307" s="245">
        <v>0</v>
      </c>
      <c r="H307" t="s" s="216">
        <v>659</v>
      </c>
      <c r="I307" s="245">
        <v>364</v>
      </c>
      <c r="J307" s="245">
        <v>121</v>
      </c>
      <c r="K307" s="246">
        <v>0.3324175824175824</v>
      </c>
      <c r="L307" s="244">
        <f>E307-I307*0.4</f>
        <v>42801.4</v>
      </c>
      <c r="M307" s="215"/>
      <c r="N307" s="215"/>
      <c r="O307" s="215"/>
      <c r="P307" s="215"/>
      <c r="Q307" s="215"/>
      <c r="R307" s="215"/>
    </row>
    <row r="308" ht="12.75" customHeight="1">
      <c r="A308" t="s" s="216">
        <v>565</v>
      </c>
      <c r="B308" t="s" s="216">
        <v>667</v>
      </c>
      <c r="C308" t="s" s="216">
        <v>727</v>
      </c>
      <c r="D308" s="244">
        <v>42614</v>
      </c>
      <c r="E308" s="244">
        <v>42978</v>
      </c>
      <c r="F308" s="245">
        <v>80</v>
      </c>
      <c r="G308" s="245">
        <v>0</v>
      </c>
      <c r="H308" t="s" s="216">
        <v>659</v>
      </c>
      <c r="I308" s="245">
        <v>364</v>
      </c>
      <c r="J308" s="245">
        <v>152</v>
      </c>
      <c r="K308" s="246">
        <v>0.4175824175824176</v>
      </c>
      <c r="L308" s="244">
        <f>E308-I308*0.4</f>
        <v>42832.4</v>
      </c>
      <c r="M308" s="215"/>
      <c r="N308" s="215"/>
      <c r="O308" s="215"/>
      <c r="P308" s="215"/>
      <c r="Q308" s="215"/>
      <c r="R308" s="215"/>
    </row>
    <row r="309" ht="12.75" customHeight="1">
      <c r="A309" t="s" s="216">
        <v>566</v>
      </c>
      <c r="B309" t="s" s="216">
        <v>657</v>
      </c>
      <c r="C309" t="s" s="216">
        <v>727</v>
      </c>
      <c r="D309" s="244">
        <v>42614</v>
      </c>
      <c r="E309" s="244">
        <v>42978</v>
      </c>
      <c r="F309" s="245">
        <v>10</v>
      </c>
      <c r="G309" s="245">
        <v>0</v>
      </c>
      <c r="H309" t="s" s="216">
        <v>659</v>
      </c>
      <c r="I309" s="245">
        <v>364</v>
      </c>
      <c r="J309" s="245">
        <v>152</v>
      </c>
      <c r="K309" s="246">
        <v>0.4175824175824176</v>
      </c>
      <c r="L309" s="244">
        <f>E309-I309*0.4</f>
        <v>42832.4</v>
      </c>
      <c r="M309" s="215"/>
      <c r="N309" s="215"/>
      <c r="O309" s="215"/>
      <c r="P309" s="215"/>
      <c r="Q309" s="215"/>
      <c r="R309" s="215"/>
    </row>
    <row r="310" ht="12.75" customHeight="1">
      <c r="A310" t="s" s="216">
        <v>566</v>
      </c>
      <c r="B310" t="s" s="216">
        <v>657</v>
      </c>
      <c r="C310" t="s" s="216">
        <v>701</v>
      </c>
      <c r="D310" s="244">
        <v>42583</v>
      </c>
      <c r="E310" s="244">
        <v>42947</v>
      </c>
      <c r="F310" s="245">
        <v>40</v>
      </c>
      <c r="G310" s="245">
        <v>0</v>
      </c>
      <c r="H310" t="s" s="216">
        <v>659</v>
      </c>
      <c r="I310" s="245">
        <v>364</v>
      </c>
      <c r="J310" s="245">
        <v>121</v>
      </c>
      <c r="K310" s="246">
        <v>0.3324175824175824</v>
      </c>
      <c r="L310" s="244">
        <f>E310-I310*0.4</f>
        <v>42801.4</v>
      </c>
      <c r="M310" s="215"/>
      <c r="N310" s="215"/>
      <c r="O310" s="215"/>
      <c r="P310" s="215"/>
      <c r="Q310" s="215"/>
      <c r="R310" s="215"/>
    </row>
    <row r="311" ht="12.75" customHeight="1">
      <c r="A311" t="s" s="216">
        <v>566</v>
      </c>
      <c r="B311" t="s" s="216">
        <v>657</v>
      </c>
      <c r="C311" t="s" s="216">
        <v>727</v>
      </c>
      <c r="D311" s="244">
        <v>42614</v>
      </c>
      <c r="E311" s="244">
        <v>42978</v>
      </c>
      <c r="F311" s="245">
        <v>30</v>
      </c>
      <c r="G311" s="245">
        <v>0</v>
      </c>
      <c r="H311" t="s" s="216">
        <v>659</v>
      </c>
      <c r="I311" s="245">
        <v>364</v>
      </c>
      <c r="J311" s="245">
        <v>152</v>
      </c>
      <c r="K311" s="246">
        <v>0.4175824175824176</v>
      </c>
      <c r="L311" s="244">
        <f>E311-I311*0.4</f>
        <v>42832.4</v>
      </c>
      <c r="M311" s="215"/>
      <c r="N311" s="215"/>
      <c r="O311" s="215"/>
      <c r="P311" s="215"/>
      <c r="Q311" s="215"/>
      <c r="R311" s="215"/>
    </row>
    <row r="312" ht="12.75" customHeight="1">
      <c r="A312" t="s" s="216">
        <v>566</v>
      </c>
      <c r="B312" t="s" s="216">
        <v>666</v>
      </c>
      <c r="C312" t="s" s="216">
        <v>727</v>
      </c>
      <c r="D312" s="244">
        <v>42614</v>
      </c>
      <c r="E312" s="244">
        <v>42978</v>
      </c>
      <c r="F312" s="245">
        <v>114</v>
      </c>
      <c r="G312" s="245">
        <v>0</v>
      </c>
      <c r="H312" t="s" s="216">
        <v>659</v>
      </c>
      <c r="I312" s="245">
        <v>364</v>
      </c>
      <c r="J312" s="245">
        <v>152</v>
      </c>
      <c r="K312" s="246">
        <v>0.4175824175824176</v>
      </c>
      <c r="L312" s="244">
        <f>E312-I312*0.4</f>
        <v>42832.4</v>
      </c>
      <c r="M312" s="215"/>
      <c r="N312" s="215"/>
      <c r="O312" s="215"/>
      <c r="P312" s="215"/>
      <c r="Q312" s="215"/>
      <c r="R312" s="215"/>
    </row>
    <row r="313" ht="12.75" customHeight="1">
      <c r="A313" t="s" s="216">
        <v>566</v>
      </c>
      <c r="B313" t="s" s="216">
        <v>667</v>
      </c>
      <c r="C313" t="s" s="216">
        <v>701</v>
      </c>
      <c r="D313" s="244">
        <v>42583</v>
      </c>
      <c r="E313" s="244">
        <v>42947</v>
      </c>
      <c r="F313" s="245">
        <v>0</v>
      </c>
      <c r="G313" s="245">
        <v>0</v>
      </c>
      <c r="H313" t="s" s="216">
        <v>659</v>
      </c>
      <c r="I313" s="245">
        <v>364</v>
      </c>
      <c r="J313" s="245">
        <v>121</v>
      </c>
      <c r="K313" s="246">
        <v>0.3324175824175824</v>
      </c>
      <c r="L313" s="244">
        <f>E313-I313*0.4</f>
        <v>42801.4</v>
      </c>
      <c r="M313" s="215"/>
      <c r="N313" s="215"/>
      <c r="O313" s="215"/>
      <c r="P313" s="215"/>
      <c r="Q313" s="215"/>
      <c r="R313" s="215"/>
    </row>
    <row r="314" ht="12.75" customHeight="1">
      <c r="A314" t="s" s="216">
        <v>566</v>
      </c>
      <c r="B314" t="s" s="216">
        <v>667</v>
      </c>
      <c r="C314" t="s" s="216">
        <v>727</v>
      </c>
      <c r="D314" s="244">
        <v>42614</v>
      </c>
      <c r="E314" s="244">
        <v>42978</v>
      </c>
      <c r="F314" s="245">
        <v>22</v>
      </c>
      <c r="G314" s="245">
        <v>0</v>
      </c>
      <c r="H314" t="s" s="216">
        <v>659</v>
      </c>
      <c r="I314" s="245">
        <v>364</v>
      </c>
      <c r="J314" s="245">
        <v>152</v>
      </c>
      <c r="K314" s="246">
        <v>0.4175824175824176</v>
      </c>
      <c r="L314" s="244">
        <f>E314-I314*0.4</f>
        <v>42832.4</v>
      </c>
      <c r="M314" s="215"/>
      <c r="N314" s="215"/>
      <c r="O314" s="215"/>
      <c r="P314" s="215"/>
      <c r="Q314" s="215"/>
      <c r="R314" s="215"/>
    </row>
    <row r="315" ht="12.75" customHeight="1">
      <c r="A315" t="s" s="216">
        <v>567</v>
      </c>
      <c r="B315" t="s" s="216">
        <v>657</v>
      </c>
      <c r="C315" t="s" s="216">
        <v>728</v>
      </c>
      <c r="D315" s="244">
        <v>42538</v>
      </c>
      <c r="E315" s="244">
        <v>42902</v>
      </c>
      <c r="F315" s="245">
        <v>3</v>
      </c>
      <c r="G315" s="245">
        <v>0</v>
      </c>
      <c r="H315" t="s" s="216">
        <v>659</v>
      </c>
      <c r="I315" s="245">
        <v>364</v>
      </c>
      <c r="J315" s="245">
        <v>76</v>
      </c>
      <c r="K315" s="246">
        <v>0.2087912087912088</v>
      </c>
      <c r="L315" s="244">
        <f>E315-I315*0.4</f>
        <v>42756.4</v>
      </c>
      <c r="M315" s="215"/>
      <c r="N315" s="215"/>
      <c r="O315" s="215"/>
      <c r="P315" s="215"/>
      <c r="Q315" s="215"/>
      <c r="R315" s="215"/>
    </row>
    <row r="316" ht="12.75" customHeight="1">
      <c r="A316" t="s" s="216">
        <v>567</v>
      </c>
      <c r="B316" t="s" s="216">
        <v>657</v>
      </c>
      <c r="C316" t="s" s="216">
        <v>728</v>
      </c>
      <c r="D316" s="244">
        <v>42538</v>
      </c>
      <c r="E316" s="244">
        <v>42902</v>
      </c>
      <c r="F316" s="245">
        <v>80</v>
      </c>
      <c r="G316" s="245">
        <v>0</v>
      </c>
      <c r="H316" t="s" s="216">
        <v>659</v>
      </c>
      <c r="I316" s="245">
        <v>364</v>
      </c>
      <c r="J316" s="245">
        <v>76</v>
      </c>
      <c r="K316" s="246">
        <v>0.2087912087912088</v>
      </c>
      <c r="L316" s="244">
        <f>E316-I316*0.4</f>
        <v>42756.4</v>
      </c>
      <c r="M316" s="215"/>
      <c r="N316" s="215"/>
      <c r="O316" s="215"/>
      <c r="P316" s="215"/>
      <c r="Q316" s="215"/>
      <c r="R316" s="215"/>
    </row>
    <row r="317" ht="12.75" customHeight="1">
      <c r="A317" t="s" s="216">
        <v>567</v>
      </c>
      <c r="B317" t="s" s="216">
        <v>666</v>
      </c>
      <c r="C317" t="s" s="216">
        <v>731</v>
      </c>
      <c r="D317" s="244">
        <v>42517</v>
      </c>
      <c r="E317" s="244">
        <v>42881</v>
      </c>
      <c r="F317" s="245">
        <v>7</v>
      </c>
      <c r="G317" s="245">
        <v>0</v>
      </c>
      <c r="H317" t="s" s="216">
        <v>659</v>
      </c>
      <c r="I317" s="245">
        <v>364</v>
      </c>
      <c r="J317" s="245">
        <v>55</v>
      </c>
      <c r="K317" s="246">
        <v>0.1510989010989011</v>
      </c>
      <c r="L317" s="244">
        <f>E317-I317*0.4</f>
        <v>42735.4</v>
      </c>
      <c r="M317" s="215"/>
      <c r="N317" s="215"/>
      <c r="O317" s="215"/>
      <c r="P317" s="215"/>
      <c r="Q317" s="215"/>
      <c r="R317" s="215"/>
    </row>
    <row r="318" ht="12.75" customHeight="1">
      <c r="A318" t="s" s="216">
        <v>567</v>
      </c>
      <c r="B318" t="s" s="216">
        <v>666</v>
      </c>
      <c r="C318" t="s" s="216">
        <v>728</v>
      </c>
      <c r="D318" s="244">
        <v>42538</v>
      </c>
      <c r="E318" s="244">
        <v>42902</v>
      </c>
      <c r="F318" s="245">
        <v>107</v>
      </c>
      <c r="G318" s="245">
        <v>0</v>
      </c>
      <c r="H318" t="s" s="216">
        <v>659</v>
      </c>
      <c r="I318" s="245">
        <v>364</v>
      </c>
      <c r="J318" s="245">
        <v>76</v>
      </c>
      <c r="K318" s="246">
        <v>0.2087912087912088</v>
      </c>
      <c r="L318" s="244">
        <f>E318-I318*0.4</f>
        <v>42756.4</v>
      </c>
      <c r="M318" s="215"/>
      <c r="N318" s="215"/>
      <c r="O318" s="215"/>
      <c r="P318" s="215"/>
      <c r="Q318" s="215"/>
      <c r="R318" s="215"/>
    </row>
    <row r="319" ht="12.75" customHeight="1">
      <c r="A319" t="s" s="216">
        <v>567</v>
      </c>
      <c r="B319" t="s" s="216">
        <v>666</v>
      </c>
      <c r="C319" t="s" s="216">
        <v>729</v>
      </c>
      <c r="D319" s="244">
        <v>42572</v>
      </c>
      <c r="E319" s="244">
        <v>42936</v>
      </c>
      <c r="F319" s="245">
        <v>92</v>
      </c>
      <c r="G319" s="245">
        <v>0</v>
      </c>
      <c r="H319" t="s" s="216">
        <v>659</v>
      </c>
      <c r="I319" s="245">
        <v>364</v>
      </c>
      <c r="J319" s="245">
        <v>110</v>
      </c>
      <c r="K319" s="246">
        <v>0.3021978021978022</v>
      </c>
      <c r="L319" s="244">
        <f>E319-I319*0.4</f>
        <v>42790.4</v>
      </c>
      <c r="M319" s="215"/>
      <c r="N319" s="215"/>
      <c r="O319" s="215"/>
      <c r="P319" s="215"/>
      <c r="Q319" s="215"/>
      <c r="R319" s="215"/>
    </row>
    <row r="320" ht="12.75" customHeight="1">
      <c r="A320" t="s" s="216">
        <v>567</v>
      </c>
      <c r="B320" t="s" s="216">
        <v>666</v>
      </c>
      <c r="C320" t="s" s="216">
        <v>732</v>
      </c>
      <c r="D320" s="244">
        <v>42593</v>
      </c>
      <c r="E320" s="244">
        <v>42957</v>
      </c>
      <c r="F320" s="245">
        <v>357</v>
      </c>
      <c r="G320" s="245">
        <v>0</v>
      </c>
      <c r="H320" t="s" s="216">
        <v>659</v>
      </c>
      <c r="I320" s="245">
        <v>364</v>
      </c>
      <c r="J320" s="245">
        <v>131</v>
      </c>
      <c r="K320" s="246">
        <v>0.3598901098901099</v>
      </c>
      <c r="L320" s="244">
        <f>E320-I320*0.4</f>
        <v>42811.4</v>
      </c>
      <c r="M320" s="215"/>
      <c r="N320" s="215"/>
      <c r="O320" s="215"/>
      <c r="P320" s="215"/>
      <c r="Q320" s="215"/>
      <c r="R320" s="215"/>
    </row>
    <row r="321" ht="12.75" customHeight="1">
      <c r="A321" t="s" s="216">
        <v>567</v>
      </c>
      <c r="B321" t="s" s="216">
        <v>667</v>
      </c>
      <c r="C321" t="s" s="216">
        <v>728</v>
      </c>
      <c r="D321" s="244">
        <v>42538</v>
      </c>
      <c r="E321" s="244">
        <v>42902</v>
      </c>
      <c r="F321" s="245">
        <v>10</v>
      </c>
      <c r="G321" s="245">
        <v>0</v>
      </c>
      <c r="H321" t="s" s="216">
        <v>659</v>
      </c>
      <c r="I321" s="245">
        <v>364</v>
      </c>
      <c r="J321" s="245">
        <v>76</v>
      </c>
      <c r="K321" s="246">
        <v>0.2087912087912088</v>
      </c>
      <c r="L321" s="244">
        <f>E321-I321*0.4</f>
        <v>42756.4</v>
      </c>
      <c r="M321" s="215"/>
      <c r="N321" s="215"/>
      <c r="O321" s="215"/>
      <c r="P321" s="215"/>
      <c r="Q321" s="215"/>
      <c r="R321" s="215"/>
    </row>
    <row r="322" ht="12.75" customHeight="1">
      <c r="A322" t="s" s="216">
        <v>567</v>
      </c>
      <c r="B322" t="s" s="216">
        <v>667</v>
      </c>
      <c r="C322" t="s" s="216">
        <v>729</v>
      </c>
      <c r="D322" s="244">
        <v>42572</v>
      </c>
      <c r="E322" s="244">
        <v>42936</v>
      </c>
      <c r="F322" s="245">
        <v>509</v>
      </c>
      <c r="G322" s="245">
        <v>0</v>
      </c>
      <c r="H322" t="s" s="216">
        <v>659</v>
      </c>
      <c r="I322" s="245">
        <v>364</v>
      </c>
      <c r="J322" s="245">
        <v>110</v>
      </c>
      <c r="K322" s="246">
        <v>0.3021978021978022</v>
      </c>
      <c r="L322" s="244">
        <f>E322-I322*0.4</f>
        <v>42790.4</v>
      </c>
      <c r="M322" s="215"/>
      <c r="N322" s="215"/>
      <c r="O322" s="215"/>
      <c r="P322" s="215"/>
      <c r="Q322" s="215"/>
      <c r="R322" s="215"/>
    </row>
    <row r="323" ht="12.75" customHeight="1">
      <c r="A323" t="s" s="216">
        <v>567</v>
      </c>
      <c r="B323" t="s" s="216">
        <v>668</v>
      </c>
      <c r="C323" t="s" s="216">
        <v>728</v>
      </c>
      <c r="D323" s="244">
        <v>42538</v>
      </c>
      <c r="E323" s="244">
        <v>42902</v>
      </c>
      <c r="F323" s="245">
        <v>15</v>
      </c>
      <c r="G323" s="245">
        <v>0</v>
      </c>
      <c r="H323" t="s" s="216">
        <v>659</v>
      </c>
      <c r="I323" s="245">
        <v>364</v>
      </c>
      <c r="J323" s="245">
        <v>76</v>
      </c>
      <c r="K323" s="246">
        <v>0.2087912087912088</v>
      </c>
      <c r="L323" s="244">
        <f>E323-I323*0.4</f>
        <v>42756.4</v>
      </c>
      <c r="M323" s="215"/>
      <c r="N323" s="215"/>
      <c r="O323" s="215"/>
      <c r="P323" s="215"/>
      <c r="Q323" s="215"/>
      <c r="R323" s="215"/>
    </row>
    <row r="324" ht="12.75" customHeight="1">
      <c r="A324" t="s" s="216">
        <v>367</v>
      </c>
      <c r="B324" t="s" s="216">
        <v>657</v>
      </c>
      <c r="C324" t="s" s="216">
        <v>727</v>
      </c>
      <c r="D324" s="244">
        <v>42614</v>
      </c>
      <c r="E324" s="244">
        <v>42978</v>
      </c>
      <c r="F324" s="245">
        <v>43</v>
      </c>
      <c r="G324" s="245">
        <v>0</v>
      </c>
      <c r="H324" t="s" s="216">
        <v>659</v>
      </c>
      <c r="I324" s="245">
        <v>364</v>
      </c>
      <c r="J324" s="245">
        <v>152</v>
      </c>
      <c r="K324" s="246">
        <v>0.4175824175824176</v>
      </c>
      <c r="L324" s="244">
        <f>E324-I324*0.4</f>
        <v>42832.4</v>
      </c>
      <c r="M324" s="215"/>
      <c r="N324" s="215"/>
      <c r="O324" s="215"/>
      <c r="P324" s="215"/>
      <c r="Q324" s="215"/>
      <c r="R324" s="215"/>
    </row>
    <row r="325" ht="12.75" customHeight="1">
      <c r="A325" t="s" s="216">
        <v>367</v>
      </c>
      <c r="B325" t="s" s="216">
        <v>666</v>
      </c>
      <c r="C325" t="s" s="216">
        <v>700</v>
      </c>
      <c r="D325" s="244">
        <v>42552</v>
      </c>
      <c r="E325" s="244">
        <v>42916</v>
      </c>
      <c r="F325" s="245">
        <v>10</v>
      </c>
      <c r="G325" s="245">
        <v>0</v>
      </c>
      <c r="H325" t="s" s="216">
        <v>659</v>
      </c>
      <c r="I325" s="245">
        <v>364</v>
      </c>
      <c r="J325" s="245">
        <v>90</v>
      </c>
      <c r="K325" s="246">
        <v>0.2472527472527473</v>
      </c>
      <c r="L325" s="244">
        <f>E325-I325*0.4</f>
        <v>42770.4</v>
      </c>
      <c r="M325" s="215"/>
      <c r="N325" s="215"/>
      <c r="O325" s="215"/>
      <c r="P325" s="215"/>
      <c r="Q325" s="215"/>
      <c r="R325" s="215"/>
    </row>
    <row r="326" ht="12.75" customHeight="1">
      <c r="A326" t="s" s="216">
        <v>367</v>
      </c>
      <c r="B326" t="s" s="216">
        <v>666</v>
      </c>
      <c r="C326" t="s" s="216">
        <v>727</v>
      </c>
      <c r="D326" s="244">
        <v>42614</v>
      </c>
      <c r="E326" s="244">
        <v>42978</v>
      </c>
      <c r="F326" s="245">
        <v>130</v>
      </c>
      <c r="G326" s="245">
        <v>0</v>
      </c>
      <c r="H326" t="s" s="216">
        <v>659</v>
      </c>
      <c r="I326" s="245">
        <v>364</v>
      </c>
      <c r="J326" s="245">
        <v>152</v>
      </c>
      <c r="K326" s="246">
        <v>0.4175824175824176</v>
      </c>
      <c r="L326" s="244">
        <f>E326-I326*0.4</f>
        <v>42832.4</v>
      </c>
      <c r="M326" s="215"/>
      <c r="N326" s="215"/>
      <c r="O326" s="215"/>
      <c r="P326" s="215"/>
      <c r="Q326" s="215"/>
      <c r="R326" s="215"/>
    </row>
    <row r="327" ht="12.75" customHeight="1">
      <c r="A327" t="s" s="216">
        <v>367</v>
      </c>
      <c r="B327" t="s" s="216">
        <v>667</v>
      </c>
      <c r="C327" t="s" s="216">
        <v>727</v>
      </c>
      <c r="D327" s="244">
        <v>42614</v>
      </c>
      <c r="E327" s="244">
        <v>42978</v>
      </c>
      <c r="F327" s="245">
        <v>64</v>
      </c>
      <c r="G327" s="245">
        <v>0</v>
      </c>
      <c r="H327" t="s" s="216">
        <v>659</v>
      </c>
      <c r="I327" s="245">
        <v>364</v>
      </c>
      <c r="J327" s="245">
        <v>152</v>
      </c>
      <c r="K327" s="246">
        <v>0.4175824175824176</v>
      </c>
      <c r="L327" s="244">
        <f>E327-I327*0.4</f>
        <v>42832.4</v>
      </c>
      <c r="M327" s="215"/>
      <c r="N327" s="215"/>
      <c r="O327" s="215"/>
      <c r="P327" s="215"/>
      <c r="Q327" s="215"/>
      <c r="R327" s="215"/>
    </row>
    <row r="328" ht="12.75" customHeight="1">
      <c r="A328" t="s" s="216">
        <v>367</v>
      </c>
      <c r="B328" t="s" s="216">
        <v>668</v>
      </c>
      <c r="C328" t="s" s="216">
        <v>700</v>
      </c>
      <c r="D328" s="244">
        <v>42552</v>
      </c>
      <c r="E328" s="244">
        <v>42916</v>
      </c>
      <c r="F328" s="245">
        <v>130</v>
      </c>
      <c r="G328" s="245">
        <v>0</v>
      </c>
      <c r="H328" t="s" s="216">
        <v>659</v>
      </c>
      <c r="I328" s="245">
        <v>364</v>
      </c>
      <c r="J328" s="245">
        <v>90</v>
      </c>
      <c r="K328" s="246">
        <v>0.2472527472527473</v>
      </c>
      <c r="L328" s="244">
        <f>E328-I328*0.4</f>
        <v>42770.4</v>
      </c>
      <c r="M328" s="215"/>
      <c r="N328" s="215"/>
      <c r="O328" s="215"/>
      <c r="P328" s="215"/>
      <c r="Q328" s="215"/>
      <c r="R328" s="215"/>
    </row>
    <row r="329" ht="12.75" customHeight="1">
      <c r="A329" t="s" s="216">
        <v>367</v>
      </c>
      <c r="B329" t="s" s="216">
        <v>668</v>
      </c>
      <c r="C329" t="s" s="216">
        <v>727</v>
      </c>
      <c r="D329" s="244">
        <v>42614</v>
      </c>
      <c r="E329" s="244">
        <v>42978</v>
      </c>
      <c r="F329" s="245">
        <v>169</v>
      </c>
      <c r="G329" s="245">
        <v>0</v>
      </c>
      <c r="H329" t="s" s="216">
        <v>659</v>
      </c>
      <c r="I329" s="245">
        <v>364</v>
      </c>
      <c r="J329" s="245">
        <v>152</v>
      </c>
      <c r="K329" s="246">
        <v>0.4175824175824176</v>
      </c>
      <c r="L329" s="244">
        <f>E329-I329*0.4</f>
        <v>42832.4</v>
      </c>
      <c r="M329" s="215"/>
      <c r="N329" s="215"/>
      <c r="O329" s="215"/>
      <c r="P329" s="215"/>
      <c r="Q329" s="215"/>
      <c r="R329" s="215"/>
    </row>
    <row r="330" ht="12.75" customHeight="1">
      <c r="A330" t="s" s="216">
        <v>711</v>
      </c>
      <c r="B330" t="s" s="216">
        <v>667</v>
      </c>
      <c r="C330" t="s" s="216">
        <v>727</v>
      </c>
      <c r="D330" s="244">
        <v>42614</v>
      </c>
      <c r="E330" s="244">
        <v>42978</v>
      </c>
      <c r="F330" s="245">
        <v>179</v>
      </c>
      <c r="G330" s="245">
        <v>0</v>
      </c>
      <c r="H330" t="s" s="216">
        <v>659</v>
      </c>
      <c r="I330" s="245">
        <v>364</v>
      </c>
      <c r="J330" s="245">
        <v>152</v>
      </c>
      <c r="K330" s="246">
        <v>0.4175824175824176</v>
      </c>
      <c r="L330" s="244">
        <f>E330-I330*0.4</f>
        <v>42832.4</v>
      </c>
      <c r="M330" s="215"/>
      <c r="N330" s="215"/>
      <c r="O330" s="215"/>
      <c r="P330" s="215"/>
      <c r="Q330" s="215"/>
      <c r="R330" s="215"/>
    </row>
    <row r="331" ht="12.75" customHeight="1">
      <c r="A331" t="s" s="216">
        <v>711</v>
      </c>
      <c r="B331" t="s" s="216">
        <v>668</v>
      </c>
      <c r="C331" t="s" s="216">
        <v>700</v>
      </c>
      <c r="D331" s="244">
        <v>42552</v>
      </c>
      <c r="E331" s="244">
        <v>42916</v>
      </c>
      <c r="F331" s="245">
        <v>16</v>
      </c>
      <c r="G331" s="245">
        <v>0</v>
      </c>
      <c r="H331" t="s" s="216">
        <v>659</v>
      </c>
      <c r="I331" s="245">
        <v>364</v>
      </c>
      <c r="J331" s="245">
        <v>90</v>
      </c>
      <c r="K331" s="246">
        <v>0.2472527472527473</v>
      </c>
      <c r="L331" s="244">
        <f>E331-I331*0.4</f>
        <v>42770.4</v>
      </c>
      <c r="M331" s="215"/>
      <c r="N331" s="215"/>
      <c r="O331" s="215"/>
      <c r="P331" s="215"/>
      <c r="Q331" s="215"/>
      <c r="R331" s="215"/>
    </row>
    <row r="332" ht="12.75" customHeight="1">
      <c r="A332" t="s" s="216">
        <v>379</v>
      </c>
      <c r="B332" t="s" s="216">
        <v>657</v>
      </c>
      <c r="C332" t="s" s="216">
        <v>726</v>
      </c>
      <c r="D332" s="244">
        <v>42522</v>
      </c>
      <c r="E332" s="244">
        <v>42886</v>
      </c>
      <c r="F332" s="245">
        <v>8</v>
      </c>
      <c r="G332" s="245">
        <v>0</v>
      </c>
      <c r="H332" t="s" s="216">
        <v>659</v>
      </c>
      <c r="I332" s="245">
        <v>364</v>
      </c>
      <c r="J332" s="245">
        <v>60</v>
      </c>
      <c r="K332" s="246">
        <v>0.1648351648351648</v>
      </c>
      <c r="L332" s="244">
        <f>E332-I332*0.4</f>
        <v>42740.4</v>
      </c>
      <c r="M332" s="215"/>
      <c r="N332" s="215"/>
      <c r="O332" s="215"/>
      <c r="P332" s="215"/>
      <c r="Q332" s="215"/>
      <c r="R332" s="215"/>
    </row>
    <row r="333" ht="12.75" customHeight="1">
      <c r="A333" t="s" s="216">
        <v>379</v>
      </c>
      <c r="B333" t="s" s="216">
        <v>657</v>
      </c>
      <c r="C333" t="s" s="216">
        <v>701</v>
      </c>
      <c r="D333" s="244">
        <v>42583</v>
      </c>
      <c r="E333" s="244">
        <v>42947</v>
      </c>
      <c r="F333" s="245">
        <v>186</v>
      </c>
      <c r="G333" s="245">
        <v>0</v>
      </c>
      <c r="H333" t="s" s="216">
        <v>659</v>
      </c>
      <c r="I333" s="245">
        <v>364</v>
      </c>
      <c r="J333" s="245">
        <v>121</v>
      </c>
      <c r="K333" s="246">
        <v>0.3324175824175824</v>
      </c>
      <c r="L333" s="244">
        <f>E333-I333*0.4</f>
        <v>42801.4</v>
      </c>
      <c r="M333" s="215"/>
      <c r="N333" s="215"/>
      <c r="O333" s="215"/>
      <c r="P333" s="215"/>
      <c r="Q333" s="215"/>
      <c r="R333" s="215"/>
    </row>
    <row r="334" ht="12.75" customHeight="1">
      <c r="A334" t="s" s="216">
        <v>379</v>
      </c>
      <c r="B334" t="s" s="216">
        <v>657</v>
      </c>
      <c r="C334" t="s" s="216">
        <v>700</v>
      </c>
      <c r="D334" s="244">
        <v>42552</v>
      </c>
      <c r="E334" s="244">
        <v>42916</v>
      </c>
      <c r="F334" s="245">
        <v>40</v>
      </c>
      <c r="G334" s="245">
        <v>0</v>
      </c>
      <c r="H334" t="s" s="216">
        <v>659</v>
      </c>
      <c r="I334" s="245">
        <v>364</v>
      </c>
      <c r="J334" s="245">
        <v>90</v>
      </c>
      <c r="K334" s="246">
        <v>0.2472527472527473</v>
      </c>
      <c r="L334" s="244">
        <f>E334-I334*0.4</f>
        <v>42770.4</v>
      </c>
      <c r="M334" s="215"/>
      <c r="N334" s="215"/>
      <c r="O334" s="215"/>
      <c r="P334" s="215"/>
      <c r="Q334" s="215"/>
      <c r="R334" s="215"/>
    </row>
    <row r="335" ht="12.75" customHeight="1">
      <c r="A335" t="s" s="216">
        <v>379</v>
      </c>
      <c r="B335" t="s" s="216">
        <v>657</v>
      </c>
      <c r="C335" t="s" s="216">
        <v>701</v>
      </c>
      <c r="D335" s="244">
        <v>42583</v>
      </c>
      <c r="E335" s="244">
        <v>42947</v>
      </c>
      <c r="F335" s="245">
        <v>24</v>
      </c>
      <c r="G335" s="245">
        <v>0</v>
      </c>
      <c r="H335" t="s" s="216">
        <v>659</v>
      </c>
      <c r="I335" s="245">
        <v>364</v>
      </c>
      <c r="J335" s="245">
        <v>121</v>
      </c>
      <c r="K335" s="246">
        <v>0.3324175824175824</v>
      </c>
      <c r="L335" s="244">
        <f>E335-I335*0.4</f>
        <v>42801.4</v>
      </c>
      <c r="M335" s="215"/>
      <c r="N335" s="215"/>
      <c r="O335" s="215"/>
      <c r="P335" s="215"/>
      <c r="Q335" s="215"/>
      <c r="R335" s="215"/>
    </row>
    <row r="336" ht="12.75" customHeight="1">
      <c r="A336" t="s" s="216">
        <v>379</v>
      </c>
      <c r="B336" t="s" s="216">
        <v>666</v>
      </c>
      <c r="C336" t="s" s="216">
        <v>700</v>
      </c>
      <c r="D336" s="244">
        <v>42552</v>
      </c>
      <c r="E336" s="244">
        <v>42916</v>
      </c>
      <c r="F336" s="245">
        <v>276</v>
      </c>
      <c r="G336" s="245">
        <v>0</v>
      </c>
      <c r="H336" t="s" s="216">
        <v>659</v>
      </c>
      <c r="I336" s="245">
        <v>364</v>
      </c>
      <c r="J336" s="245">
        <v>90</v>
      </c>
      <c r="K336" s="246">
        <v>0.2472527472527473</v>
      </c>
      <c r="L336" s="244">
        <f>E336-I336*0.4</f>
        <v>42770.4</v>
      </c>
      <c r="M336" s="215"/>
      <c r="N336" s="215"/>
      <c r="O336" s="215"/>
      <c r="P336" s="215"/>
      <c r="Q336" s="215"/>
      <c r="R336" s="215"/>
    </row>
    <row r="337" ht="12.75" customHeight="1">
      <c r="A337" t="s" s="216">
        <v>379</v>
      </c>
      <c r="B337" t="s" s="216">
        <v>666</v>
      </c>
      <c r="C337" t="s" s="216">
        <v>701</v>
      </c>
      <c r="D337" s="244">
        <v>42583</v>
      </c>
      <c r="E337" s="244">
        <v>42947</v>
      </c>
      <c r="F337" s="245">
        <v>61</v>
      </c>
      <c r="G337" s="245">
        <v>0</v>
      </c>
      <c r="H337" t="s" s="216">
        <v>659</v>
      </c>
      <c r="I337" s="245">
        <v>364</v>
      </c>
      <c r="J337" s="245">
        <v>121</v>
      </c>
      <c r="K337" s="246">
        <v>0.3324175824175824</v>
      </c>
      <c r="L337" s="244">
        <f>E337-I337*0.4</f>
        <v>42801.4</v>
      </c>
      <c r="M337" s="215"/>
      <c r="N337" s="215"/>
      <c r="O337" s="215"/>
      <c r="P337" s="215"/>
      <c r="Q337" s="215"/>
      <c r="R337" s="215"/>
    </row>
    <row r="338" ht="12.75" customHeight="1">
      <c r="A338" t="s" s="216">
        <v>379</v>
      </c>
      <c r="B338" t="s" s="216">
        <v>667</v>
      </c>
      <c r="C338" t="s" s="216">
        <v>701</v>
      </c>
      <c r="D338" s="244">
        <v>42583</v>
      </c>
      <c r="E338" s="244">
        <v>42947</v>
      </c>
      <c r="F338" s="245">
        <v>7</v>
      </c>
      <c r="G338" s="245">
        <v>0</v>
      </c>
      <c r="H338" t="s" s="216">
        <v>659</v>
      </c>
      <c r="I338" s="245">
        <v>364</v>
      </c>
      <c r="J338" s="245">
        <v>121</v>
      </c>
      <c r="K338" s="246">
        <v>0.3324175824175824</v>
      </c>
      <c r="L338" s="244">
        <f>E338-I338*0.4</f>
        <v>42801.4</v>
      </c>
      <c r="M338" s="215"/>
      <c r="N338" s="215"/>
      <c r="O338" s="215"/>
      <c r="P338" s="215"/>
      <c r="Q338" s="215"/>
      <c r="R338" s="215"/>
    </row>
    <row r="339" ht="12.75" customHeight="1">
      <c r="A339" t="s" s="216">
        <v>379</v>
      </c>
      <c r="B339" t="s" s="216">
        <v>668</v>
      </c>
      <c r="C339" t="s" s="216">
        <v>726</v>
      </c>
      <c r="D339" s="244">
        <v>42522</v>
      </c>
      <c r="E339" s="244">
        <v>42886</v>
      </c>
      <c r="F339" s="245">
        <v>8</v>
      </c>
      <c r="G339" s="245">
        <v>0</v>
      </c>
      <c r="H339" t="s" s="216">
        <v>659</v>
      </c>
      <c r="I339" s="245">
        <v>364</v>
      </c>
      <c r="J339" s="245">
        <v>60</v>
      </c>
      <c r="K339" s="246">
        <v>0.1648351648351648</v>
      </c>
      <c r="L339" s="244">
        <f>E339-I339*0.4</f>
        <v>42740.4</v>
      </c>
      <c r="M339" s="215"/>
      <c r="N339" s="215"/>
      <c r="O339" s="215"/>
      <c r="P339" s="215"/>
      <c r="Q339" s="215"/>
      <c r="R339" s="215"/>
    </row>
    <row r="340" ht="12.75" customHeight="1">
      <c r="A340" t="s" s="216">
        <v>379</v>
      </c>
      <c r="B340" t="s" s="216">
        <v>668</v>
      </c>
      <c r="C340" t="s" s="216">
        <v>701</v>
      </c>
      <c r="D340" s="244">
        <v>42583</v>
      </c>
      <c r="E340" s="244">
        <v>42947</v>
      </c>
      <c r="F340" s="245">
        <v>8</v>
      </c>
      <c r="G340" s="245">
        <v>0</v>
      </c>
      <c r="H340" t="s" s="216">
        <v>659</v>
      </c>
      <c r="I340" s="245">
        <v>364</v>
      </c>
      <c r="J340" s="245">
        <v>121</v>
      </c>
      <c r="K340" s="246">
        <v>0.3324175824175824</v>
      </c>
      <c r="L340" s="244">
        <f>E340-I340*0.4</f>
        <v>42801.4</v>
      </c>
      <c r="M340" s="215"/>
      <c r="N340" s="215"/>
      <c r="O340" s="215"/>
      <c r="P340" s="215"/>
      <c r="Q340" s="215"/>
      <c r="R340" s="215"/>
    </row>
    <row r="341" ht="12.75" customHeight="1">
      <c r="A341" t="s" s="216">
        <v>391</v>
      </c>
      <c r="B341" t="s" s="216">
        <v>657</v>
      </c>
      <c r="C341" t="s" s="216">
        <v>701</v>
      </c>
      <c r="D341" s="244">
        <v>42583</v>
      </c>
      <c r="E341" s="244">
        <v>42947</v>
      </c>
      <c r="F341" s="245">
        <v>144</v>
      </c>
      <c r="G341" s="245">
        <v>0</v>
      </c>
      <c r="H341" t="s" s="216">
        <v>659</v>
      </c>
      <c r="I341" s="245">
        <v>364</v>
      </c>
      <c r="J341" s="245">
        <v>121</v>
      </c>
      <c r="K341" s="246">
        <v>0.3324175824175824</v>
      </c>
      <c r="L341" s="244">
        <f>E341-I341*0.4</f>
        <v>42801.4</v>
      </c>
      <c r="M341" s="215"/>
      <c r="N341" s="215"/>
      <c r="O341" s="215"/>
      <c r="P341" s="215"/>
      <c r="Q341" s="215"/>
      <c r="R341" s="215"/>
    </row>
    <row r="342" ht="12.75" customHeight="1">
      <c r="A342" t="s" s="216">
        <v>391</v>
      </c>
      <c r="B342" t="s" s="216">
        <v>657</v>
      </c>
      <c r="C342" t="s" s="216">
        <v>700</v>
      </c>
      <c r="D342" s="244">
        <v>42552</v>
      </c>
      <c r="E342" s="244">
        <v>42916</v>
      </c>
      <c r="F342" s="245">
        <v>66</v>
      </c>
      <c r="G342" s="245">
        <v>0</v>
      </c>
      <c r="H342" t="s" s="216">
        <v>659</v>
      </c>
      <c r="I342" s="245">
        <v>364</v>
      </c>
      <c r="J342" s="245">
        <v>90</v>
      </c>
      <c r="K342" s="246">
        <v>0.2472527472527473</v>
      </c>
      <c r="L342" s="244">
        <f>E342-I342*0.4</f>
        <v>42770.4</v>
      </c>
      <c r="M342" s="215"/>
      <c r="N342" s="215"/>
      <c r="O342" s="215"/>
      <c r="P342" s="215"/>
      <c r="Q342" s="215"/>
      <c r="R342" s="215"/>
    </row>
    <row r="343" ht="12.75" customHeight="1">
      <c r="A343" t="s" s="216">
        <v>391</v>
      </c>
      <c r="B343" t="s" s="216">
        <v>657</v>
      </c>
      <c r="C343" t="s" s="216">
        <v>701</v>
      </c>
      <c r="D343" s="244">
        <v>42583</v>
      </c>
      <c r="E343" s="244">
        <v>42947</v>
      </c>
      <c r="F343" s="245">
        <v>36</v>
      </c>
      <c r="G343" s="245">
        <v>0</v>
      </c>
      <c r="H343" t="s" s="216">
        <v>659</v>
      </c>
      <c r="I343" s="245">
        <v>364</v>
      </c>
      <c r="J343" s="245">
        <v>121</v>
      </c>
      <c r="K343" s="246">
        <v>0.3324175824175824</v>
      </c>
      <c r="L343" s="244">
        <f>E343-I343*0.4</f>
        <v>42801.4</v>
      </c>
      <c r="M343" s="215"/>
      <c r="N343" s="215"/>
      <c r="O343" s="215"/>
      <c r="P343" s="215"/>
      <c r="Q343" s="215"/>
      <c r="R343" s="215"/>
    </row>
    <row r="344" ht="12.75" customHeight="1">
      <c r="A344" t="s" s="216">
        <v>391</v>
      </c>
      <c r="B344" t="s" s="216">
        <v>666</v>
      </c>
      <c r="C344" t="s" s="216">
        <v>700</v>
      </c>
      <c r="D344" s="244">
        <v>42552</v>
      </c>
      <c r="E344" s="244">
        <v>42916</v>
      </c>
      <c r="F344" s="245">
        <v>4</v>
      </c>
      <c r="G344" s="245">
        <v>0</v>
      </c>
      <c r="H344" t="s" s="216">
        <v>659</v>
      </c>
      <c r="I344" s="245">
        <v>364</v>
      </c>
      <c r="J344" s="245">
        <v>90</v>
      </c>
      <c r="K344" s="246">
        <v>0.2472527472527473</v>
      </c>
      <c r="L344" s="244">
        <f>E344-I344*0.4</f>
        <v>42770.4</v>
      </c>
      <c r="M344" s="215"/>
      <c r="N344" s="215"/>
      <c r="O344" s="215"/>
      <c r="P344" s="215"/>
      <c r="Q344" s="215"/>
      <c r="R344" s="215"/>
    </row>
    <row r="345" ht="12.75" customHeight="1">
      <c r="A345" t="s" s="216">
        <v>391</v>
      </c>
      <c r="B345" t="s" s="216">
        <v>666</v>
      </c>
      <c r="C345" t="s" s="216">
        <v>701</v>
      </c>
      <c r="D345" s="244">
        <v>42583</v>
      </c>
      <c r="E345" s="244">
        <v>42947</v>
      </c>
      <c r="F345" s="245">
        <v>36</v>
      </c>
      <c r="G345" s="245">
        <v>0</v>
      </c>
      <c r="H345" t="s" s="216">
        <v>659</v>
      </c>
      <c r="I345" s="245">
        <v>364</v>
      </c>
      <c r="J345" s="245">
        <v>121</v>
      </c>
      <c r="K345" s="246">
        <v>0.3324175824175824</v>
      </c>
      <c r="L345" s="244">
        <f>E345-I345*0.4</f>
        <v>42801.4</v>
      </c>
      <c r="M345" s="215"/>
      <c r="N345" s="215"/>
      <c r="O345" s="215"/>
      <c r="P345" s="215"/>
      <c r="Q345" s="215"/>
      <c r="R345" s="215"/>
    </row>
    <row r="346" ht="12.75" customHeight="1">
      <c r="A346" t="s" s="216">
        <v>391</v>
      </c>
      <c r="B346" t="s" s="216">
        <v>667</v>
      </c>
      <c r="C346" t="s" s="216">
        <v>703</v>
      </c>
      <c r="D346" s="244">
        <v>42705</v>
      </c>
      <c r="E346" s="244">
        <v>43069</v>
      </c>
      <c r="F346" s="245">
        <v>5</v>
      </c>
      <c r="G346" s="245">
        <v>0</v>
      </c>
      <c r="H346" t="s" s="216">
        <v>659</v>
      </c>
      <c r="I346" s="245">
        <v>364</v>
      </c>
      <c r="J346" s="245">
        <v>243</v>
      </c>
      <c r="K346" s="246">
        <v>0.6675824175824175</v>
      </c>
      <c r="L346" s="244">
        <f>E346-I346*0.4</f>
        <v>42923.4</v>
      </c>
      <c r="M346" s="215"/>
      <c r="N346" s="215"/>
      <c r="O346" s="215"/>
      <c r="P346" s="215"/>
      <c r="Q346" s="215"/>
      <c r="R346" s="215"/>
    </row>
    <row r="347" ht="12.75" customHeight="1">
      <c r="A347" t="s" s="216">
        <v>391</v>
      </c>
      <c r="B347" t="s" s="216">
        <v>668</v>
      </c>
      <c r="C347" t="s" s="216">
        <v>700</v>
      </c>
      <c r="D347" s="244">
        <v>42552</v>
      </c>
      <c r="E347" s="244">
        <v>42916</v>
      </c>
      <c r="F347" s="245">
        <v>30</v>
      </c>
      <c r="G347" s="245">
        <v>0</v>
      </c>
      <c r="H347" t="s" s="216">
        <v>659</v>
      </c>
      <c r="I347" s="245">
        <v>364</v>
      </c>
      <c r="J347" s="245">
        <v>90</v>
      </c>
      <c r="K347" s="246">
        <v>0.2472527472527473</v>
      </c>
      <c r="L347" s="244">
        <f>E347-I347*0.4</f>
        <v>42770.4</v>
      </c>
      <c r="M347" s="215"/>
      <c r="N347" s="215"/>
      <c r="O347" s="215"/>
      <c r="P347" s="215"/>
      <c r="Q347" s="215"/>
      <c r="R347" s="215"/>
    </row>
    <row r="348" ht="12.75" customHeight="1">
      <c r="A348" t="s" s="216">
        <v>391</v>
      </c>
      <c r="B348" t="s" s="216">
        <v>668</v>
      </c>
      <c r="C348" t="s" s="216">
        <v>701</v>
      </c>
      <c r="D348" s="244">
        <v>42583</v>
      </c>
      <c r="E348" s="244">
        <v>42947</v>
      </c>
      <c r="F348" s="245">
        <v>52</v>
      </c>
      <c r="G348" s="245">
        <v>0</v>
      </c>
      <c r="H348" t="s" s="216">
        <v>659</v>
      </c>
      <c r="I348" s="245">
        <v>364</v>
      </c>
      <c r="J348" s="245">
        <v>121</v>
      </c>
      <c r="K348" s="246">
        <v>0.3324175824175824</v>
      </c>
      <c r="L348" s="244">
        <f>E348-I348*0.4</f>
        <v>42801.4</v>
      </c>
      <c r="M348" s="215"/>
      <c r="N348" s="215"/>
      <c r="O348" s="215"/>
      <c r="P348" s="215"/>
      <c r="Q348" s="215"/>
      <c r="R348" s="215"/>
    </row>
    <row r="349" ht="12.75" customHeight="1">
      <c r="A349" t="s" s="216">
        <v>403</v>
      </c>
      <c r="B349" t="s" s="216">
        <v>668</v>
      </c>
      <c r="C349" t="s" s="216">
        <v>726</v>
      </c>
      <c r="D349" s="244">
        <v>42522</v>
      </c>
      <c r="E349" s="244">
        <v>42886</v>
      </c>
      <c r="F349" s="245">
        <v>70</v>
      </c>
      <c r="G349" s="245">
        <v>0</v>
      </c>
      <c r="H349" t="s" s="216">
        <v>659</v>
      </c>
      <c r="I349" s="245">
        <v>364</v>
      </c>
      <c r="J349" s="245">
        <v>60</v>
      </c>
      <c r="K349" s="246">
        <v>0.1648351648351648</v>
      </c>
      <c r="L349" s="244">
        <f>E349-I349*0.4</f>
        <v>42740.4</v>
      </c>
      <c r="M349" s="215"/>
      <c r="N349" s="215"/>
      <c r="O349" s="215"/>
      <c r="P349" s="215"/>
      <c r="Q349" s="215"/>
      <c r="R349" s="215"/>
    </row>
    <row r="350" ht="12.75" customHeight="1">
      <c r="A350" t="s" s="216">
        <v>403</v>
      </c>
      <c r="B350" t="s" s="216">
        <v>668</v>
      </c>
      <c r="C350" t="s" s="216">
        <v>700</v>
      </c>
      <c r="D350" s="244">
        <v>42552</v>
      </c>
      <c r="E350" s="244">
        <v>42916</v>
      </c>
      <c r="F350" s="245">
        <v>130</v>
      </c>
      <c r="G350" s="245">
        <v>0</v>
      </c>
      <c r="H350" t="s" s="216">
        <v>659</v>
      </c>
      <c r="I350" s="245">
        <v>364</v>
      </c>
      <c r="J350" s="245">
        <v>90</v>
      </c>
      <c r="K350" s="246">
        <v>0.2472527472527473</v>
      </c>
      <c r="L350" s="244">
        <f>E350-I350*0.4</f>
        <v>42770.4</v>
      </c>
      <c r="M350" s="215"/>
      <c r="N350" s="215"/>
      <c r="O350" s="215"/>
      <c r="P350" s="215"/>
      <c r="Q350" s="215"/>
      <c r="R350" s="215"/>
    </row>
    <row r="351" ht="12.75" customHeight="1">
      <c r="A351" t="s" s="216">
        <v>568</v>
      </c>
      <c r="B351" t="s" s="216">
        <v>666</v>
      </c>
      <c r="C351" t="s" s="216">
        <v>701</v>
      </c>
      <c r="D351" s="244">
        <v>42583</v>
      </c>
      <c r="E351" s="244">
        <v>42947</v>
      </c>
      <c r="F351" s="245">
        <v>3</v>
      </c>
      <c r="G351" s="245">
        <v>0</v>
      </c>
      <c r="H351" t="s" s="216">
        <v>659</v>
      </c>
      <c r="I351" s="245">
        <v>364</v>
      </c>
      <c r="J351" s="245">
        <v>121</v>
      </c>
      <c r="K351" s="246">
        <v>0.3324175824175824</v>
      </c>
      <c r="L351" s="244">
        <f>E351-I351*0.4</f>
        <v>42801.4</v>
      </c>
      <c r="M351" s="215"/>
      <c r="N351" s="215"/>
      <c r="O351" s="215"/>
      <c r="P351" s="215"/>
      <c r="Q351" s="215"/>
      <c r="R351" s="215"/>
    </row>
    <row r="352" ht="12.75" customHeight="1">
      <c r="A352" t="s" s="216">
        <v>568</v>
      </c>
      <c r="B352" t="s" s="216">
        <v>667</v>
      </c>
      <c r="C352" t="s" s="216">
        <v>727</v>
      </c>
      <c r="D352" s="244">
        <v>42614</v>
      </c>
      <c r="E352" s="244">
        <v>42978</v>
      </c>
      <c r="F352" s="245">
        <v>80</v>
      </c>
      <c r="G352" s="245">
        <v>0</v>
      </c>
      <c r="H352" t="s" s="216">
        <v>659</v>
      </c>
      <c r="I352" s="245">
        <v>364</v>
      </c>
      <c r="J352" s="245">
        <v>152</v>
      </c>
      <c r="K352" s="246">
        <v>0.4175824175824176</v>
      </c>
      <c r="L352" s="244">
        <f>E352-I352*0.4</f>
        <v>42832.4</v>
      </c>
      <c r="M352" s="215"/>
      <c r="N352" s="215"/>
      <c r="O352" s="215"/>
      <c r="P352" s="215"/>
      <c r="Q352" s="215"/>
      <c r="R352" s="215"/>
    </row>
    <row r="353" ht="12.75" customHeight="1">
      <c r="A353" t="s" s="216">
        <v>568</v>
      </c>
      <c r="B353" t="s" s="216">
        <v>668</v>
      </c>
      <c r="C353" t="s" s="216">
        <v>726</v>
      </c>
      <c r="D353" s="244">
        <v>42522</v>
      </c>
      <c r="E353" s="244">
        <v>42886</v>
      </c>
      <c r="F353" s="245">
        <v>80</v>
      </c>
      <c r="G353" s="245">
        <v>0</v>
      </c>
      <c r="H353" t="s" s="216">
        <v>659</v>
      </c>
      <c r="I353" s="245">
        <v>364</v>
      </c>
      <c r="J353" s="245">
        <v>60</v>
      </c>
      <c r="K353" s="246">
        <v>0.1648351648351648</v>
      </c>
      <c r="L353" s="244">
        <f>E353-I353*0.4</f>
        <v>42740.4</v>
      </c>
      <c r="M353" s="215"/>
      <c r="N353" s="215"/>
      <c r="O353" s="215"/>
      <c r="P353" s="215"/>
      <c r="Q353" s="215"/>
      <c r="R353" s="215"/>
    </row>
    <row r="354" ht="12.75" customHeight="1">
      <c r="A354" t="s" s="216">
        <v>568</v>
      </c>
      <c r="B354" t="s" s="216">
        <v>668</v>
      </c>
      <c r="C354" t="s" s="216">
        <v>700</v>
      </c>
      <c r="D354" s="244">
        <v>42552</v>
      </c>
      <c r="E354" s="244">
        <v>42916</v>
      </c>
      <c r="F354" s="245">
        <v>10</v>
      </c>
      <c r="G354" s="245">
        <v>0</v>
      </c>
      <c r="H354" t="s" s="216">
        <v>659</v>
      </c>
      <c r="I354" s="245">
        <v>364</v>
      </c>
      <c r="J354" s="245">
        <v>90</v>
      </c>
      <c r="K354" s="246">
        <v>0.2472527472527473</v>
      </c>
      <c r="L354" s="244">
        <f>E354-I354*0.4</f>
        <v>42770.4</v>
      </c>
      <c r="M354" s="215"/>
      <c r="N354" s="215"/>
      <c r="O354" s="215"/>
      <c r="P354" s="215"/>
      <c r="Q354" s="215"/>
      <c r="R354" s="215"/>
    </row>
    <row r="355" ht="12.75" customHeight="1">
      <c r="A355" t="s" s="216">
        <v>568</v>
      </c>
      <c r="B355" t="s" s="216">
        <v>668</v>
      </c>
      <c r="C355" t="s" s="216">
        <v>701</v>
      </c>
      <c r="D355" s="244">
        <v>42583</v>
      </c>
      <c r="E355" s="244">
        <v>42947</v>
      </c>
      <c r="F355" s="245">
        <v>10</v>
      </c>
      <c r="G355" s="245">
        <v>0</v>
      </c>
      <c r="H355" t="s" s="216">
        <v>659</v>
      </c>
      <c r="I355" s="245">
        <v>364</v>
      </c>
      <c r="J355" s="245">
        <v>121</v>
      </c>
      <c r="K355" s="246">
        <v>0.3324175824175824</v>
      </c>
      <c r="L355" s="244">
        <f>E355-I355*0.4</f>
        <v>42801.4</v>
      </c>
      <c r="M355" s="215"/>
      <c r="N355" s="215"/>
      <c r="O355" s="215"/>
      <c r="P355" s="215"/>
      <c r="Q355" s="215"/>
      <c r="R355" s="215"/>
    </row>
    <row r="356" ht="12.75" customHeight="1">
      <c r="A356" t="s" s="216">
        <v>415</v>
      </c>
      <c r="B356" t="s" s="216">
        <v>667</v>
      </c>
      <c r="C356" t="s" s="216">
        <v>733</v>
      </c>
      <c r="D356" s="244">
        <v>42644</v>
      </c>
      <c r="E356" s="244">
        <v>43008</v>
      </c>
      <c r="F356" s="245">
        <v>68</v>
      </c>
      <c r="G356" s="245">
        <v>0</v>
      </c>
      <c r="H356" t="s" s="216">
        <v>659</v>
      </c>
      <c r="I356" s="245">
        <v>364</v>
      </c>
      <c r="J356" s="245">
        <v>182</v>
      </c>
      <c r="K356" s="246">
        <v>0.5</v>
      </c>
      <c r="L356" s="244">
        <f>E356-I356*0.4</f>
        <v>42862.4</v>
      </c>
      <c r="M356" s="215"/>
      <c r="N356" s="215"/>
      <c r="O356" s="215"/>
      <c r="P356" s="215"/>
      <c r="Q356" s="215"/>
      <c r="R356" s="215"/>
    </row>
    <row r="357" ht="12.75" customHeight="1">
      <c r="A357" t="s" s="216">
        <v>415</v>
      </c>
      <c r="B357" t="s" s="216">
        <v>668</v>
      </c>
      <c r="C357" t="s" s="216">
        <v>726</v>
      </c>
      <c r="D357" s="244">
        <v>42522</v>
      </c>
      <c r="E357" s="244">
        <v>42886</v>
      </c>
      <c r="F357" s="245">
        <v>214</v>
      </c>
      <c r="G357" s="245">
        <v>0</v>
      </c>
      <c r="H357" t="s" s="216">
        <v>659</v>
      </c>
      <c r="I357" s="245">
        <v>364</v>
      </c>
      <c r="J357" s="245">
        <v>60</v>
      </c>
      <c r="K357" s="246">
        <v>0.1648351648351648</v>
      </c>
      <c r="L357" s="244">
        <f>E357-I357*0.4</f>
        <v>42740.4</v>
      </c>
      <c r="M357" s="215"/>
      <c r="N357" s="215"/>
      <c r="O357" s="215"/>
      <c r="P357" s="215"/>
      <c r="Q357" s="215"/>
      <c r="R357" s="215"/>
    </row>
    <row r="358" ht="12.75" customHeight="1">
      <c r="A358" t="s" s="216">
        <v>427</v>
      </c>
      <c r="B358" t="s" s="216">
        <v>657</v>
      </c>
      <c r="C358" t="s" s="216">
        <v>700</v>
      </c>
      <c r="D358" s="244">
        <v>42552</v>
      </c>
      <c r="E358" s="244">
        <v>42916</v>
      </c>
      <c r="F358" s="245">
        <v>8</v>
      </c>
      <c r="G358" s="245">
        <v>0</v>
      </c>
      <c r="H358" t="s" s="216">
        <v>659</v>
      </c>
      <c r="I358" s="245">
        <v>364</v>
      </c>
      <c r="J358" s="245">
        <v>90</v>
      </c>
      <c r="K358" s="246">
        <v>0.2472527472527473</v>
      </c>
      <c r="L358" s="244">
        <f>E358-I358*0.4</f>
        <v>42770.4</v>
      </c>
      <c r="M358" s="215"/>
      <c r="N358" s="215"/>
      <c r="O358" s="215"/>
      <c r="P358" s="215"/>
      <c r="Q358" s="215"/>
      <c r="R358" s="215"/>
    </row>
    <row r="359" ht="12.75" customHeight="1">
      <c r="A359" t="s" s="216">
        <v>427</v>
      </c>
      <c r="B359" t="s" s="216">
        <v>657</v>
      </c>
      <c r="C359" t="s" s="216">
        <v>727</v>
      </c>
      <c r="D359" s="244">
        <v>42614</v>
      </c>
      <c r="E359" s="244">
        <v>42978</v>
      </c>
      <c r="F359" s="245">
        <v>688</v>
      </c>
      <c r="G359" s="245">
        <v>0</v>
      </c>
      <c r="H359" t="s" s="216">
        <v>659</v>
      </c>
      <c r="I359" s="245">
        <v>364</v>
      </c>
      <c r="J359" s="245">
        <v>152</v>
      </c>
      <c r="K359" s="246">
        <v>0.4175824175824176</v>
      </c>
      <c r="L359" s="244">
        <f>E359-I359*0.4</f>
        <v>42832.4</v>
      </c>
      <c r="M359" s="215"/>
      <c r="N359" s="215"/>
      <c r="O359" s="215"/>
      <c r="P359" s="215"/>
      <c r="Q359" s="215"/>
      <c r="R359" s="215"/>
    </row>
    <row r="360" ht="12.75" customHeight="1">
      <c r="A360" t="s" s="216">
        <v>427</v>
      </c>
      <c r="B360" t="s" s="216">
        <v>657</v>
      </c>
      <c r="C360" t="s" s="216">
        <v>702</v>
      </c>
      <c r="D360" s="244">
        <v>42675</v>
      </c>
      <c r="E360" s="244">
        <v>43039</v>
      </c>
      <c r="F360" s="245">
        <v>8</v>
      </c>
      <c r="G360" s="245">
        <v>0</v>
      </c>
      <c r="H360" t="s" s="216">
        <v>659</v>
      </c>
      <c r="I360" s="245">
        <v>364</v>
      </c>
      <c r="J360" s="245">
        <v>213</v>
      </c>
      <c r="K360" s="246">
        <v>0.5851648351648352</v>
      </c>
      <c r="L360" s="244">
        <f>E360-I360*0.4</f>
        <v>42893.4</v>
      </c>
      <c r="M360" s="215"/>
      <c r="N360" s="215"/>
      <c r="O360" s="215"/>
      <c r="P360" s="215"/>
      <c r="Q360" s="215"/>
      <c r="R360" s="215"/>
    </row>
    <row r="361" ht="12.75" customHeight="1">
      <c r="A361" t="s" s="216">
        <v>427</v>
      </c>
      <c r="B361" t="s" s="216">
        <v>657</v>
      </c>
      <c r="C361" t="s" s="216">
        <v>703</v>
      </c>
      <c r="D361" s="244">
        <v>42705</v>
      </c>
      <c r="E361" s="244">
        <v>43069</v>
      </c>
      <c r="F361" s="245">
        <v>1584</v>
      </c>
      <c r="G361" s="245">
        <v>0</v>
      </c>
      <c r="H361" t="s" s="216">
        <v>659</v>
      </c>
      <c r="I361" s="245">
        <v>364</v>
      </c>
      <c r="J361" s="245">
        <v>243</v>
      </c>
      <c r="K361" s="246">
        <v>0.6675824175824175</v>
      </c>
      <c r="L361" s="244">
        <f>E361-I361*0.4</f>
        <v>42923.4</v>
      </c>
      <c r="M361" s="215"/>
      <c r="N361" s="215"/>
      <c r="O361" s="215"/>
      <c r="P361" s="215"/>
      <c r="Q361" s="215"/>
      <c r="R361" s="215"/>
    </row>
    <row r="362" ht="12.75" customHeight="1">
      <c r="A362" t="s" s="216">
        <v>427</v>
      </c>
      <c r="B362" t="s" s="216">
        <v>666</v>
      </c>
      <c r="C362" t="s" s="216">
        <v>701</v>
      </c>
      <c r="D362" s="244">
        <v>42583</v>
      </c>
      <c r="E362" s="244">
        <v>42947</v>
      </c>
      <c r="F362" s="245">
        <v>6</v>
      </c>
      <c r="G362" s="245">
        <v>0</v>
      </c>
      <c r="H362" t="s" s="216">
        <v>659</v>
      </c>
      <c r="I362" s="245">
        <v>364</v>
      </c>
      <c r="J362" s="245">
        <v>121</v>
      </c>
      <c r="K362" s="246">
        <v>0.3324175824175824</v>
      </c>
      <c r="L362" s="244">
        <f>E362-I362*0.4</f>
        <v>42801.4</v>
      </c>
      <c r="M362" s="215"/>
      <c r="N362" s="215"/>
      <c r="O362" s="215"/>
      <c r="P362" s="215"/>
      <c r="Q362" s="215"/>
      <c r="R362" s="215"/>
    </row>
    <row r="363" ht="12.75" customHeight="1">
      <c r="A363" t="s" s="216">
        <v>439</v>
      </c>
      <c r="B363" t="s" s="216">
        <v>657</v>
      </c>
      <c r="C363" t="s" s="216">
        <v>734</v>
      </c>
      <c r="D363" s="244">
        <v>42528</v>
      </c>
      <c r="E363" s="244">
        <v>42887</v>
      </c>
      <c r="F363" s="245">
        <v>135</v>
      </c>
      <c r="G363" s="245">
        <v>0</v>
      </c>
      <c r="H363" t="s" s="216">
        <v>659</v>
      </c>
      <c r="I363" s="245">
        <v>359</v>
      </c>
      <c r="J363" s="245">
        <v>61</v>
      </c>
      <c r="K363" s="246">
        <v>0.16991643454039</v>
      </c>
      <c r="L363" s="244">
        <f>E363-I363*0.4</f>
        <v>42743.4</v>
      </c>
      <c r="M363" s="215"/>
      <c r="N363" s="215"/>
      <c r="O363" s="215"/>
      <c r="P363" s="215"/>
      <c r="Q363" s="215"/>
      <c r="R363" s="215"/>
    </row>
    <row r="364" ht="12.75" customHeight="1">
      <c r="A364" t="s" s="216">
        <v>439</v>
      </c>
      <c r="B364" t="s" s="216">
        <v>657</v>
      </c>
      <c r="C364" t="s" s="216">
        <v>735</v>
      </c>
      <c r="D364" s="244">
        <v>42588</v>
      </c>
      <c r="E364" s="244">
        <v>42947</v>
      </c>
      <c r="F364" s="245">
        <v>851</v>
      </c>
      <c r="G364" s="245">
        <v>0</v>
      </c>
      <c r="H364" t="s" s="216">
        <v>659</v>
      </c>
      <c r="I364" s="245">
        <v>359</v>
      </c>
      <c r="J364" s="245">
        <v>121</v>
      </c>
      <c r="K364" s="246">
        <v>0.3370473537604457</v>
      </c>
      <c r="L364" s="244">
        <f>E364-I364*0.4</f>
        <v>42803.4</v>
      </c>
      <c r="M364" s="215"/>
      <c r="N364" s="215"/>
      <c r="O364" s="215"/>
      <c r="P364" s="215"/>
      <c r="Q364" s="215"/>
      <c r="R364" s="215"/>
    </row>
    <row r="365" ht="12.75" customHeight="1">
      <c r="A365" t="s" s="216">
        <v>439</v>
      </c>
      <c r="B365" t="s" s="216">
        <v>657</v>
      </c>
      <c r="C365" t="s" s="216">
        <v>736</v>
      </c>
      <c r="D365" s="244">
        <v>42619</v>
      </c>
      <c r="E365" s="244">
        <v>42978</v>
      </c>
      <c r="F365" s="245">
        <v>316</v>
      </c>
      <c r="G365" s="245">
        <v>0</v>
      </c>
      <c r="H365" t="s" s="216">
        <v>659</v>
      </c>
      <c r="I365" s="245">
        <v>359</v>
      </c>
      <c r="J365" s="245">
        <v>152</v>
      </c>
      <c r="K365" s="246">
        <v>0.4233983286908078</v>
      </c>
      <c r="L365" s="244">
        <f>E365-I365*0.4</f>
        <v>42834.4</v>
      </c>
      <c r="M365" s="215"/>
      <c r="N365" s="215"/>
      <c r="O365" s="215"/>
      <c r="P365" s="215"/>
      <c r="Q365" s="215"/>
      <c r="R365" s="215"/>
    </row>
    <row r="366" ht="12.75" customHeight="1">
      <c r="A366" t="s" s="216">
        <v>439</v>
      </c>
      <c r="B366" t="s" s="216">
        <v>657</v>
      </c>
      <c r="C366" t="s" s="216">
        <v>734</v>
      </c>
      <c r="D366" s="244">
        <v>42528</v>
      </c>
      <c r="E366" s="244">
        <v>42887</v>
      </c>
      <c r="F366" s="245">
        <v>3852</v>
      </c>
      <c r="G366" s="245">
        <v>0</v>
      </c>
      <c r="H366" t="s" s="216">
        <v>659</v>
      </c>
      <c r="I366" s="245">
        <v>359</v>
      </c>
      <c r="J366" s="245">
        <v>61</v>
      </c>
      <c r="K366" s="246">
        <v>0.16991643454039</v>
      </c>
      <c r="L366" s="244">
        <f>E366-I366*0.4</f>
        <v>42743.4</v>
      </c>
      <c r="M366" s="215"/>
      <c r="N366" s="215"/>
      <c r="O366" s="215"/>
      <c r="P366" s="215"/>
      <c r="Q366" s="215"/>
      <c r="R366" s="215"/>
    </row>
    <row r="367" ht="12.75" customHeight="1">
      <c r="A367" t="s" s="216">
        <v>439</v>
      </c>
      <c r="B367" t="s" s="216">
        <v>657</v>
      </c>
      <c r="C367" t="s" s="216">
        <v>735</v>
      </c>
      <c r="D367" s="244">
        <v>42588</v>
      </c>
      <c r="E367" s="244">
        <v>42947</v>
      </c>
      <c r="F367" s="245">
        <v>6916</v>
      </c>
      <c r="G367" s="245">
        <v>0</v>
      </c>
      <c r="H367" t="s" s="216">
        <v>659</v>
      </c>
      <c r="I367" s="245">
        <v>359</v>
      </c>
      <c r="J367" s="245">
        <v>121</v>
      </c>
      <c r="K367" s="246">
        <v>0.3370473537604457</v>
      </c>
      <c r="L367" s="244">
        <f>E367-I367*0.4</f>
        <v>42803.4</v>
      </c>
      <c r="M367" s="215"/>
      <c r="N367" s="215"/>
      <c r="O367" s="215"/>
      <c r="P367" s="215"/>
      <c r="Q367" s="215"/>
      <c r="R367" s="215"/>
    </row>
    <row r="368" ht="12.75" customHeight="1">
      <c r="A368" t="s" s="216">
        <v>439</v>
      </c>
      <c r="B368" t="s" s="216">
        <v>666</v>
      </c>
      <c r="C368" t="s" s="216">
        <v>734</v>
      </c>
      <c r="D368" s="244">
        <v>42528</v>
      </c>
      <c r="E368" s="244">
        <v>42887</v>
      </c>
      <c r="F368" s="245">
        <v>1376</v>
      </c>
      <c r="G368" s="245">
        <v>0</v>
      </c>
      <c r="H368" t="s" s="216">
        <v>659</v>
      </c>
      <c r="I368" s="245">
        <v>359</v>
      </c>
      <c r="J368" s="245">
        <v>61</v>
      </c>
      <c r="K368" s="246">
        <v>0.16991643454039</v>
      </c>
      <c r="L368" s="244">
        <f>E368-I368*0.4</f>
        <v>42743.4</v>
      </c>
      <c r="M368" s="215"/>
      <c r="N368" s="215"/>
      <c r="O368" s="215"/>
      <c r="P368" s="215"/>
      <c r="Q368" s="215"/>
      <c r="R368" s="215"/>
    </row>
    <row r="369" ht="12.75" customHeight="1">
      <c r="A369" t="s" s="216">
        <v>439</v>
      </c>
      <c r="B369" t="s" s="216">
        <v>667</v>
      </c>
      <c r="C369" t="s" s="216">
        <v>735</v>
      </c>
      <c r="D369" s="244">
        <v>42588</v>
      </c>
      <c r="E369" s="244">
        <v>42947</v>
      </c>
      <c r="F369" s="245">
        <v>83</v>
      </c>
      <c r="G369" s="245">
        <v>0</v>
      </c>
      <c r="H369" t="s" s="216">
        <v>659</v>
      </c>
      <c r="I369" s="245">
        <v>359</v>
      </c>
      <c r="J369" s="245">
        <v>121</v>
      </c>
      <c r="K369" s="246">
        <v>0.3370473537604457</v>
      </c>
      <c r="L369" s="244">
        <f>E369-I369*0.4</f>
        <v>42803.4</v>
      </c>
      <c r="M369" s="215"/>
      <c r="N369" s="215"/>
      <c r="O369" s="215"/>
      <c r="P369" s="215"/>
      <c r="Q369" s="215"/>
      <c r="R369" s="215"/>
    </row>
    <row r="370" ht="12.75" customHeight="1">
      <c r="A370" t="s" s="216">
        <v>439</v>
      </c>
      <c r="B370" t="s" s="216">
        <v>668</v>
      </c>
      <c r="C370" t="s" s="216">
        <v>735</v>
      </c>
      <c r="D370" s="244">
        <v>42588</v>
      </c>
      <c r="E370" s="244">
        <v>42947</v>
      </c>
      <c r="F370" s="245">
        <v>2</v>
      </c>
      <c r="G370" s="245">
        <v>0</v>
      </c>
      <c r="H370" t="s" s="216">
        <v>659</v>
      </c>
      <c r="I370" s="245">
        <v>359</v>
      </c>
      <c r="J370" s="245">
        <v>121</v>
      </c>
      <c r="K370" s="246">
        <v>0.3370473537604457</v>
      </c>
      <c r="L370" s="244">
        <f>E370-I370*0.4</f>
        <v>42803.4</v>
      </c>
      <c r="M370" s="215"/>
      <c r="N370" s="215"/>
      <c r="O370" s="215"/>
      <c r="P370" s="215"/>
      <c r="Q370" s="215"/>
      <c r="R370" s="215"/>
    </row>
    <row r="371" ht="12.75" customHeight="1">
      <c r="A371" t="s" s="216">
        <v>439</v>
      </c>
      <c r="B371" t="s" s="216">
        <v>668</v>
      </c>
      <c r="C371" t="s" s="216">
        <v>736</v>
      </c>
      <c r="D371" s="244">
        <v>42619</v>
      </c>
      <c r="E371" s="244">
        <v>42978</v>
      </c>
      <c r="F371" s="245">
        <v>52</v>
      </c>
      <c r="G371" s="245">
        <v>0</v>
      </c>
      <c r="H371" t="s" s="216">
        <v>659</v>
      </c>
      <c r="I371" s="245">
        <v>359</v>
      </c>
      <c r="J371" s="245">
        <v>152</v>
      </c>
      <c r="K371" s="246">
        <v>0.4233983286908078</v>
      </c>
      <c r="L371" s="244">
        <f>E371-I371*0.4</f>
        <v>42834.4</v>
      </c>
      <c r="M371" s="215"/>
      <c r="N371" s="215"/>
      <c r="O371" s="215"/>
      <c r="P371" s="215"/>
      <c r="Q371" s="215"/>
      <c r="R371" s="215"/>
    </row>
    <row r="372" ht="12.75" customHeight="1">
      <c r="A372" t="s" s="216">
        <v>451</v>
      </c>
      <c r="B372" t="s" s="216">
        <v>657</v>
      </c>
      <c r="C372" t="s" s="216">
        <v>700</v>
      </c>
      <c r="D372" s="244">
        <v>42552</v>
      </c>
      <c r="E372" s="244">
        <v>42916</v>
      </c>
      <c r="F372" s="245">
        <v>1</v>
      </c>
      <c r="G372" s="245">
        <v>0</v>
      </c>
      <c r="H372" t="s" s="216">
        <v>659</v>
      </c>
      <c r="I372" s="245">
        <v>364</v>
      </c>
      <c r="J372" s="245">
        <v>90</v>
      </c>
      <c r="K372" s="246">
        <v>0.2472527472527473</v>
      </c>
      <c r="L372" s="244">
        <f>E372-I372*0.4</f>
        <v>42770.4</v>
      </c>
      <c r="M372" s="215"/>
      <c r="N372" s="215"/>
      <c r="O372" s="215"/>
      <c r="P372" s="215"/>
      <c r="Q372" s="215"/>
      <c r="R372" s="215"/>
    </row>
    <row r="373" ht="12.75" customHeight="1">
      <c r="A373" t="s" s="216">
        <v>451</v>
      </c>
      <c r="B373" t="s" s="216">
        <v>657</v>
      </c>
      <c r="C373" t="s" s="216">
        <v>701</v>
      </c>
      <c r="D373" s="244">
        <v>42583</v>
      </c>
      <c r="E373" s="244">
        <v>42947</v>
      </c>
      <c r="F373" s="245">
        <v>132</v>
      </c>
      <c r="G373" s="245">
        <v>0</v>
      </c>
      <c r="H373" t="s" s="216">
        <v>659</v>
      </c>
      <c r="I373" s="245">
        <v>364</v>
      </c>
      <c r="J373" s="245">
        <v>121</v>
      </c>
      <c r="K373" s="246">
        <v>0.3324175824175824</v>
      </c>
      <c r="L373" s="244">
        <f>E373-I373*0.4</f>
        <v>42801.4</v>
      </c>
      <c r="M373" s="215"/>
      <c r="N373" s="215"/>
      <c r="O373" s="215"/>
      <c r="P373" s="215"/>
      <c r="Q373" s="215"/>
      <c r="R373" s="215"/>
    </row>
    <row r="374" ht="12.75" customHeight="1">
      <c r="A374" t="s" s="216">
        <v>451</v>
      </c>
      <c r="B374" t="s" s="216">
        <v>657</v>
      </c>
      <c r="C374" t="s" s="216">
        <v>701</v>
      </c>
      <c r="D374" s="244">
        <v>42583</v>
      </c>
      <c r="E374" s="244">
        <v>42947</v>
      </c>
      <c r="F374" s="245">
        <v>8</v>
      </c>
      <c r="G374" s="245">
        <v>0</v>
      </c>
      <c r="H374" t="s" s="216">
        <v>659</v>
      </c>
      <c r="I374" s="245">
        <v>364</v>
      </c>
      <c r="J374" s="245">
        <v>121</v>
      </c>
      <c r="K374" s="246">
        <v>0.3324175824175824</v>
      </c>
      <c r="L374" s="244">
        <f>E374-I374*0.4</f>
        <v>42801.4</v>
      </c>
      <c r="M374" s="215"/>
      <c r="N374" s="215"/>
      <c r="O374" s="215"/>
      <c r="P374" s="215"/>
      <c r="Q374" s="215"/>
      <c r="R374" s="215"/>
    </row>
    <row r="375" ht="12.75" customHeight="1">
      <c r="A375" t="s" s="216">
        <v>451</v>
      </c>
      <c r="B375" t="s" s="216">
        <v>666</v>
      </c>
      <c r="C375" t="s" s="216">
        <v>700</v>
      </c>
      <c r="D375" s="244">
        <v>42552</v>
      </c>
      <c r="E375" s="244">
        <v>42916</v>
      </c>
      <c r="F375" s="245">
        <v>1</v>
      </c>
      <c r="G375" s="245">
        <v>0</v>
      </c>
      <c r="H375" t="s" s="216">
        <v>659</v>
      </c>
      <c r="I375" s="245">
        <v>364</v>
      </c>
      <c r="J375" s="245">
        <v>90</v>
      </c>
      <c r="K375" s="246">
        <v>0.2472527472527473</v>
      </c>
      <c r="L375" s="244">
        <f>E375-I375*0.4</f>
        <v>42770.4</v>
      </c>
      <c r="M375" s="215"/>
      <c r="N375" s="215"/>
      <c r="O375" s="215"/>
      <c r="P375" s="215"/>
      <c r="Q375" s="215"/>
      <c r="R375" s="215"/>
    </row>
    <row r="376" ht="12.75" customHeight="1">
      <c r="A376" t="s" s="216">
        <v>451</v>
      </c>
      <c r="B376" t="s" s="216">
        <v>666</v>
      </c>
      <c r="C376" t="s" s="216">
        <v>701</v>
      </c>
      <c r="D376" s="244">
        <v>42583</v>
      </c>
      <c r="E376" s="244">
        <v>42947</v>
      </c>
      <c r="F376" s="245">
        <v>49</v>
      </c>
      <c r="G376" s="245">
        <v>0</v>
      </c>
      <c r="H376" t="s" s="216">
        <v>659</v>
      </c>
      <c r="I376" s="245">
        <v>364</v>
      </c>
      <c r="J376" s="245">
        <v>121</v>
      </c>
      <c r="K376" s="246">
        <v>0.3324175824175824</v>
      </c>
      <c r="L376" s="244">
        <f>E376-I376*0.4</f>
        <v>42801.4</v>
      </c>
      <c r="M376" s="215"/>
      <c r="N376" s="215"/>
      <c r="O376" s="215"/>
      <c r="P376" s="215"/>
      <c r="Q376" s="215"/>
      <c r="R376" s="215"/>
    </row>
    <row r="377" ht="12.75" customHeight="1">
      <c r="A377" t="s" s="216">
        <v>451</v>
      </c>
      <c r="B377" t="s" s="216">
        <v>667</v>
      </c>
      <c r="C377" t="s" s="216">
        <v>701</v>
      </c>
      <c r="D377" s="244">
        <v>42583</v>
      </c>
      <c r="E377" s="244">
        <v>42947</v>
      </c>
      <c r="F377" s="245">
        <v>7</v>
      </c>
      <c r="G377" s="245">
        <v>0</v>
      </c>
      <c r="H377" t="s" s="216">
        <v>659</v>
      </c>
      <c r="I377" s="245">
        <v>364</v>
      </c>
      <c r="J377" s="245">
        <v>121</v>
      </c>
      <c r="K377" s="246">
        <v>0.3324175824175824</v>
      </c>
      <c r="L377" s="244">
        <f>E377-I377*0.4</f>
        <v>42801.4</v>
      </c>
      <c r="M377" s="215"/>
      <c r="N377" s="215"/>
      <c r="O377" s="215"/>
      <c r="P377" s="215"/>
      <c r="Q377" s="215"/>
      <c r="R377" s="215"/>
    </row>
    <row r="378" ht="12.75" customHeight="1">
      <c r="A378" t="s" s="216">
        <v>451</v>
      </c>
      <c r="B378" t="s" s="216">
        <v>668</v>
      </c>
      <c r="C378" t="s" s="216">
        <v>700</v>
      </c>
      <c r="D378" s="244">
        <v>42552</v>
      </c>
      <c r="E378" s="244">
        <v>42916</v>
      </c>
      <c r="F378" s="245">
        <v>176</v>
      </c>
      <c r="G378" s="245">
        <v>0</v>
      </c>
      <c r="H378" t="s" s="216">
        <v>659</v>
      </c>
      <c r="I378" s="245">
        <v>364</v>
      </c>
      <c r="J378" s="245">
        <v>90</v>
      </c>
      <c r="K378" s="246">
        <v>0.2472527472527473</v>
      </c>
      <c r="L378" s="244">
        <f>E378-I378*0.4</f>
        <v>42770.4</v>
      </c>
      <c r="M378" s="215"/>
      <c r="N378" s="215"/>
      <c r="O378" s="215"/>
      <c r="P378" s="215"/>
      <c r="Q378" s="215"/>
      <c r="R378" s="215"/>
    </row>
    <row r="379" ht="12.75" customHeight="1">
      <c r="A379" t="s" s="216">
        <v>451</v>
      </c>
      <c r="B379" t="s" s="216">
        <v>668</v>
      </c>
      <c r="C379" t="s" s="216">
        <v>701</v>
      </c>
      <c r="D379" s="244">
        <v>42583</v>
      </c>
      <c r="E379" s="244">
        <v>42947</v>
      </c>
      <c r="F379" s="245">
        <v>8</v>
      </c>
      <c r="G379" s="245">
        <v>0</v>
      </c>
      <c r="H379" t="s" s="216">
        <v>659</v>
      </c>
      <c r="I379" s="245">
        <v>364</v>
      </c>
      <c r="J379" s="245">
        <v>121</v>
      </c>
      <c r="K379" s="246">
        <v>0.3324175824175824</v>
      </c>
      <c r="L379" s="244">
        <f>E379-I379*0.4</f>
        <v>42801.4</v>
      </c>
      <c r="M379" s="215"/>
      <c r="N379" s="215"/>
      <c r="O379" s="215"/>
      <c r="P379" s="215"/>
      <c r="Q379" s="215"/>
      <c r="R379" s="215"/>
    </row>
    <row r="380" ht="12.75" customHeight="1">
      <c r="A380" t="s" s="216">
        <v>554</v>
      </c>
      <c r="B380" t="s" s="216">
        <v>657</v>
      </c>
      <c r="C380" t="s" s="216">
        <v>700</v>
      </c>
      <c r="D380" s="244">
        <v>42552</v>
      </c>
      <c r="E380" s="244">
        <v>42916</v>
      </c>
      <c r="F380" s="245">
        <v>2</v>
      </c>
      <c r="G380" s="245">
        <v>0</v>
      </c>
      <c r="H380" t="s" s="216">
        <v>737</v>
      </c>
      <c r="I380" s="245">
        <v>364</v>
      </c>
      <c r="J380" s="245">
        <v>90</v>
      </c>
      <c r="K380" s="246">
        <v>0.2472527472527473</v>
      </c>
      <c r="L380" s="244">
        <f>E380-I380*0.4</f>
        <v>42770.4</v>
      </c>
      <c r="M380" s="215"/>
      <c r="N380" s="215"/>
      <c r="O380" s="215"/>
      <c r="P380" s="215"/>
      <c r="Q380" s="215"/>
      <c r="R380" s="215"/>
    </row>
    <row r="381" ht="12.75" customHeight="1">
      <c r="A381" t="s" s="216">
        <v>555</v>
      </c>
      <c r="B381" t="s" s="216">
        <v>657</v>
      </c>
      <c r="C381" t="s" s="216">
        <v>699</v>
      </c>
      <c r="D381" s="244">
        <v>42491</v>
      </c>
      <c r="E381" s="244">
        <v>42855</v>
      </c>
      <c r="F381" s="245">
        <v>10</v>
      </c>
      <c r="G381" s="245">
        <v>0</v>
      </c>
      <c r="H381" t="s" s="216">
        <v>737</v>
      </c>
      <c r="I381" s="245">
        <v>364</v>
      </c>
      <c r="J381" s="245">
        <v>29</v>
      </c>
      <c r="K381" s="246">
        <v>0.07967032967032966</v>
      </c>
      <c r="L381" s="244">
        <f>E381-I381*0.4</f>
        <v>42709.4</v>
      </c>
      <c r="M381" s="215"/>
      <c r="N381" s="215"/>
      <c r="O381" s="215"/>
      <c r="P381" s="215"/>
      <c r="Q381" s="215"/>
      <c r="R381" s="215"/>
    </row>
    <row r="382" ht="12.75" customHeight="1">
      <c r="A382" t="s" s="216">
        <v>555</v>
      </c>
      <c r="B382" t="s" s="216">
        <v>657</v>
      </c>
      <c r="C382" t="s" s="216">
        <v>700</v>
      </c>
      <c r="D382" s="244">
        <v>42552</v>
      </c>
      <c r="E382" s="244">
        <v>42916</v>
      </c>
      <c r="F382" s="245">
        <v>1</v>
      </c>
      <c r="G382" s="245">
        <v>0</v>
      </c>
      <c r="H382" t="s" s="216">
        <v>737</v>
      </c>
      <c r="I382" s="245">
        <v>364</v>
      </c>
      <c r="J382" s="245">
        <v>90</v>
      </c>
      <c r="K382" s="246">
        <v>0.2472527472527473</v>
      </c>
      <c r="L382" s="244">
        <f>E382-I382*0.4</f>
        <v>42770.4</v>
      </c>
      <c r="M382" s="215"/>
      <c r="N382" s="215"/>
      <c r="O382" s="215"/>
      <c r="P382" s="215"/>
      <c r="Q382" s="215"/>
      <c r="R382" s="215"/>
    </row>
    <row r="383" ht="12.75" customHeight="1">
      <c r="A383" t="s" s="216">
        <v>556</v>
      </c>
      <c r="B383" t="s" s="216">
        <v>657</v>
      </c>
      <c r="C383" t="s" s="216">
        <v>738</v>
      </c>
      <c r="D383" s="244">
        <v>42675</v>
      </c>
      <c r="E383" s="244">
        <v>42978</v>
      </c>
      <c r="F383" s="245">
        <v>2432</v>
      </c>
      <c r="G383" s="245">
        <v>0</v>
      </c>
      <c r="H383" t="s" s="216">
        <v>659</v>
      </c>
      <c r="I383" s="245">
        <v>303</v>
      </c>
      <c r="J383" s="245">
        <v>152</v>
      </c>
      <c r="K383" s="246">
        <v>0.5016501650165016</v>
      </c>
      <c r="L383" s="244">
        <f>E383-I383*0.4</f>
        <v>42856.8</v>
      </c>
      <c r="M383" s="215"/>
      <c r="N383" s="215"/>
      <c r="O383" s="215"/>
      <c r="P383" s="215"/>
      <c r="Q383" s="215"/>
      <c r="R383" s="215"/>
    </row>
    <row r="384" ht="12.75" customHeight="1">
      <c r="A384" t="s" s="216">
        <v>556</v>
      </c>
      <c r="B384" t="s" s="216">
        <v>657</v>
      </c>
      <c r="C384" t="s" s="216">
        <v>738</v>
      </c>
      <c r="D384" s="244">
        <v>42675</v>
      </c>
      <c r="E384" s="244">
        <v>42978</v>
      </c>
      <c r="F384" s="245">
        <v>3552</v>
      </c>
      <c r="G384" s="245">
        <v>0</v>
      </c>
      <c r="H384" t="s" s="216">
        <v>659</v>
      </c>
      <c r="I384" s="245">
        <v>303</v>
      </c>
      <c r="J384" s="245">
        <v>152</v>
      </c>
      <c r="K384" s="246">
        <v>0.5016501650165016</v>
      </c>
      <c r="L384" s="244">
        <f>E384-I384*0.4</f>
        <v>42856.8</v>
      </c>
      <c r="M384" s="215"/>
      <c r="N384" s="215"/>
      <c r="O384" s="215"/>
      <c r="P384" s="215"/>
      <c r="Q384" s="215"/>
      <c r="R384" s="215"/>
    </row>
    <row r="385" ht="12.75" customHeight="1">
      <c r="A385" t="s" s="216">
        <v>556</v>
      </c>
      <c r="B385" t="s" s="216">
        <v>666</v>
      </c>
      <c r="C385" t="s" s="216">
        <v>738</v>
      </c>
      <c r="D385" s="244">
        <v>42675</v>
      </c>
      <c r="E385" s="244">
        <v>42978</v>
      </c>
      <c r="F385" s="245">
        <v>1808</v>
      </c>
      <c r="G385" s="245">
        <v>0</v>
      </c>
      <c r="H385" t="s" s="216">
        <v>659</v>
      </c>
      <c r="I385" s="245">
        <v>303</v>
      </c>
      <c r="J385" s="245">
        <v>152</v>
      </c>
      <c r="K385" s="246">
        <v>0.5016501650165016</v>
      </c>
      <c r="L385" s="244">
        <f>E385-I385*0.4</f>
        <v>42856.8</v>
      </c>
      <c r="M385" s="215"/>
      <c r="N385" s="215"/>
      <c r="O385" s="215"/>
      <c r="P385" s="215"/>
      <c r="Q385" s="215"/>
      <c r="R385" s="215"/>
    </row>
    <row r="386" ht="14.25" customHeight="1">
      <c r="A386" t="s" s="216">
        <v>556</v>
      </c>
      <c r="B386" t="s" s="216">
        <v>667</v>
      </c>
      <c r="C386" t="s" s="216">
        <v>738</v>
      </c>
      <c r="D386" s="244">
        <v>42675</v>
      </c>
      <c r="E386" s="244">
        <v>42978</v>
      </c>
      <c r="F386" s="245">
        <v>493</v>
      </c>
      <c r="G386" s="245">
        <v>0</v>
      </c>
      <c r="H386" t="s" s="216">
        <v>659</v>
      </c>
      <c r="I386" s="245">
        <v>303</v>
      </c>
      <c r="J386" s="245">
        <v>152</v>
      </c>
      <c r="K386" s="246">
        <v>0.5016501650165016</v>
      </c>
      <c r="L386" s="244">
        <f>E386-I386*0.4</f>
        <v>42856.8</v>
      </c>
      <c r="M386" s="215"/>
      <c r="N386" s="215"/>
      <c r="O386" s="215"/>
      <c r="P386" s="215"/>
      <c r="Q386" s="215"/>
      <c r="R386" s="215"/>
    </row>
  </sheetData>
  <conditionalFormatting sqref="N3:N9 N11:N15 N17:N24 N26:N29 N31:N37 N39:N46 N48:N55 N57:N61 N63:N67 N69:N73 N75:N80 N82:N89 N91:N97 N99:N100 N102:N103 N105:N107 N109:N111 N113:N117 N119:N121 N123:N125 N127:N129 N131:N132 N134:N136 N138:N140 N142 N144:N145 N147:N149 N151:N154 N156:N157 N159:N162 N164:N165 N167:N168 N170:N172 N174:N176 N178:N179 N181:N184 N186:N187 N189:N193 N195:N197 N199:N200 N202 N204:N205 N207">
    <cfRule type="cellIs" dxfId="10" priority="1" operator="between" stopIfTrue="1">
      <formula>42826</formula>
      <formula>42850</formula>
    </cfRule>
  </conditionalFormatting>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11.xml><?xml version="1.0" encoding="utf-8"?>
<worksheet xmlns:r="http://schemas.openxmlformats.org/officeDocument/2006/relationships" xmlns="http://schemas.openxmlformats.org/spreadsheetml/2006/main">
  <dimension ref="A1:U318"/>
  <sheetViews>
    <sheetView workbookViewId="0" showGridLines="0" defaultGridColor="1"/>
  </sheetViews>
  <sheetFormatPr defaultColWidth="9" defaultRowHeight="12.75" customHeight="1" outlineLevelRow="0" outlineLevelCol="0"/>
  <cols>
    <col min="1" max="1" width="9" style="263" customWidth="1"/>
    <col min="2" max="2" width="11.6719" style="263" customWidth="1"/>
    <col min="3" max="3" width="8.17188" style="263" customWidth="1"/>
    <col min="4" max="4" width="8.17188" style="263" customWidth="1"/>
    <col min="5" max="5" width="11.6719" style="263" customWidth="1"/>
    <col min="6" max="6" width="11.6719" style="263" customWidth="1"/>
    <col min="7" max="7" width="13.1719" style="263" customWidth="1"/>
    <col min="8" max="8" width="11.6719" style="263" customWidth="1"/>
    <col min="9" max="9" width="9.5" style="263" customWidth="1"/>
    <col min="10" max="10" width="9.67188" style="263" customWidth="1"/>
    <col min="11" max="11" width="5.5" style="263" customWidth="1"/>
    <col min="12" max="12" width="5.17188" style="263" customWidth="1"/>
    <col min="13" max="13" width="5.5" style="263" customWidth="1"/>
    <col min="14" max="14" width="9" style="263" customWidth="1"/>
    <col min="15" max="15" width="11.6719" style="263" customWidth="1"/>
    <col min="16" max="16" width="8.5" style="263" customWidth="1"/>
    <col min="17" max="17" width="16.6719" style="263" customWidth="1"/>
    <col min="18" max="18" width="14" style="263" customWidth="1"/>
    <col min="19" max="19" width="1.35156" style="263" customWidth="1"/>
    <col min="20" max="20" width="8.5" style="263" customWidth="1"/>
    <col min="21" max="21" width="8.5" style="263" customWidth="1"/>
    <col min="22" max="256" width="9" style="263" customWidth="1"/>
  </cols>
  <sheetData>
    <row r="1" ht="16" customHeight="1">
      <c r="A1" t="s" s="216">
        <v>642</v>
      </c>
      <c r="B1" t="s" s="216">
        <v>739</v>
      </c>
      <c r="C1" t="s" s="216">
        <v>643</v>
      </c>
      <c r="D1" t="s" s="216">
        <v>740</v>
      </c>
      <c r="E1" t="s" s="216">
        <v>741</v>
      </c>
      <c r="F1" t="s" s="216">
        <v>644</v>
      </c>
      <c r="G1" t="s" s="216">
        <v>645</v>
      </c>
      <c r="H1" t="s" s="216">
        <v>646</v>
      </c>
      <c r="I1" t="s" s="216">
        <v>647</v>
      </c>
      <c r="J1" t="s" s="216">
        <v>648</v>
      </c>
      <c r="K1" t="s" s="216">
        <v>649</v>
      </c>
      <c r="L1" t="s" s="216">
        <v>650</v>
      </c>
      <c r="M1" t="s" s="216">
        <v>651</v>
      </c>
      <c r="N1" t="s" s="216">
        <v>652</v>
      </c>
      <c r="O1" t="s" s="216">
        <v>742</v>
      </c>
      <c r="P1" s="239"/>
      <c r="Q1" t="s" s="240">
        <v>654</v>
      </c>
      <c r="R1" t="s" s="240">
        <v>655</v>
      </c>
      <c r="S1" s="264"/>
      <c r="T1" s="265"/>
      <c r="U1" t="s" s="243">
        <v>656</v>
      </c>
    </row>
    <row r="2" ht="16" customHeight="1">
      <c r="A2" t="s" s="216">
        <v>19</v>
      </c>
      <c r="B2" t="s" s="216">
        <v>577</v>
      </c>
      <c r="C2" t="s" s="216">
        <v>657</v>
      </c>
      <c r="D2" s="245">
        <v>1000</v>
      </c>
      <c r="E2" t="s" s="216">
        <v>743</v>
      </c>
      <c r="F2" s="245">
        <v>1709300708</v>
      </c>
      <c r="G2" s="244">
        <v>42559</v>
      </c>
      <c r="H2" s="244">
        <v>43008</v>
      </c>
      <c r="I2" s="245">
        <v>11</v>
      </c>
      <c r="J2" s="245">
        <v>0</v>
      </c>
      <c r="K2" t="s" s="216">
        <v>659</v>
      </c>
      <c r="L2" s="245">
        <v>449</v>
      </c>
      <c r="M2" s="245">
        <v>164</v>
      </c>
      <c r="N2" s="246">
        <v>0.3652561247216036</v>
      </c>
      <c r="O2" s="244">
        <f>H2-0.4*L2</f>
        <v>42828.4</v>
      </c>
      <c r="P2" s="215"/>
      <c r="Q2" t="s" s="266">
        <v>19</v>
      </c>
      <c r="R2" s="259">
        <v>124008</v>
      </c>
      <c r="S2" s="61"/>
      <c r="T2" s="267"/>
      <c r="U2" t="s" s="243">
        <v>660</v>
      </c>
    </row>
    <row r="3" ht="16" customHeight="1">
      <c r="A3" t="s" s="216">
        <v>19</v>
      </c>
      <c r="B3" t="s" s="216">
        <v>577</v>
      </c>
      <c r="C3" t="s" s="216">
        <v>657</v>
      </c>
      <c r="D3" s="245">
        <v>1000</v>
      </c>
      <c r="E3" t="s" s="216">
        <v>743</v>
      </c>
      <c r="F3" s="245">
        <v>1710310808</v>
      </c>
      <c r="G3" s="244">
        <v>42590</v>
      </c>
      <c r="H3" s="244">
        <v>43039</v>
      </c>
      <c r="I3" s="245">
        <v>44052</v>
      </c>
      <c r="J3" s="245">
        <v>0</v>
      </c>
      <c r="K3" t="s" s="216">
        <v>659</v>
      </c>
      <c r="L3" s="245">
        <v>449</v>
      </c>
      <c r="M3" s="245">
        <v>195</v>
      </c>
      <c r="N3" s="246">
        <v>0.4342984409799555</v>
      </c>
      <c r="O3" s="244">
        <f>H3-0.4*L3</f>
        <v>42859.4</v>
      </c>
      <c r="P3" s="239"/>
      <c r="Q3" s="268">
        <v>42828.4</v>
      </c>
      <c r="R3" s="269">
        <v>5614</v>
      </c>
      <c r="S3" s="61"/>
      <c r="T3" s="270"/>
      <c r="U3" t="s" s="243">
        <v>744</v>
      </c>
    </row>
    <row r="4" ht="16" customHeight="1">
      <c r="A4" t="s" s="216">
        <v>19</v>
      </c>
      <c r="B4" t="s" s="216">
        <v>577</v>
      </c>
      <c r="C4" t="s" s="216">
        <v>657</v>
      </c>
      <c r="D4" s="245">
        <v>1000</v>
      </c>
      <c r="E4" t="s" s="216">
        <v>743</v>
      </c>
      <c r="F4" s="245">
        <v>1711300907</v>
      </c>
      <c r="G4" s="244">
        <v>42620</v>
      </c>
      <c r="H4" s="244">
        <v>43069</v>
      </c>
      <c r="I4" s="245">
        <v>53652</v>
      </c>
      <c r="J4" s="245">
        <v>0</v>
      </c>
      <c r="K4" t="s" s="216">
        <v>659</v>
      </c>
      <c r="L4" s="245">
        <v>449</v>
      </c>
      <c r="M4" s="245">
        <v>225</v>
      </c>
      <c r="N4" s="246">
        <v>0.5011135857461024</v>
      </c>
      <c r="O4" s="244">
        <f>H4-0.4*L4</f>
        <v>42889.4</v>
      </c>
      <c r="P4" s="239"/>
      <c r="Q4" s="268">
        <v>42859.4</v>
      </c>
      <c r="R4" s="271">
        <v>44807</v>
      </c>
      <c r="S4" s="61"/>
      <c r="T4" s="272"/>
      <c r="U4" s="215"/>
    </row>
    <row r="5" ht="16" customHeight="1">
      <c r="A5" t="s" s="216">
        <v>19</v>
      </c>
      <c r="B5" t="s" s="216">
        <v>577</v>
      </c>
      <c r="C5" t="s" s="216">
        <v>657</v>
      </c>
      <c r="D5" s="245">
        <v>1000</v>
      </c>
      <c r="E5" t="s" s="216">
        <v>743</v>
      </c>
      <c r="F5" s="245">
        <v>1712311008</v>
      </c>
      <c r="G5" s="244">
        <v>42651</v>
      </c>
      <c r="H5" s="244">
        <v>43100</v>
      </c>
      <c r="I5" s="245">
        <v>1104</v>
      </c>
      <c r="J5" s="245">
        <v>0</v>
      </c>
      <c r="K5" t="s" s="216">
        <v>659</v>
      </c>
      <c r="L5" s="245">
        <v>449</v>
      </c>
      <c r="M5" s="245">
        <v>256</v>
      </c>
      <c r="N5" s="246">
        <v>0.5701559020044543</v>
      </c>
      <c r="O5" s="244">
        <f>H5-0.4*L5</f>
        <v>42920.4</v>
      </c>
      <c r="P5" s="239"/>
      <c r="Q5" s="268">
        <v>42889.4</v>
      </c>
      <c r="R5" s="271">
        <v>54664</v>
      </c>
      <c r="S5" s="61"/>
      <c r="T5" s="237"/>
      <c r="U5" s="215"/>
    </row>
    <row r="6" ht="16" customHeight="1">
      <c r="A6" t="s" s="216">
        <v>19</v>
      </c>
      <c r="B6" t="s" s="216">
        <v>577</v>
      </c>
      <c r="C6" t="s" s="216">
        <v>657</v>
      </c>
      <c r="D6" s="245">
        <v>1000</v>
      </c>
      <c r="E6" t="s" s="216">
        <v>743</v>
      </c>
      <c r="F6" s="245">
        <v>1802281206</v>
      </c>
      <c r="G6" s="244">
        <v>42710</v>
      </c>
      <c r="H6" s="244">
        <v>43159</v>
      </c>
      <c r="I6" s="245">
        <v>3408</v>
      </c>
      <c r="J6" s="245">
        <v>0</v>
      </c>
      <c r="K6" t="s" s="216">
        <v>659</v>
      </c>
      <c r="L6" s="245">
        <v>449</v>
      </c>
      <c r="M6" s="245">
        <v>315</v>
      </c>
      <c r="N6" s="246">
        <v>0.7015590200445434</v>
      </c>
      <c r="O6" s="244">
        <f>H6-0.4*L6</f>
        <v>42979.4</v>
      </c>
      <c r="P6" s="239"/>
      <c r="Q6" s="268">
        <v>42920.4</v>
      </c>
      <c r="R6" s="271">
        <v>2878</v>
      </c>
      <c r="S6" s="61"/>
      <c r="T6" s="237"/>
      <c r="U6" s="215"/>
    </row>
    <row r="7" ht="16" customHeight="1">
      <c r="A7" t="s" s="216">
        <v>19</v>
      </c>
      <c r="B7" t="s" s="216">
        <v>577</v>
      </c>
      <c r="C7" t="s" s="216">
        <v>657</v>
      </c>
      <c r="D7" s="245">
        <v>1610</v>
      </c>
      <c r="E7" t="s" s="216">
        <v>745</v>
      </c>
      <c r="F7" s="245">
        <v>1710310808</v>
      </c>
      <c r="G7" s="244">
        <v>42590</v>
      </c>
      <c r="H7" s="244">
        <v>43039</v>
      </c>
      <c r="I7" s="245">
        <v>0</v>
      </c>
      <c r="J7" s="245">
        <v>0</v>
      </c>
      <c r="K7" t="s" s="216">
        <v>659</v>
      </c>
      <c r="L7" s="245">
        <v>449</v>
      </c>
      <c r="M7" s="245">
        <v>195</v>
      </c>
      <c r="N7" s="246">
        <v>0.4342984409799555</v>
      </c>
      <c r="O7" s="244">
        <f>H7-0.4*L7</f>
        <v>42859.4</v>
      </c>
      <c r="P7" s="239"/>
      <c r="Q7" s="268">
        <v>42979.4</v>
      </c>
      <c r="R7" s="271">
        <v>4236</v>
      </c>
      <c r="S7" s="61"/>
      <c r="T7" s="237"/>
      <c r="U7" s="215"/>
    </row>
    <row r="8" ht="16" customHeight="1">
      <c r="A8" t="s" s="216">
        <v>19</v>
      </c>
      <c r="B8" t="s" s="216">
        <v>577</v>
      </c>
      <c r="C8" t="s" s="216">
        <v>657</v>
      </c>
      <c r="D8" s="245">
        <v>1610</v>
      </c>
      <c r="E8" t="s" s="216">
        <v>745</v>
      </c>
      <c r="F8" s="245">
        <v>1711300907</v>
      </c>
      <c r="G8" s="244">
        <v>42620</v>
      </c>
      <c r="H8" s="244">
        <v>43069</v>
      </c>
      <c r="I8" s="245">
        <v>0</v>
      </c>
      <c r="J8" s="245">
        <v>0</v>
      </c>
      <c r="K8" t="s" s="216">
        <v>659</v>
      </c>
      <c r="L8" s="245">
        <v>449</v>
      </c>
      <c r="M8" s="245">
        <v>225</v>
      </c>
      <c r="N8" s="246">
        <v>0.5011135857461024</v>
      </c>
      <c r="O8" s="244">
        <f>H8-0.4*L8</f>
        <v>42889.4</v>
      </c>
      <c r="P8" s="239"/>
      <c r="Q8" s="268">
        <v>42798.4</v>
      </c>
      <c r="R8" s="273">
        <v>1</v>
      </c>
      <c r="S8" s="61"/>
      <c r="T8" s="237"/>
      <c r="U8" s="215"/>
    </row>
    <row r="9" ht="16" customHeight="1">
      <c r="A9" t="s" s="216">
        <v>19</v>
      </c>
      <c r="B9" t="s" s="216">
        <v>577</v>
      </c>
      <c r="C9" t="s" s="216">
        <v>657</v>
      </c>
      <c r="D9" s="245">
        <v>1610</v>
      </c>
      <c r="E9" t="s" s="216">
        <v>745</v>
      </c>
      <c r="F9" s="245">
        <v>1712311008</v>
      </c>
      <c r="G9" s="244">
        <v>42651</v>
      </c>
      <c r="H9" s="244">
        <v>43100</v>
      </c>
      <c r="I9" s="245">
        <v>0</v>
      </c>
      <c r="J9" s="245">
        <v>0</v>
      </c>
      <c r="K9" t="s" s="216">
        <v>659</v>
      </c>
      <c r="L9" s="245">
        <v>449</v>
      </c>
      <c r="M9" s="245">
        <v>256</v>
      </c>
      <c r="N9" s="246">
        <v>0.5701559020044543</v>
      </c>
      <c r="O9" s="244">
        <f>H9-0.4*L9</f>
        <v>42920.4</v>
      </c>
      <c r="P9" s="239"/>
      <c r="Q9" s="268">
        <v>42979</v>
      </c>
      <c r="R9" s="274">
        <v>11808</v>
      </c>
      <c r="S9" s="61"/>
      <c r="T9" s="237"/>
      <c r="U9" s="215"/>
    </row>
    <row r="10" ht="16" customHeight="1">
      <c r="A10" t="s" s="216">
        <v>19</v>
      </c>
      <c r="B10" t="s" s="216">
        <v>577</v>
      </c>
      <c r="C10" t="s" s="216">
        <v>657</v>
      </c>
      <c r="D10" s="245">
        <v>1610</v>
      </c>
      <c r="E10" t="s" s="216">
        <v>745</v>
      </c>
      <c r="F10" s="245">
        <v>1802281206</v>
      </c>
      <c r="G10" s="244">
        <v>42710</v>
      </c>
      <c r="H10" s="244">
        <v>43159</v>
      </c>
      <c r="I10" s="245">
        <v>0</v>
      </c>
      <c r="J10" s="245">
        <v>0</v>
      </c>
      <c r="K10" t="s" s="216">
        <v>659</v>
      </c>
      <c r="L10" s="245">
        <v>449</v>
      </c>
      <c r="M10" s="245">
        <v>315</v>
      </c>
      <c r="N10" s="246">
        <v>0.7015590200445434</v>
      </c>
      <c r="O10" s="244">
        <f>H10-0.4*L10</f>
        <v>42979.4</v>
      </c>
      <c r="P10" s="215"/>
      <c r="Q10" t="s" s="266">
        <v>42</v>
      </c>
      <c r="R10" s="259">
        <v>22094</v>
      </c>
      <c r="S10" s="61"/>
      <c r="T10" s="237"/>
      <c r="U10" s="215"/>
    </row>
    <row r="11" ht="16" customHeight="1">
      <c r="A11" t="s" s="216">
        <v>19</v>
      </c>
      <c r="B11" t="s" s="216">
        <v>577</v>
      </c>
      <c r="C11" t="s" s="216">
        <v>657</v>
      </c>
      <c r="D11" s="245">
        <v>1628</v>
      </c>
      <c r="E11" t="s" s="216">
        <v>746</v>
      </c>
      <c r="F11" s="245">
        <v>1712311008</v>
      </c>
      <c r="G11" s="244">
        <v>42651</v>
      </c>
      <c r="H11" s="244">
        <v>43100</v>
      </c>
      <c r="I11" s="245">
        <v>46</v>
      </c>
      <c r="J11" s="245">
        <v>0</v>
      </c>
      <c r="K11" t="s" s="216">
        <v>659</v>
      </c>
      <c r="L11" s="245">
        <v>449</v>
      </c>
      <c r="M11" s="245">
        <v>256</v>
      </c>
      <c r="N11" s="246">
        <v>0.5701559020044543</v>
      </c>
      <c r="O11" s="244">
        <f>H11-0.4*L11</f>
        <v>42920.4</v>
      </c>
      <c r="P11" s="239"/>
      <c r="Q11" s="268">
        <v>42843.4</v>
      </c>
      <c r="R11" s="269">
        <v>1251</v>
      </c>
      <c r="S11" s="61"/>
      <c r="T11" s="237"/>
      <c r="U11" s="215"/>
    </row>
    <row r="12" ht="16" customHeight="1">
      <c r="A12" t="s" s="216">
        <v>19</v>
      </c>
      <c r="B12" t="s" s="216">
        <v>577</v>
      </c>
      <c r="C12" t="s" s="216">
        <v>666</v>
      </c>
      <c r="D12" s="245">
        <v>2000</v>
      </c>
      <c r="E12" t="s" s="216">
        <v>747</v>
      </c>
      <c r="F12" s="245">
        <v>1708310608</v>
      </c>
      <c r="G12" s="244">
        <v>42529</v>
      </c>
      <c r="H12" s="244">
        <v>42978</v>
      </c>
      <c r="I12" s="245">
        <v>1</v>
      </c>
      <c r="J12" s="245">
        <v>0</v>
      </c>
      <c r="K12" t="s" s="216">
        <v>659</v>
      </c>
      <c r="L12" s="245">
        <v>449</v>
      </c>
      <c r="M12" s="245">
        <v>134</v>
      </c>
      <c r="N12" s="246">
        <v>0.2984409799554566</v>
      </c>
      <c r="O12" s="244">
        <f>H12-0.4*L12</f>
        <v>42798.4</v>
      </c>
      <c r="P12" s="239"/>
      <c r="Q12" s="268">
        <v>42887.4</v>
      </c>
      <c r="R12" s="271">
        <v>2495</v>
      </c>
      <c r="S12" s="61"/>
      <c r="T12" s="237"/>
      <c r="U12" s="215"/>
    </row>
    <row r="13" ht="16" customHeight="1">
      <c r="A13" t="s" s="216">
        <v>19</v>
      </c>
      <c r="B13" t="s" s="216">
        <v>577</v>
      </c>
      <c r="C13" t="s" s="216">
        <v>666</v>
      </c>
      <c r="D13" s="245">
        <v>2000</v>
      </c>
      <c r="E13" t="s" s="216">
        <v>747</v>
      </c>
      <c r="F13" s="245">
        <v>1709300708</v>
      </c>
      <c r="G13" s="244">
        <v>42559</v>
      </c>
      <c r="H13" s="244">
        <v>43008</v>
      </c>
      <c r="I13" s="245">
        <v>5603</v>
      </c>
      <c r="J13" s="245">
        <v>0</v>
      </c>
      <c r="K13" t="s" s="216">
        <v>659</v>
      </c>
      <c r="L13" s="245">
        <v>449</v>
      </c>
      <c r="M13" s="245">
        <v>164</v>
      </c>
      <c r="N13" s="246">
        <v>0.3652561247216036</v>
      </c>
      <c r="O13" s="244">
        <f>H13-0.4*L13</f>
        <v>42828.4</v>
      </c>
      <c r="P13" s="239"/>
      <c r="Q13" s="268">
        <v>42921.4</v>
      </c>
      <c r="R13" s="271">
        <v>1848</v>
      </c>
      <c r="S13" s="61"/>
      <c r="T13" s="237"/>
      <c r="U13" s="215"/>
    </row>
    <row r="14" ht="16" customHeight="1">
      <c r="A14" t="s" s="216">
        <v>19</v>
      </c>
      <c r="B14" t="s" s="216">
        <v>577</v>
      </c>
      <c r="C14" t="s" s="216">
        <v>666</v>
      </c>
      <c r="D14" s="245">
        <v>2000</v>
      </c>
      <c r="E14" t="s" s="216">
        <v>747</v>
      </c>
      <c r="F14" s="245">
        <v>1710310808</v>
      </c>
      <c r="G14" s="244">
        <v>42590</v>
      </c>
      <c r="H14" s="244">
        <v>43039</v>
      </c>
      <c r="I14" s="245">
        <v>755</v>
      </c>
      <c r="J14" s="245">
        <v>0</v>
      </c>
      <c r="K14" t="s" s="216">
        <v>659</v>
      </c>
      <c r="L14" s="245">
        <v>449</v>
      </c>
      <c r="M14" s="245">
        <v>195</v>
      </c>
      <c r="N14" s="246">
        <v>0.4342984409799555</v>
      </c>
      <c r="O14" s="244">
        <f>H14-0.4*L14</f>
        <v>42859.4</v>
      </c>
      <c r="P14" s="239"/>
      <c r="Q14" s="268">
        <v>42812.4</v>
      </c>
      <c r="R14" s="271">
        <v>3971</v>
      </c>
      <c r="S14" s="61"/>
      <c r="T14" s="237"/>
      <c r="U14" s="215"/>
    </row>
    <row r="15" ht="16" customHeight="1">
      <c r="A15" t="s" s="216">
        <v>19</v>
      </c>
      <c r="B15" t="s" s="216">
        <v>577</v>
      </c>
      <c r="C15" t="s" s="216">
        <v>666</v>
      </c>
      <c r="D15" s="245">
        <v>2000</v>
      </c>
      <c r="E15" t="s" s="216">
        <v>747</v>
      </c>
      <c r="F15" s="245">
        <v>1711300907</v>
      </c>
      <c r="G15" s="244">
        <v>42620</v>
      </c>
      <c r="H15" s="244">
        <v>43069</v>
      </c>
      <c r="I15" s="245">
        <v>945</v>
      </c>
      <c r="J15" s="245">
        <v>0</v>
      </c>
      <c r="K15" t="s" s="216">
        <v>659</v>
      </c>
      <c r="L15" s="245">
        <v>449</v>
      </c>
      <c r="M15" s="245">
        <v>225</v>
      </c>
      <c r="N15" s="246">
        <v>0.5011135857461024</v>
      </c>
      <c r="O15" s="244">
        <f>H15-0.4*L15</f>
        <v>42889.4</v>
      </c>
      <c r="P15" s="239"/>
      <c r="Q15" s="268">
        <v>42775.4</v>
      </c>
      <c r="R15" s="271">
        <v>910</v>
      </c>
      <c r="S15" s="61"/>
      <c r="T15" s="237"/>
      <c r="U15" s="215"/>
    </row>
    <row r="16" ht="16" customHeight="1">
      <c r="A16" t="s" s="216">
        <v>19</v>
      </c>
      <c r="B16" t="s" s="216">
        <v>577</v>
      </c>
      <c r="C16" t="s" s="216">
        <v>666</v>
      </c>
      <c r="D16" s="245">
        <v>2000</v>
      </c>
      <c r="E16" t="s" s="216">
        <v>747</v>
      </c>
      <c r="F16" s="245">
        <v>1712311008</v>
      </c>
      <c r="G16" s="244">
        <v>42651</v>
      </c>
      <c r="H16" s="244">
        <v>43100</v>
      </c>
      <c r="I16" s="245">
        <v>1728</v>
      </c>
      <c r="J16" s="245">
        <v>0</v>
      </c>
      <c r="K16" t="s" s="216">
        <v>659</v>
      </c>
      <c r="L16" s="245">
        <v>449</v>
      </c>
      <c r="M16" s="245">
        <v>256</v>
      </c>
      <c r="N16" s="246">
        <v>0.5701559020044543</v>
      </c>
      <c r="O16" s="244">
        <f>H16-0.4*L16</f>
        <v>42920.4</v>
      </c>
      <c r="P16" s="239"/>
      <c r="Q16" s="268">
        <v>42749.4</v>
      </c>
      <c r="R16" s="273">
        <v>819</v>
      </c>
      <c r="S16" s="61"/>
      <c r="T16" s="237"/>
      <c r="U16" s="215"/>
    </row>
    <row r="17" ht="16" customHeight="1">
      <c r="A17" t="s" s="216">
        <v>19</v>
      </c>
      <c r="B17" t="s" s="216">
        <v>577</v>
      </c>
      <c r="C17" t="s" s="216">
        <v>666</v>
      </c>
      <c r="D17" s="245">
        <v>2000</v>
      </c>
      <c r="E17" t="s" s="216">
        <v>747</v>
      </c>
      <c r="F17" s="245">
        <v>1802281206</v>
      </c>
      <c r="G17" s="244">
        <v>42710</v>
      </c>
      <c r="H17" s="244">
        <v>43159</v>
      </c>
      <c r="I17" s="245">
        <v>84</v>
      </c>
      <c r="J17" s="245">
        <v>0</v>
      </c>
      <c r="K17" t="s" s="216">
        <v>659</v>
      </c>
      <c r="L17" s="245">
        <v>449</v>
      </c>
      <c r="M17" s="245">
        <v>315</v>
      </c>
      <c r="N17" s="246">
        <v>0.7015590200445434</v>
      </c>
      <c r="O17" s="244">
        <f>H17-0.4*L17</f>
        <v>42979.4</v>
      </c>
      <c r="P17" s="239"/>
      <c r="Q17" s="268">
        <v>42921</v>
      </c>
      <c r="R17" s="274">
        <v>10800</v>
      </c>
      <c r="S17" s="61"/>
      <c r="T17" s="237"/>
      <c r="U17" s="215"/>
    </row>
    <row r="18" ht="16" customHeight="1">
      <c r="A18" t="s" s="216">
        <v>19</v>
      </c>
      <c r="B18" t="s" s="216">
        <v>577</v>
      </c>
      <c r="C18" t="s" s="216">
        <v>667</v>
      </c>
      <c r="D18" s="245">
        <v>2000</v>
      </c>
      <c r="E18" t="s" s="216">
        <v>743</v>
      </c>
      <c r="F18" s="245">
        <v>1711300907</v>
      </c>
      <c r="G18" s="244">
        <v>42620</v>
      </c>
      <c r="H18" s="244">
        <v>43069</v>
      </c>
      <c r="I18" s="245">
        <v>7</v>
      </c>
      <c r="J18" s="245">
        <v>0</v>
      </c>
      <c r="K18" t="s" s="216">
        <v>659</v>
      </c>
      <c r="L18" s="245">
        <v>449</v>
      </c>
      <c r="M18" s="245">
        <v>225</v>
      </c>
      <c r="N18" s="246">
        <v>0.5011135857461024</v>
      </c>
      <c r="O18" s="244">
        <f>H18-0.4*L18</f>
        <v>42889.4</v>
      </c>
      <c r="P18" s="215"/>
      <c r="Q18" t="s" s="266">
        <v>54</v>
      </c>
      <c r="R18" s="259">
        <v>13015</v>
      </c>
      <c r="S18" s="61"/>
      <c r="T18" s="237"/>
      <c r="U18" s="215"/>
    </row>
    <row r="19" ht="16" customHeight="1">
      <c r="A19" t="s" s="216">
        <v>19</v>
      </c>
      <c r="B19" t="s" s="216">
        <v>577</v>
      </c>
      <c r="C19" t="s" s="216">
        <v>667</v>
      </c>
      <c r="D19" s="245">
        <v>2000</v>
      </c>
      <c r="E19" t="s" s="216">
        <v>743</v>
      </c>
      <c r="F19" s="245">
        <v>1712311008</v>
      </c>
      <c r="G19" s="244">
        <v>42651</v>
      </c>
      <c r="H19" s="244">
        <v>43100</v>
      </c>
      <c r="I19" s="245">
        <v>0</v>
      </c>
      <c r="J19" s="245">
        <v>0</v>
      </c>
      <c r="K19" t="s" s="216">
        <v>659</v>
      </c>
      <c r="L19" s="245">
        <v>449</v>
      </c>
      <c r="M19" s="245">
        <v>256</v>
      </c>
      <c r="N19" s="246">
        <v>0.5701559020044543</v>
      </c>
      <c r="O19" s="244">
        <f>H19-0.4*L19</f>
        <v>42920.4</v>
      </c>
      <c r="P19" s="239"/>
      <c r="Q19" s="268">
        <v>42843.4</v>
      </c>
      <c r="R19" s="269">
        <v>33</v>
      </c>
      <c r="S19" s="61"/>
      <c r="T19" s="237"/>
      <c r="U19" s="215"/>
    </row>
    <row r="20" ht="16" customHeight="1">
      <c r="A20" t="s" s="216">
        <v>19</v>
      </c>
      <c r="B20" t="s" s="216">
        <v>577</v>
      </c>
      <c r="C20" t="s" s="216">
        <v>667</v>
      </c>
      <c r="D20" s="245">
        <v>2000</v>
      </c>
      <c r="E20" t="s" s="216">
        <v>743</v>
      </c>
      <c r="F20" s="245">
        <v>1802281206</v>
      </c>
      <c r="G20" s="244">
        <v>42710</v>
      </c>
      <c r="H20" s="244">
        <v>43159</v>
      </c>
      <c r="I20" s="245">
        <v>744</v>
      </c>
      <c r="J20" s="245">
        <v>0</v>
      </c>
      <c r="K20" t="s" s="216">
        <v>659</v>
      </c>
      <c r="L20" s="245">
        <v>449</v>
      </c>
      <c r="M20" s="245">
        <v>315</v>
      </c>
      <c r="N20" s="246">
        <v>0.7015590200445434</v>
      </c>
      <c r="O20" s="244">
        <f>H20-0.4*L20</f>
        <v>42979.4</v>
      </c>
      <c r="P20" s="239"/>
      <c r="Q20" s="268">
        <v>42861.4</v>
      </c>
      <c r="R20" s="271">
        <v>1374</v>
      </c>
      <c r="S20" s="61"/>
      <c r="T20" s="237"/>
      <c r="U20" s="215"/>
    </row>
    <row r="21" ht="16" customHeight="1">
      <c r="A21" t="s" s="216">
        <v>19</v>
      </c>
      <c r="B21" t="s" s="216">
        <v>577</v>
      </c>
      <c r="C21" t="s" s="216">
        <v>668</v>
      </c>
      <c r="D21" s="245">
        <v>2000</v>
      </c>
      <c r="E21" t="s" s="216">
        <v>743</v>
      </c>
      <c r="F21" s="245">
        <v>1711300907</v>
      </c>
      <c r="G21" s="244">
        <v>42620</v>
      </c>
      <c r="H21" s="244">
        <v>43069</v>
      </c>
      <c r="I21" s="245">
        <v>60</v>
      </c>
      <c r="J21" s="245">
        <v>0</v>
      </c>
      <c r="K21" t="s" s="216">
        <v>659</v>
      </c>
      <c r="L21" s="245">
        <v>449</v>
      </c>
      <c r="M21" s="245">
        <v>225</v>
      </c>
      <c r="N21" s="246">
        <v>0.5011135857461024</v>
      </c>
      <c r="O21" s="244">
        <f>H21-0.4*L21</f>
        <v>42889.4</v>
      </c>
      <c r="P21" s="239"/>
      <c r="Q21" s="268">
        <v>42901.4</v>
      </c>
      <c r="R21" s="271">
        <v>2504</v>
      </c>
      <c r="S21" s="61"/>
      <c r="T21" s="237"/>
      <c r="U21" s="215"/>
    </row>
    <row r="22" ht="16" customHeight="1">
      <c r="A22" t="s" s="216">
        <v>19</v>
      </c>
      <c r="B22" t="s" s="216">
        <v>577</v>
      </c>
      <c r="C22" t="s" s="216">
        <v>668</v>
      </c>
      <c r="D22" s="245">
        <v>2000</v>
      </c>
      <c r="E22" t="s" s="216">
        <v>743</v>
      </c>
      <c r="F22" s="245">
        <v>1802281206</v>
      </c>
      <c r="G22" s="244">
        <v>42710</v>
      </c>
      <c r="H22" s="244">
        <v>43159</v>
      </c>
      <c r="I22" s="245">
        <v>0</v>
      </c>
      <c r="J22" s="245">
        <v>0</v>
      </c>
      <c r="K22" t="s" s="216">
        <v>659</v>
      </c>
      <c r="L22" s="245">
        <v>449</v>
      </c>
      <c r="M22" s="245">
        <v>315</v>
      </c>
      <c r="N22" s="246">
        <v>0.7015590200445434</v>
      </c>
      <c r="O22" s="244">
        <f>H22-0.4*L22</f>
        <v>42979.4</v>
      </c>
      <c r="P22" s="239"/>
      <c r="Q22" s="268">
        <v>42927.4</v>
      </c>
      <c r="R22" s="271">
        <v>1056</v>
      </c>
      <c r="S22" s="61"/>
      <c r="T22" s="237"/>
      <c r="U22" s="215"/>
    </row>
    <row r="23" ht="16" customHeight="1">
      <c r="A23" t="s" s="216">
        <v>42</v>
      </c>
      <c r="B23" t="s" s="216">
        <v>580</v>
      </c>
      <c r="C23" t="s" s="216">
        <v>657</v>
      </c>
      <c r="D23" s="245">
        <v>1000</v>
      </c>
      <c r="E23" t="s" s="216">
        <v>743</v>
      </c>
      <c r="F23" s="245">
        <v>1709110912</v>
      </c>
      <c r="G23" s="244">
        <v>42625</v>
      </c>
      <c r="H23" s="244">
        <v>42989</v>
      </c>
      <c r="I23" s="245">
        <v>825</v>
      </c>
      <c r="J23" s="245">
        <v>0</v>
      </c>
      <c r="K23" t="s" s="216">
        <v>659</v>
      </c>
      <c r="L23" s="245">
        <v>364</v>
      </c>
      <c r="M23" s="245">
        <v>145</v>
      </c>
      <c r="N23" s="246">
        <v>0.3983516483516483</v>
      </c>
      <c r="O23" s="244">
        <f>H23-0.4*L23</f>
        <v>42843.4</v>
      </c>
      <c r="P23" s="239"/>
      <c r="Q23" s="268">
        <v>42815.4</v>
      </c>
      <c r="R23" s="271">
        <v>746</v>
      </c>
      <c r="S23" s="61"/>
      <c r="T23" s="237"/>
      <c r="U23" s="215"/>
    </row>
    <row r="24" ht="16" customHeight="1">
      <c r="A24" t="s" s="216">
        <v>42</v>
      </c>
      <c r="B24" t="s" s="216">
        <v>580</v>
      </c>
      <c r="C24" t="s" s="216">
        <v>657</v>
      </c>
      <c r="D24" s="245">
        <v>1000</v>
      </c>
      <c r="E24" t="s" s="216">
        <v>743</v>
      </c>
      <c r="F24" s="245">
        <v>1710251026</v>
      </c>
      <c r="G24" s="244">
        <v>42669</v>
      </c>
      <c r="H24" s="244">
        <v>43033</v>
      </c>
      <c r="I24" s="245">
        <v>1044</v>
      </c>
      <c r="J24" s="245">
        <v>0</v>
      </c>
      <c r="K24" t="s" s="216">
        <v>659</v>
      </c>
      <c r="L24" s="245">
        <v>364</v>
      </c>
      <c r="M24" s="245">
        <v>189</v>
      </c>
      <c r="N24" s="246">
        <v>0.5192307692307693</v>
      </c>
      <c r="O24" s="244">
        <f>H24-0.4*L24</f>
        <v>42887.4</v>
      </c>
      <c r="P24" s="239"/>
      <c r="Q24" s="268">
        <v>42780.4</v>
      </c>
      <c r="R24" s="271">
        <v>2550</v>
      </c>
      <c r="S24" s="61"/>
      <c r="T24" s="237"/>
      <c r="U24" s="215"/>
    </row>
    <row r="25" ht="16" customHeight="1">
      <c r="A25" t="s" s="216">
        <v>42</v>
      </c>
      <c r="B25" t="s" s="216">
        <v>580</v>
      </c>
      <c r="C25" t="s" s="216">
        <v>657</v>
      </c>
      <c r="D25" s="245">
        <v>1000</v>
      </c>
      <c r="E25" t="s" s="216">
        <v>743</v>
      </c>
      <c r="F25" s="245">
        <v>1711281129</v>
      </c>
      <c r="G25" s="244">
        <v>42703</v>
      </c>
      <c r="H25" s="244">
        <v>43067</v>
      </c>
      <c r="I25" s="245">
        <v>1848</v>
      </c>
      <c r="J25" s="245">
        <v>0</v>
      </c>
      <c r="K25" t="s" s="216">
        <v>659</v>
      </c>
      <c r="L25" s="245">
        <v>364</v>
      </c>
      <c r="M25" s="245">
        <v>223</v>
      </c>
      <c r="N25" s="246">
        <v>0.6126373626373627</v>
      </c>
      <c r="O25" s="244">
        <f>H25-0.4*L25</f>
        <v>42921.4</v>
      </c>
      <c r="P25" s="239"/>
      <c r="Q25" s="268">
        <v>42717.4</v>
      </c>
      <c r="R25" s="273">
        <v>0</v>
      </c>
      <c r="S25" s="61"/>
      <c r="T25" s="237"/>
      <c r="U25" s="215"/>
    </row>
    <row r="26" ht="16" customHeight="1">
      <c r="A26" t="s" s="216">
        <v>42</v>
      </c>
      <c r="B26" t="s" s="216">
        <v>580</v>
      </c>
      <c r="C26" t="s" s="216">
        <v>657</v>
      </c>
      <c r="D26" s="245">
        <v>1628</v>
      </c>
      <c r="E26" t="s" s="216">
        <v>746</v>
      </c>
      <c r="F26" s="245">
        <v>1708110812</v>
      </c>
      <c r="G26" s="244">
        <v>42594</v>
      </c>
      <c r="H26" s="244">
        <v>42958</v>
      </c>
      <c r="I26" s="245">
        <v>17</v>
      </c>
      <c r="J26" s="245">
        <v>0</v>
      </c>
      <c r="K26" t="s" s="216">
        <v>659</v>
      </c>
      <c r="L26" s="245">
        <v>364</v>
      </c>
      <c r="M26" s="245">
        <v>114</v>
      </c>
      <c r="N26" s="246">
        <v>0.3131868131868132</v>
      </c>
      <c r="O26" s="244">
        <f>H26-0.4*L26</f>
        <v>42812.4</v>
      </c>
      <c r="P26" s="239"/>
      <c r="Q26" s="268">
        <v>42927</v>
      </c>
      <c r="R26" s="274">
        <v>4752</v>
      </c>
      <c r="S26" s="61"/>
      <c r="T26" s="237"/>
      <c r="U26" s="215"/>
    </row>
    <row r="27" ht="16" customHeight="1">
      <c r="A27" t="s" s="216">
        <v>42</v>
      </c>
      <c r="B27" t="s" s="216">
        <v>580</v>
      </c>
      <c r="C27" t="s" s="216">
        <v>657</v>
      </c>
      <c r="D27" s="245">
        <v>1628</v>
      </c>
      <c r="E27" t="s" s="216">
        <v>746</v>
      </c>
      <c r="F27" s="245">
        <v>1709110912</v>
      </c>
      <c r="G27" s="244">
        <v>42625</v>
      </c>
      <c r="H27" s="244">
        <v>42989</v>
      </c>
      <c r="I27" s="245">
        <v>21</v>
      </c>
      <c r="J27" s="245">
        <v>0</v>
      </c>
      <c r="K27" t="s" s="216">
        <v>659</v>
      </c>
      <c r="L27" s="245">
        <v>364</v>
      </c>
      <c r="M27" s="245">
        <v>145</v>
      </c>
      <c r="N27" s="246">
        <v>0.3983516483516483</v>
      </c>
      <c r="O27" s="244">
        <f>H27-0.4*L27</f>
        <v>42843.4</v>
      </c>
      <c r="P27" s="215"/>
      <c r="Q27" t="s" s="266">
        <v>66</v>
      </c>
      <c r="R27" s="259">
        <v>7263</v>
      </c>
      <c r="S27" s="61"/>
      <c r="T27" s="237"/>
      <c r="U27" s="215"/>
    </row>
    <row r="28" ht="16" customHeight="1">
      <c r="A28" t="s" s="216">
        <v>42</v>
      </c>
      <c r="B28" t="s" s="216">
        <v>580</v>
      </c>
      <c r="C28" t="s" s="216">
        <v>666</v>
      </c>
      <c r="D28" s="245">
        <v>2000</v>
      </c>
      <c r="E28" t="s" s="216">
        <v>747</v>
      </c>
      <c r="F28" s="245">
        <v>1707050706</v>
      </c>
      <c r="G28" s="244">
        <v>42557</v>
      </c>
      <c r="H28" s="244">
        <v>42921</v>
      </c>
      <c r="I28" s="245">
        <v>910</v>
      </c>
      <c r="J28" s="245">
        <v>0</v>
      </c>
      <c r="K28" t="s" s="216">
        <v>659</v>
      </c>
      <c r="L28" s="245">
        <v>364</v>
      </c>
      <c r="M28" s="245">
        <v>77</v>
      </c>
      <c r="N28" s="246">
        <v>0.2115384615384615</v>
      </c>
      <c r="O28" s="244">
        <f>H28-0.4*L28</f>
        <v>42775.4</v>
      </c>
      <c r="P28" s="239"/>
      <c r="Q28" s="268">
        <v>42916.4</v>
      </c>
      <c r="R28" s="269">
        <v>7224</v>
      </c>
      <c r="S28" s="61"/>
      <c r="T28" s="237"/>
      <c r="U28" s="215"/>
    </row>
    <row r="29" ht="16" customHeight="1">
      <c r="A29" t="s" s="216">
        <v>42</v>
      </c>
      <c r="B29" t="s" s="216">
        <v>580</v>
      </c>
      <c r="C29" t="s" s="216">
        <v>666</v>
      </c>
      <c r="D29" s="245">
        <v>2000</v>
      </c>
      <c r="E29" t="s" s="216">
        <v>747</v>
      </c>
      <c r="F29" s="245">
        <v>1708110812</v>
      </c>
      <c r="G29" s="244">
        <v>42594</v>
      </c>
      <c r="H29" s="244">
        <v>42958</v>
      </c>
      <c r="I29" s="245">
        <v>3954</v>
      </c>
      <c r="J29" s="245">
        <v>0</v>
      </c>
      <c r="K29" t="s" s="216">
        <v>659</v>
      </c>
      <c r="L29" s="245">
        <v>364</v>
      </c>
      <c r="M29" s="245">
        <v>114</v>
      </c>
      <c r="N29" s="246">
        <v>0.3131868131868132</v>
      </c>
      <c r="O29" s="244">
        <f>H29-0.4*L29</f>
        <v>42812.4</v>
      </c>
      <c r="P29" s="239"/>
      <c r="Q29" s="268">
        <v>42839.4</v>
      </c>
      <c r="R29" s="271">
        <v>4</v>
      </c>
      <c r="S29" s="61"/>
      <c r="T29" s="237"/>
      <c r="U29" s="215"/>
    </row>
    <row r="30" ht="16" customHeight="1">
      <c r="A30" t="s" s="216">
        <v>42</v>
      </c>
      <c r="B30" t="s" s="216">
        <v>580</v>
      </c>
      <c r="C30" t="s" s="216">
        <v>666</v>
      </c>
      <c r="D30" s="245">
        <v>2000</v>
      </c>
      <c r="E30" t="s" s="216">
        <v>747</v>
      </c>
      <c r="F30" s="245">
        <v>1710251026</v>
      </c>
      <c r="G30" s="244">
        <v>42669</v>
      </c>
      <c r="H30" s="244">
        <v>43033</v>
      </c>
      <c r="I30" s="245">
        <v>563</v>
      </c>
      <c r="J30" s="245">
        <v>0</v>
      </c>
      <c r="K30" t="s" s="216">
        <v>659</v>
      </c>
      <c r="L30" s="245">
        <v>364</v>
      </c>
      <c r="M30" s="245">
        <v>189</v>
      </c>
      <c r="N30" s="246">
        <v>0.5192307692307693</v>
      </c>
      <c r="O30" s="244">
        <f>H30-0.4*L30</f>
        <v>42887.4</v>
      </c>
      <c r="P30" s="239"/>
      <c r="Q30" s="268">
        <v>42860.4</v>
      </c>
      <c r="R30" s="271">
        <v>23</v>
      </c>
      <c r="S30" s="61"/>
      <c r="T30" s="237"/>
      <c r="U30" s="215"/>
    </row>
    <row r="31" ht="16" customHeight="1">
      <c r="A31" t="s" s="216">
        <v>42</v>
      </c>
      <c r="B31" t="s" s="216">
        <v>580</v>
      </c>
      <c r="C31" t="s" s="216">
        <v>667</v>
      </c>
      <c r="D31" s="245">
        <v>2000</v>
      </c>
      <c r="E31" t="s" s="216">
        <v>743</v>
      </c>
      <c r="F31" s="245">
        <v>1708110812</v>
      </c>
      <c r="G31" s="244">
        <v>42594</v>
      </c>
      <c r="H31" s="244">
        <v>42958</v>
      </c>
      <c r="I31" s="245">
        <v>0</v>
      </c>
      <c r="J31" s="245">
        <v>0</v>
      </c>
      <c r="K31" t="s" s="216">
        <v>659</v>
      </c>
      <c r="L31" s="245">
        <v>364</v>
      </c>
      <c r="M31" s="245">
        <v>114</v>
      </c>
      <c r="N31" s="246">
        <v>0.3131868131868132</v>
      </c>
      <c r="O31" s="244">
        <f>H31-0.4*L31</f>
        <v>42812.4</v>
      </c>
      <c r="P31" s="239"/>
      <c r="Q31" s="268">
        <v>42762.4</v>
      </c>
      <c r="R31" s="271">
        <v>12</v>
      </c>
      <c r="S31" s="61"/>
      <c r="T31" s="237"/>
      <c r="U31" s="215"/>
    </row>
    <row r="32" ht="16" customHeight="1">
      <c r="A32" t="s" s="216">
        <v>42</v>
      </c>
      <c r="B32" t="s" s="216">
        <v>580</v>
      </c>
      <c r="C32" t="s" s="216">
        <v>667</v>
      </c>
      <c r="D32" s="245">
        <v>2000</v>
      </c>
      <c r="E32" t="s" s="216">
        <v>743</v>
      </c>
      <c r="F32" s="245">
        <v>1709110912</v>
      </c>
      <c r="G32" s="244">
        <v>42625</v>
      </c>
      <c r="H32" s="244">
        <v>42989</v>
      </c>
      <c r="I32" s="245">
        <v>309</v>
      </c>
      <c r="J32" s="245">
        <v>0</v>
      </c>
      <c r="K32" t="s" s="216">
        <v>659</v>
      </c>
      <c r="L32" s="245">
        <v>364</v>
      </c>
      <c r="M32" s="245">
        <v>145</v>
      </c>
      <c r="N32" s="246">
        <v>0.3983516483516483</v>
      </c>
      <c r="O32" s="244">
        <f>H32-0.4*L32</f>
        <v>42843.4</v>
      </c>
      <c r="P32" s="239"/>
      <c r="Q32" s="268">
        <v>42885.4</v>
      </c>
      <c r="R32" s="273">
        <v>0</v>
      </c>
      <c r="S32" s="61"/>
      <c r="T32" s="237"/>
      <c r="U32" s="215"/>
    </row>
    <row r="33" ht="16" customHeight="1">
      <c r="A33" t="s" s="216">
        <v>42</v>
      </c>
      <c r="B33" t="s" s="216">
        <v>580</v>
      </c>
      <c r="C33" t="s" s="216">
        <v>667</v>
      </c>
      <c r="D33" s="245">
        <v>2000</v>
      </c>
      <c r="E33" t="s" s="216">
        <v>743</v>
      </c>
      <c r="F33" s="245">
        <v>1710251026</v>
      </c>
      <c r="G33" s="244">
        <v>42669</v>
      </c>
      <c r="H33" s="244">
        <v>43033</v>
      </c>
      <c r="I33" s="245">
        <v>888</v>
      </c>
      <c r="J33" s="245">
        <v>0</v>
      </c>
      <c r="K33" t="s" s="216">
        <v>659</v>
      </c>
      <c r="L33" s="245">
        <v>364</v>
      </c>
      <c r="M33" s="245">
        <v>189</v>
      </c>
      <c r="N33" s="246">
        <v>0.5192307692307693</v>
      </c>
      <c r="O33" s="244">
        <f>H33-0.4*L33</f>
        <v>42887.4</v>
      </c>
      <c r="P33" s="215"/>
      <c r="Q33" t="s" s="266">
        <v>78</v>
      </c>
      <c r="R33" s="259">
        <v>137812</v>
      </c>
      <c r="S33" s="61"/>
      <c r="T33" s="237"/>
      <c r="U33" s="215"/>
    </row>
    <row r="34" ht="16" customHeight="1">
      <c r="A34" t="s" s="216">
        <v>42</v>
      </c>
      <c r="B34" t="s" s="216">
        <v>580</v>
      </c>
      <c r="C34" t="s" s="216">
        <v>668</v>
      </c>
      <c r="D34" s="245">
        <v>2000</v>
      </c>
      <c r="E34" t="s" s="216">
        <v>743</v>
      </c>
      <c r="F34" s="245">
        <v>1706090610</v>
      </c>
      <c r="G34" s="244">
        <v>42531</v>
      </c>
      <c r="H34" s="244">
        <v>42895</v>
      </c>
      <c r="I34" s="245">
        <v>819</v>
      </c>
      <c r="J34" s="245">
        <v>0</v>
      </c>
      <c r="K34" t="s" s="216">
        <v>659</v>
      </c>
      <c r="L34" s="245">
        <v>364</v>
      </c>
      <c r="M34" s="245">
        <v>51</v>
      </c>
      <c r="N34" s="246">
        <v>0.1401098901098901</v>
      </c>
      <c r="O34" s="244">
        <f>H34-0.4*L34</f>
        <v>42749.4</v>
      </c>
      <c r="P34" s="239"/>
      <c r="Q34" s="268">
        <v>42704</v>
      </c>
      <c r="R34" s="269">
        <v>12</v>
      </c>
      <c r="S34" s="61"/>
      <c r="T34" s="237"/>
      <c r="U34" s="215"/>
    </row>
    <row r="35" ht="16" customHeight="1">
      <c r="A35" t="s" s="216">
        <v>42</v>
      </c>
      <c r="B35" t="s" s="216">
        <v>580</v>
      </c>
      <c r="C35" t="s" s="216">
        <v>668</v>
      </c>
      <c r="D35" s="245">
        <v>2000</v>
      </c>
      <c r="E35" t="s" s="216">
        <v>743</v>
      </c>
      <c r="F35" s="245">
        <v>1709110912</v>
      </c>
      <c r="G35" s="244">
        <v>42625</v>
      </c>
      <c r="H35" s="244">
        <v>42989</v>
      </c>
      <c r="I35" s="245">
        <v>96</v>
      </c>
      <c r="J35" s="245">
        <v>0</v>
      </c>
      <c r="K35" t="s" s="216">
        <v>659</v>
      </c>
      <c r="L35" s="245">
        <v>364</v>
      </c>
      <c r="M35" s="245">
        <v>145</v>
      </c>
      <c r="N35" s="246">
        <v>0.3983516483516483</v>
      </c>
      <c r="O35" s="244">
        <f>H35-0.4*L35</f>
        <v>42843.4</v>
      </c>
      <c r="P35" s="239"/>
      <c r="Q35" s="268">
        <v>42765</v>
      </c>
      <c r="R35" s="273">
        <v>426</v>
      </c>
      <c r="S35" s="61"/>
      <c r="T35" s="237"/>
      <c r="U35" s="215"/>
    </row>
    <row r="36" ht="16" customHeight="1">
      <c r="A36" t="s" s="216">
        <v>54</v>
      </c>
      <c r="B36" t="s" s="216">
        <v>582</v>
      </c>
      <c r="C36" t="s" s="216">
        <v>657</v>
      </c>
      <c r="D36" s="245">
        <v>1000</v>
      </c>
      <c r="E36" t="s" s="216">
        <v>743</v>
      </c>
      <c r="F36" s="245">
        <v>1709110912</v>
      </c>
      <c r="G36" s="244">
        <v>42625</v>
      </c>
      <c r="H36" s="244">
        <v>42989</v>
      </c>
      <c r="I36" s="245">
        <v>12</v>
      </c>
      <c r="J36" s="245">
        <v>0</v>
      </c>
      <c r="K36" t="s" s="216">
        <v>659</v>
      </c>
      <c r="L36" s="245">
        <v>364</v>
      </c>
      <c r="M36" s="245">
        <v>145</v>
      </c>
      <c r="N36" s="246">
        <v>0.3983516483516483</v>
      </c>
      <c r="O36" s="244">
        <f>H36-0.4*L36</f>
        <v>42843.4</v>
      </c>
      <c r="P36" s="239"/>
      <c r="Q36" s="268">
        <v>42796</v>
      </c>
      <c r="R36" s="259">
        <v>11791</v>
      </c>
      <c r="S36" s="61"/>
      <c r="T36" s="237"/>
      <c r="U36" s="215"/>
    </row>
    <row r="37" ht="16" customHeight="1">
      <c r="A37" t="s" s="216">
        <v>54</v>
      </c>
      <c r="B37" t="s" s="216">
        <v>582</v>
      </c>
      <c r="C37" t="s" s="216">
        <v>657</v>
      </c>
      <c r="D37" s="245">
        <v>1000</v>
      </c>
      <c r="E37" t="s" s="216">
        <v>743</v>
      </c>
      <c r="F37" s="245">
        <v>1709290930</v>
      </c>
      <c r="G37" s="244">
        <v>42643</v>
      </c>
      <c r="H37" s="244">
        <v>43007</v>
      </c>
      <c r="I37" s="245">
        <v>504</v>
      </c>
      <c r="J37" s="245">
        <v>0</v>
      </c>
      <c r="K37" t="s" s="216">
        <v>659</v>
      </c>
      <c r="L37" s="245">
        <v>364</v>
      </c>
      <c r="M37" s="245">
        <v>163</v>
      </c>
      <c r="N37" s="246">
        <v>0.4478021978021978</v>
      </c>
      <c r="O37" s="244">
        <f>H37-0.4*L37</f>
        <v>42861.4</v>
      </c>
      <c r="P37" s="239"/>
      <c r="Q37" s="268">
        <v>42826</v>
      </c>
      <c r="R37" s="259">
        <v>15233</v>
      </c>
      <c r="S37" s="61"/>
      <c r="T37" s="237"/>
      <c r="U37" s="215"/>
    </row>
    <row r="38" ht="16" customHeight="1">
      <c r="A38" t="s" s="216">
        <v>54</v>
      </c>
      <c r="B38" t="s" s="216">
        <v>582</v>
      </c>
      <c r="C38" t="s" s="216">
        <v>657</v>
      </c>
      <c r="D38" s="245">
        <v>1000</v>
      </c>
      <c r="E38" t="s" s="216">
        <v>743</v>
      </c>
      <c r="F38" s="245">
        <v>1711081109</v>
      </c>
      <c r="G38" s="244">
        <v>42683</v>
      </c>
      <c r="H38" s="244">
        <v>43047</v>
      </c>
      <c r="I38" s="245">
        <v>816</v>
      </c>
      <c r="J38" s="245">
        <v>0</v>
      </c>
      <c r="K38" t="s" s="216">
        <v>659</v>
      </c>
      <c r="L38" s="245">
        <v>364</v>
      </c>
      <c r="M38" s="245">
        <v>203</v>
      </c>
      <c r="N38" s="246">
        <v>0.5576923076923077</v>
      </c>
      <c r="O38" s="244">
        <f>H38-0.4*L38</f>
        <v>42901.4</v>
      </c>
      <c r="P38" s="239"/>
      <c r="Q38" s="268">
        <v>42857</v>
      </c>
      <c r="R38" s="259">
        <v>90971</v>
      </c>
      <c r="S38" s="61"/>
      <c r="T38" s="237"/>
      <c r="U38" s="215"/>
    </row>
    <row r="39" ht="16" customHeight="1">
      <c r="A39" t="s" s="216">
        <v>54</v>
      </c>
      <c r="B39" t="s" s="216">
        <v>582</v>
      </c>
      <c r="C39" t="s" s="216">
        <v>657</v>
      </c>
      <c r="D39" s="245">
        <v>1000</v>
      </c>
      <c r="E39" t="s" s="216">
        <v>743</v>
      </c>
      <c r="F39" s="245">
        <v>1712041205</v>
      </c>
      <c r="G39" s="244">
        <v>42709</v>
      </c>
      <c r="H39" s="244">
        <v>43073</v>
      </c>
      <c r="I39" s="245">
        <v>1056</v>
      </c>
      <c r="J39" s="245">
        <v>0</v>
      </c>
      <c r="K39" t="s" s="216">
        <v>659</v>
      </c>
      <c r="L39" s="245">
        <v>364</v>
      </c>
      <c r="M39" s="245">
        <v>229</v>
      </c>
      <c r="N39" s="246">
        <v>0.6291208791208791</v>
      </c>
      <c r="O39" s="244">
        <f>H39-0.4*L39</f>
        <v>42927.4</v>
      </c>
      <c r="P39" s="239"/>
      <c r="Q39" s="268">
        <v>42887</v>
      </c>
      <c r="R39" s="269">
        <v>948</v>
      </c>
      <c r="S39" s="61"/>
      <c r="T39" s="237"/>
      <c r="U39" s="215"/>
    </row>
    <row r="40" ht="16" customHeight="1">
      <c r="A40" t="s" s="216">
        <v>54</v>
      </c>
      <c r="B40" t="s" s="216">
        <v>582</v>
      </c>
      <c r="C40" t="s" s="216">
        <v>657</v>
      </c>
      <c r="D40" s="245">
        <v>1610</v>
      </c>
      <c r="E40" t="s" s="216">
        <v>745</v>
      </c>
      <c r="F40" s="245">
        <v>1711081109</v>
      </c>
      <c r="G40" s="244">
        <v>42683</v>
      </c>
      <c r="H40" s="244">
        <v>43047</v>
      </c>
      <c r="I40" s="245">
        <v>0</v>
      </c>
      <c r="J40" s="245">
        <v>0</v>
      </c>
      <c r="K40" t="s" s="216">
        <v>659</v>
      </c>
      <c r="L40" s="245">
        <v>364</v>
      </c>
      <c r="M40" s="245">
        <v>203</v>
      </c>
      <c r="N40" s="246">
        <v>0.5576923076923077</v>
      </c>
      <c r="O40" s="244">
        <f>H40-0.4*L40</f>
        <v>42901.4</v>
      </c>
      <c r="P40" s="239"/>
      <c r="Q40" s="268">
        <v>42918</v>
      </c>
      <c r="R40" s="271">
        <v>36</v>
      </c>
      <c r="S40" s="61"/>
      <c r="T40" s="237"/>
      <c r="U40" s="215"/>
    </row>
    <row r="41" ht="16" customHeight="1">
      <c r="A41" t="s" s="216">
        <v>54</v>
      </c>
      <c r="B41" t="s" s="216">
        <v>582</v>
      </c>
      <c r="C41" t="s" s="216">
        <v>657</v>
      </c>
      <c r="D41" s="245">
        <v>1628</v>
      </c>
      <c r="E41" t="s" s="216">
        <v>746</v>
      </c>
      <c r="F41" s="245">
        <v>1708140815</v>
      </c>
      <c r="G41" s="244">
        <v>42597</v>
      </c>
      <c r="H41" s="244">
        <v>42961</v>
      </c>
      <c r="I41" s="245">
        <v>16</v>
      </c>
      <c r="J41" s="245">
        <v>0</v>
      </c>
      <c r="K41" t="s" s="216">
        <v>659</v>
      </c>
      <c r="L41" s="245">
        <v>364</v>
      </c>
      <c r="M41" s="245">
        <v>117</v>
      </c>
      <c r="N41" s="246">
        <v>0.3214285714285715</v>
      </c>
      <c r="O41" s="244">
        <f>H41-0.4*L41</f>
        <v>42815.4</v>
      </c>
      <c r="P41" s="239"/>
      <c r="Q41" s="268">
        <v>42977</v>
      </c>
      <c r="R41" s="273">
        <v>6443</v>
      </c>
      <c r="S41" s="61"/>
      <c r="T41" s="237"/>
      <c r="U41" s="215"/>
    </row>
    <row r="42" ht="16" customHeight="1">
      <c r="A42" t="s" s="216">
        <v>54</v>
      </c>
      <c r="B42" t="s" s="216">
        <v>582</v>
      </c>
      <c r="C42" t="s" s="216">
        <v>657</v>
      </c>
      <c r="D42" s="245">
        <v>1628</v>
      </c>
      <c r="E42" t="s" s="216">
        <v>746</v>
      </c>
      <c r="F42" s="245">
        <v>1709290930</v>
      </c>
      <c r="G42" s="244">
        <v>42643</v>
      </c>
      <c r="H42" s="244">
        <v>43007</v>
      </c>
      <c r="I42" s="245">
        <v>18</v>
      </c>
      <c r="J42" s="245">
        <v>0</v>
      </c>
      <c r="K42" t="s" s="216">
        <v>659</v>
      </c>
      <c r="L42" s="245">
        <v>364</v>
      </c>
      <c r="M42" s="245">
        <v>163</v>
      </c>
      <c r="N42" s="246">
        <v>0.4478021978021978</v>
      </c>
      <c r="O42" s="244">
        <f>H42-0.4*L42</f>
        <v>42861.4</v>
      </c>
      <c r="P42" s="239"/>
      <c r="Q42" s="268">
        <v>42979</v>
      </c>
      <c r="R42" s="274">
        <v>11952</v>
      </c>
      <c r="S42" s="61"/>
      <c r="T42" s="237"/>
      <c r="U42" s="215"/>
    </row>
    <row r="43" ht="16" customHeight="1">
      <c r="A43" t="s" s="216">
        <v>54</v>
      </c>
      <c r="B43" t="s" s="216">
        <v>582</v>
      </c>
      <c r="C43" t="s" s="216">
        <v>666</v>
      </c>
      <c r="D43" s="245">
        <v>2000</v>
      </c>
      <c r="E43" t="s" s="216">
        <v>747</v>
      </c>
      <c r="F43" s="245">
        <v>1707100711</v>
      </c>
      <c r="G43" s="244">
        <v>42562</v>
      </c>
      <c r="H43" s="244">
        <v>42926</v>
      </c>
      <c r="I43" s="245">
        <v>2550</v>
      </c>
      <c r="J43" s="245">
        <v>0</v>
      </c>
      <c r="K43" t="s" s="216">
        <v>659</v>
      </c>
      <c r="L43" s="245">
        <v>364</v>
      </c>
      <c r="M43" s="245">
        <v>82</v>
      </c>
      <c r="N43" s="246">
        <v>0.2252747252747253</v>
      </c>
      <c r="O43" s="244">
        <f>H43-0.4*L43</f>
        <v>42780.4</v>
      </c>
      <c r="P43" s="215"/>
      <c r="Q43" t="s" s="266">
        <v>90</v>
      </c>
      <c r="R43" s="259">
        <v>7494</v>
      </c>
      <c r="S43" s="61"/>
      <c r="T43" s="237"/>
      <c r="U43" s="215"/>
    </row>
    <row r="44" ht="16" customHeight="1">
      <c r="A44" t="s" s="216">
        <v>54</v>
      </c>
      <c r="B44" t="s" s="216">
        <v>582</v>
      </c>
      <c r="C44" t="s" s="216">
        <v>666</v>
      </c>
      <c r="D44" s="245">
        <v>2000</v>
      </c>
      <c r="E44" t="s" s="216">
        <v>747</v>
      </c>
      <c r="F44" s="245">
        <v>1708140815</v>
      </c>
      <c r="G44" s="244">
        <v>42597</v>
      </c>
      <c r="H44" s="244">
        <v>42961</v>
      </c>
      <c r="I44" s="245">
        <v>600</v>
      </c>
      <c r="J44" s="245">
        <v>0</v>
      </c>
      <c r="K44" t="s" s="216">
        <v>659</v>
      </c>
      <c r="L44" s="245">
        <v>364</v>
      </c>
      <c r="M44" s="245">
        <v>117</v>
      </c>
      <c r="N44" s="246">
        <v>0.3214285714285715</v>
      </c>
      <c r="O44" s="244">
        <f>H44-0.4*L44</f>
        <v>42815.4</v>
      </c>
      <c r="P44" s="239"/>
      <c r="Q44" s="268">
        <v>42828.4</v>
      </c>
      <c r="R44" s="269">
        <v>1462</v>
      </c>
      <c r="S44" s="61"/>
      <c r="T44" s="237"/>
      <c r="U44" s="215"/>
    </row>
    <row r="45" ht="16" customHeight="1">
      <c r="A45" t="s" s="216">
        <v>54</v>
      </c>
      <c r="B45" t="s" s="216">
        <v>582</v>
      </c>
      <c r="C45" t="s" s="216">
        <v>666</v>
      </c>
      <c r="D45" s="245">
        <v>2000</v>
      </c>
      <c r="E45" t="s" s="216">
        <v>747</v>
      </c>
      <c r="F45" s="245">
        <v>1709110912</v>
      </c>
      <c r="G45" s="244">
        <v>42625</v>
      </c>
      <c r="H45" s="244">
        <v>42989</v>
      </c>
      <c r="I45" s="245">
        <v>21</v>
      </c>
      <c r="J45" s="245">
        <v>0</v>
      </c>
      <c r="K45" t="s" s="216">
        <v>659</v>
      </c>
      <c r="L45" s="245">
        <v>364</v>
      </c>
      <c r="M45" s="245">
        <v>145</v>
      </c>
      <c r="N45" s="246">
        <v>0.3983516483516483</v>
      </c>
      <c r="O45" s="244">
        <f>H45-0.4*L45</f>
        <v>42843.4</v>
      </c>
      <c r="P45" s="239"/>
      <c r="Q45" s="268">
        <v>42859.4</v>
      </c>
      <c r="R45" s="271">
        <v>929</v>
      </c>
      <c r="S45" s="61"/>
      <c r="T45" s="237"/>
      <c r="U45" s="215"/>
    </row>
    <row r="46" ht="16" customHeight="1">
      <c r="A46" t="s" s="216">
        <v>54</v>
      </c>
      <c r="B46" t="s" s="216">
        <v>582</v>
      </c>
      <c r="C46" t="s" s="216">
        <v>666</v>
      </c>
      <c r="D46" s="245">
        <v>2000</v>
      </c>
      <c r="E46" t="s" s="216">
        <v>747</v>
      </c>
      <c r="F46" s="245">
        <v>1709290930</v>
      </c>
      <c r="G46" s="244">
        <v>42643</v>
      </c>
      <c r="H46" s="244">
        <v>43007</v>
      </c>
      <c r="I46" s="245">
        <v>372</v>
      </c>
      <c r="J46" s="245">
        <v>0</v>
      </c>
      <c r="K46" t="s" s="216">
        <v>659</v>
      </c>
      <c r="L46" s="245">
        <v>364</v>
      </c>
      <c r="M46" s="245">
        <v>163</v>
      </c>
      <c r="N46" s="246">
        <v>0.4478021978021978</v>
      </c>
      <c r="O46" s="244">
        <f>H46-0.4*L46</f>
        <v>42861.4</v>
      </c>
      <c r="P46" s="239"/>
      <c r="Q46" s="268">
        <v>42889.4</v>
      </c>
      <c r="R46" s="271">
        <v>1461</v>
      </c>
      <c r="S46" s="61"/>
      <c r="T46" s="237"/>
      <c r="U46" s="215"/>
    </row>
    <row r="47" ht="16" customHeight="1">
      <c r="A47" t="s" s="216">
        <v>54</v>
      </c>
      <c r="B47" t="s" s="216">
        <v>582</v>
      </c>
      <c r="C47" t="s" s="216">
        <v>666</v>
      </c>
      <c r="D47" s="245">
        <v>2000</v>
      </c>
      <c r="E47" t="s" s="216">
        <v>747</v>
      </c>
      <c r="F47" s="245">
        <v>1711081109</v>
      </c>
      <c r="G47" s="244">
        <v>42683</v>
      </c>
      <c r="H47" s="244">
        <v>43047</v>
      </c>
      <c r="I47" s="245">
        <v>1043</v>
      </c>
      <c r="J47" s="245">
        <v>0</v>
      </c>
      <c r="K47" t="s" s="216">
        <v>659</v>
      </c>
      <c r="L47" s="245">
        <v>364</v>
      </c>
      <c r="M47" s="245">
        <v>203</v>
      </c>
      <c r="N47" s="246">
        <v>0.5576923076923077</v>
      </c>
      <c r="O47" s="244">
        <f>H47-0.4*L47</f>
        <v>42901.4</v>
      </c>
      <c r="P47" s="239"/>
      <c r="Q47" s="268">
        <v>42920.4</v>
      </c>
      <c r="R47" s="271">
        <v>980</v>
      </c>
      <c r="S47" s="61"/>
      <c r="T47" s="237"/>
      <c r="U47" s="215"/>
    </row>
    <row r="48" ht="16" customHeight="1">
      <c r="A48" t="s" s="216">
        <v>54</v>
      </c>
      <c r="B48" t="s" s="216">
        <v>582</v>
      </c>
      <c r="C48" t="s" s="216">
        <v>667</v>
      </c>
      <c r="D48" s="245">
        <v>2000</v>
      </c>
      <c r="E48" t="s" s="216">
        <v>743</v>
      </c>
      <c r="F48" s="245">
        <v>1708140815</v>
      </c>
      <c r="G48" s="244">
        <v>42597</v>
      </c>
      <c r="H48" s="244">
        <v>42961</v>
      </c>
      <c r="I48" s="245">
        <v>130</v>
      </c>
      <c r="J48" s="245">
        <v>0</v>
      </c>
      <c r="K48" t="s" s="216">
        <v>659</v>
      </c>
      <c r="L48" s="245">
        <v>364</v>
      </c>
      <c r="M48" s="245">
        <v>117</v>
      </c>
      <c r="N48" s="246">
        <v>0.3214285714285715</v>
      </c>
      <c r="O48" s="244">
        <f>H48-0.4*L48</f>
        <v>42815.4</v>
      </c>
      <c r="P48" s="239"/>
      <c r="Q48" s="268">
        <v>42979.4</v>
      </c>
      <c r="R48" s="271">
        <v>1403</v>
      </c>
      <c r="S48" s="61"/>
      <c r="T48" s="237"/>
      <c r="U48" s="215"/>
    </row>
    <row r="49" ht="16" customHeight="1">
      <c r="A49" t="s" s="216">
        <v>54</v>
      </c>
      <c r="B49" t="s" s="216">
        <v>582</v>
      </c>
      <c r="C49" t="s" s="216">
        <v>667</v>
      </c>
      <c r="D49" s="245">
        <v>2000</v>
      </c>
      <c r="E49" t="s" s="216">
        <v>743</v>
      </c>
      <c r="F49" s="245">
        <v>1709290930</v>
      </c>
      <c r="G49" s="244">
        <v>42643</v>
      </c>
      <c r="H49" s="244">
        <v>43007</v>
      </c>
      <c r="I49" s="245">
        <v>480</v>
      </c>
      <c r="J49" s="245">
        <v>0</v>
      </c>
      <c r="K49" t="s" s="216">
        <v>659</v>
      </c>
      <c r="L49" s="245">
        <v>364</v>
      </c>
      <c r="M49" s="245">
        <v>163</v>
      </c>
      <c r="N49" s="246">
        <v>0.4478021978021978</v>
      </c>
      <c r="O49" s="244">
        <f>H49-0.4*L49</f>
        <v>42861.4</v>
      </c>
      <c r="P49" s="239"/>
      <c r="Q49" s="268">
        <v>42798.4</v>
      </c>
      <c r="R49" s="271">
        <v>1054</v>
      </c>
      <c r="S49" s="61"/>
      <c r="T49" s="237"/>
      <c r="U49" s="215"/>
    </row>
    <row r="50" ht="16" customHeight="1">
      <c r="A50" t="s" s="216">
        <v>54</v>
      </c>
      <c r="B50" t="s" s="216">
        <v>582</v>
      </c>
      <c r="C50" t="s" s="216">
        <v>667</v>
      </c>
      <c r="D50" s="245">
        <v>2000</v>
      </c>
      <c r="E50" t="s" s="216">
        <v>743</v>
      </c>
      <c r="F50" s="245">
        <v>1711081109</v>
      </c>
      <c r="G50" s="244">
        <v>42683</v>
      </c>
      <c r="H50" s="244">
        <v>43047</v>
      </c>
      <c r="I50" s="245">
        <v>645</v>
      </c>
      <c r="J50" s="245">
        <v>0</v>
      </c>
      <c r="K50" t="s" s="216">
        <v>659</v>
      </c>
      <c r="L50" s="245">
        <v>364</v>
      </c>
      <c r="M50" s="245">
        <v>203</v>
      </c>
      <c r="N50" s="246">
        <v>0.5576923076923077</v>
      </c>
      <c r="O50" s="244">
        <f>H50-0.4*L50</f>
        <v>42901.4</v>
      </c>
      <c r="P50" s="239"/>
      <c r="Q50" s="268">
        <v>42767.4</v>
      </c>
      <c r="R50" s="271">
        <v>142</v>
      </c>
      <c r="S50" s="61"/>
      <c r="T50" s="237"/>
      <c r="U50" s="215"/>
    </row>
    <row r="51" ht="16" customHeight="1">
      <c r="A51" t="s" s="216">
        <v>54</v>
      </c>
      <c r="B51" t="s" s="216">
        <v>582</v>
      </c>
      <c r="C51" t="s" s="216">
        <v>668</v>
      </c>
      <c r="D51" s="245">
        <v>2000</v>
      </c>
      <c r="E51" t="s" s="216">
        <v>743</v>
      </c>
      <c r="F51" s="245">
        <v>1705080509</v>
      </c>
      <c r="G51" s="244">
        <v>42499</v>
      </c>
      <c r="H51" s="244">
        <v>42863</v>
      </c>
      <c r="I51" s="245">
        <v>0</v>
      </c>
      <c r="J51" s="245">
        <v>0</v>
      </c>
      <c r="K51" t="s" s="216">
        <v>659</v>
      </c>
      <c r="L51" s="245">
        <v>364</v>
      </c>
      <c r="M51" s="245">
        <v>19</v>
      </c>
      <c r="N51" s="246">
        <v>0.0521978021978022</v>
      </c>
      <c r="O51" s="244">
        <f>H51-0.4*L51</f>
        <v>42717.4</v>
      </c>
      <c r="P51" s="239"/>
      <c r="Q51" s="268">
        <v>42736.4</v>
      </c>
      <c r="R51" s="273">
        <v>63</v>
      </c>
      <c r="S51" s="61"/>
      <c r="T51" s="237"/>
      <c r="U51" s="215"/>
    </row>
    <row r="52" ht="16" customHeight="1">
      <c r="A52" t="s" s="216">
        <v>54</v>
      </c>
      <c r="B52" t="s" s="216">
        <v>582</v>
      </c>
      <c r="C52" t="s" s="216">
        <v>668</v>
      </c>
      <c r="D52" s="245">
        <v>2000</v>
      </c>
      <c r="E52" t="s" s="216">
        <v>743</v>
      </c>
      <c r="F52" s="245">
        <v>1708140815</v>
      </c>
      <c r="G52" s="244">
        <v>42597</v>
      </c>
      <c r="H52" s="244">
        <v>42961</v>
      </c>
      <c r="I52" s="245">
        <v>0</v>
      </c>
      <c r="J52" s="245">
        <v>0</v>
      </c>
      <c r="K52" t="s" s="216">
        <v>659</v>
      </c>
      <c r="L52" s="245">
        <v>364</v>
      </c>
      <c r="M52" s="245">
        <v>117</v>
      </c>
      <c r="N52" s="246">
        <v>0.3214285714285715</v>
      </c>
      <c r="O52" s="244">
        <f>H52-0.4*L52</f>
        <v>42815.4</v>
      </c>
      <c r="P52" s="215"/>
      <c r="Q52" t="s" s="266">
        <v>102</v>
      </c>
      <c r="R52" s="259">
        <v>792</v>
      </c>
      <c r="S52" s="61"/>
      <c r="T52" s="237"/>
      <c r="U52" s="215"/>
    </row>
    <row r="53" ht="16" customHeight="1">
      <c r="A53" t="s" s="216">
        <v>66</v>
      </c>
      <c r="B53" t="s" s="216">
        <v>584</v>
      </c>
      <c r="C53" t="s" s="216">
        <v>657</v>
      </c>
      <c r="D53" s="245">
        <v>1000</v>
      </c>
      <c r="E53" t="s" s="216">
        <v>743</v>
      </c>
      <c r="F53" s="245">
        <v>1711231124</v>
      </c>
      <c r="G53" s="244">
        <v>42698</v>
      </c>
      <c r="H53" s="244">
        <v>43062</v>
      </c>
      <c r="I53" s="245">
        <v>7224</v>
      </c>
      <c r="J53" s="245">
        <v>0</v>
      </c>
      <c r="K53" t="s" s="216">
        <v>659</v>
      </c>
      <c r="L53" s="245">
        <v>364</v>
      </c>
      <c r="M53" s="245">
        <v>218</v>
      </c>
      <c r="N53" s="246">
        <v>0.5989010989010989</v>
      </c>
      <c r="O53" s="244">
        <f>H53-0.4*L53</f>
        <v>42916.4</v>
      </c>
      <c r="P53" s="239"/>
      <c r="Q53" s="268">
        <v>42828.4</v>
      </c>
      <c r="R53" s="269">
        <v>720</v>
      </c>
      <c r="S53" s="61"/>
      <c r="T53" s="237"/>
      <c r="U53" s="215"/>
    </row>
    <row r="54" ht="16" customHeight="1">
      <c r="A54" t="s" s="216">
        <v>66</v>
      </c>
      <c r="B54" t="s" s="216">
        <v>584</v>
      </c>
      <c r="C54" t="s" s="216">
        <v>657</v>
      </c>
      <c r="D54" s="245">
        <v>1628</v>
      </c>
      <c r="E54" t="s" s="216">
        <v>746</v>
      </c>
      <c r="F54" s="245">
        <v>1709070908</v>
      </c>
      <c r="G54" s="244">
        <v>42621</v>
      </c>
      <c r="H54" s="244">
        <v>42985</v>
      </c>
      <c r="I54" s="245">
        <v>4</v>
      </c>
      <c r="J54" s="245">
        <v>0</v>
      </c>
      <c r="K54" t="s" s="216">
        <v>659</v>
      </c>
      <c r="L54" s="245">
        <v>364</v>
      </c>
      <c r="M54" s="245">
        <v>141</v>
      </c>
      <c r="N54" s="246">
        <v>0.3873626373626374</v>
      </c>
      <c r="O54" s="244">
        <f>H54-0.4*L54</f>
        <v>42839.4</v>
      </c>
      <c r="P54" s="239"/>
      <c r="Q54" s="268">
        <v>42889.4</v>
      </c>
      <c r="R54" s="271">
        <v>3</v>
      </c>
      <c r="S54" s="61"/>
      <c r="T54" s="237"/>
      <c r="U54" s="215"/>
    </row>
    <row r="55" ht="16" customHeight="1">
      <c r="A55" t="s" s="216">
        <v>66</v>
      </c>
      <c r="B55" t="s" s="216">
        <v>584</v>
      </c>
      <c r="C55" t="s" s="216">
        <v>657</v>
      </c>
      <c r="D55" s="245">
        <v>1628</v>
      </c>
      <c r="E55" t="s" s="216">
        <v>746</v>
      </c>
      <c r="F55" s="245">
        <v>1709280929</v>
      </c>
      <c r="G55" s="244">
        <v>42642</v>
      </c>
      <c r="H55" s="244">
        <v>43006</v>
      </c>
      <c r="I55" s="245">
        <v>23</v>
      </c>
      <c r="J55" t="s" s="216">
        <v>748</v>
      </c>
      <c r="K55" t="s" s="216">
        <v>659</v>
      </c>
      <c r="L55" s="245">
        <v>364</v>
      </c>
      <c r="M55" s="245">
        <v>162</v>
      </c>
      <c r="N55" s="246">
        <v>0.445054945054945</v>
      </c>
      <c r="O55" s="244">
        <f>H55-0.4*L55</f>
        <v>42860.4</v>
      </c>
      <c r="P55" s="239"/>
      <c r="Q55" s="268">
        <v>42920.4</v>
      </c>
      <c r="R55" s="271">
        <v>6</v>
      </c>
      <c r="S55" s="61"/>
      <c r="T55" s="237"/>
      <c r="U55" s="215"/>
    </row>
    <row r="56" ht="16" customHeight="1">
      <c r="A56" t="s" s="216">
        <v>66</v>
      </c>
      <c r="B56" t="s" s="216">
        <v>584</v>
      </c>
      <c r="C56" t="s" s="216">
        <v>668</v>
      </c>
      <c r="D56" s="245">
        <v>2000</v>
      </c>
      <c r="E56" t="s" s="216">
        <v>743</v>
      </c>
      <c r="F56" s="245">
        <v>1706220623</v>
      </c>
      <c r="G56" s="244">
        <v>42544</v>
      </c>
      <c r="H56" s="244">
        <v>42908</v>
      </c>
      <c r="I56" s="245">
        <v>12</v>
      </c>
      <c r="J56" s="245">
        <v>0</v>
      </c>
      <c r="K56" t="s" s="216">
        <v>659</v>
      </c>
      <c r="L56" s="245">
        <v>364</v>
      </c>
      <c r="M56" s="245">
        <v>64</v>
      </c>
      <c r="N56" s="246">
        <v>0.1758241758241758</v>
      </c>
      <c r="O56" s="244">
        <f>H56-0.4*L56</f>
        <v>42762.4</v>
      </c>
      <c r="P56" s="239"/>
      <c r="Q56" s="268">
        <v>42979.4</v>
      </c>
      <c r="R56" s="271">
        <v>7</v>
      </c>
      <c r="S56" s="61"/>
      <c r="T56" s="237"/>
      <c r="U56" s="215"/>
    </row>
    <row r="57" ht="16" customHeight="1">
      <c r="A57" t="s" s="216">
        <v>66</v>
      </c>
      <c r="B57" t="s" s="216">
        <v>584</v>
      </c>
      <c r="C57" t="s" s="216">
        <v>668</v>
      </c>
      <c r="D57" s="245">
        <v>2000</v>
      </c>
      <c r="E57" t="s" s="216">
        <v>743</v>
      </c>
      <c r="F57" s="245">
        <v>1710231024</v>
      </c>
      <c r="G57" s="244">
        <v>42667</v>
      </c>
      <c r="H57" s="244">
        <v>43031</v>
      </c>
      <c r="I57" s="245">
        <v>0</v>
      </c>
      <c r="J57" s="245">
        <v>0</v>
      </c>
      <c r="K57" t="s" s="216">
        <v>659</v>
      </c>
      <c r="L57" s="245">
        <v>364</v>
      </c>
      <c r="M57" s="245">
        <v>187</v>
      </c>
      <c r="N57" s="246">
        <v>0.5137362637362637</v>
      </c>
      <c r="O57" s="244">
        <f>H57-0.4*L57</f>
        <v>42885.4</v>
      </c>
      <c r="P57" s="239"/>
      <c r="Q57" s="268">
        <v>42798.4</v>
      </c>
      <c r="R57" s="271">
        <v>6</v>
      </c>
      <c r="S57" s="61"/>
      <c r="T57" s="237"/>
      <c r="U57" s="215"/>
    </row>
    <row r="58" ht="16" customHeight="1">
      <c r="A58" t="s" s="216">
        <v>78</v>
      </c>
      <c r="B58" t="s" s="216">
        <v>586</v>
      </c>
      <c r="C58" t="s" s="216">
        <v>657</v>
      </c>
      <c r="D58" s="245">
        <v>1000</v>
      </c>
      <c r="E58" t="s" s="216">
        <v>743</v>
      </c>
      <c r="F58" s="245">
        <v>1708310602</v>
      </c>
      <c r="G58" s="244">
        <v>42523</v>
      </c>
      <c r="H58" s="244">
        <v>42978</v>
      </c>
      <c r="I58" s="245">
        <v>10428</v>
      </c>
      <c r="J58" s="245">
        <v>0</v>
      </c>
      <c r="K58" t="s" s="216">
        <v>659</v>
      </c>
      <c r="L58" s="245">
        <v>455</v>
      </c>
      <c r="M58" s="245">
        <v>134</v>
      </c>
      <c r="N58" s="246">
        <v>0.2945054945054945</v>
      </c>
      <c r="O58" s="244">
        <f>H58-0.4*L58</f>
        <v>42796</v>
      </c>
      <c r="P58" s="239"/>
      <c r="Q58" s="268">
        <v>42767.4</v>
      </c>
      <c r="R58" s="271">
        <v>19</v>
      </c>
      <c r="S58" s="61"/>
      <c r="T58" s="237"/>
      <c r="U58" s="215"/>
    </row>
    <row r="59" ht="16" customHeight="1">
      <c r="A59" t="s" s="216">
        <v>78</v>
      </c>
      <c r="B59" t="s" s="216">
        <v>586</v>
      </c>
      <c r="C59" t="s" s="216">
        <v>657</v>
      </c>
      <c r="D59" s="245">
        <v>1000</v>
      </c>
      <c r="E59" t="s" s="216">
        <v>743</v>
      </c>
      <c r="F59" s="245">
        <v>1709300702</v>
      </c>
      <c r="G59" s="244">
        <v>42553</v>
      </c>
      <c r="H59" s="244">
        <v>43008</v>
      </c>
      <c r="I59" s="245">
        <v>15228</v>
      </c>
      <c r="J59" s="245">
        <v>0</v>
      </c>
      <c r="K59" t="s" s="216">
        <v>659</v>
      </c>
      <c r="L59" s="245">
        <v>455</v>
      </c>
      <c r="M59" s="245">
        <v>164</v>
      </c>
      <c r="N59" s="246">
        <v>0.3604395604395604</v>
      </c>
      <c r="O59" s="244">
        <f>H59-0.4*L59</f>
        <v>42826</v>
      </c>
      <c r="P59" s="239"/>
      <c r="Q59" s="268">
        <v>42736.4</v>
      </c>
      <c r="R59" s="271">
        <v>27</v>
      </c>
      <c r="S59" s="61"/>
      <c r="T59" s="237"/>
      <c r="U59" s="215"/>
    </row>
    <row r="60" ht="16" customHeight="1">
      <c r="A60" t="s" s="216">
        <v>78</v>
      </c>
      <c r="B60" t="s" s="216">
        <v>586</v>
      </c>
      <c r="C60" t="s" s="216">
        <v>657</v>
      </c>
      <c r="D60" s="245">
        <v>1000</v>
      </c>
      <c r="E60" t="s" s="216">
        <v>743</v>
      </c>
      <c r="F60" s="245">
        <v>1710310802</v>
      </c>
      <c r="G60" s="244">
        <v>42584</v>
      </c>
      <c r="H60" s="244">
        <v>43039</v>
      </c>
      <c r="I60" s="245">
        <v>90615</v>
      </c>
      <c r="J60" s="245">
        <v>0</v>
      </c>
      <c r="K60" t="s" s="216">
        <v>659</v>
      </c>
      <c r="L60" s="245">
        <v>455</v>
      </c>
      <c r="M60" s="245">
        <v>195</v>
      </c>
      <c r="N60" s="246">
        <v>0.4285714285714285</v>
      </c>
      <c r="O60" s="244">
        <f>H60-0.4*L60</f>
        <v>42857</v>
      </c>
      <c r="P60" s="239"/>
      <c r="Q60" s="268">
        <v>42706.4</v>
      </c>
      <c r="R60" s="273">
        <v>4</v>
      </c>
      <c r="S60" s="61"/>
      <c r="T60" s="237"/>
      <c r="U60" s="215"/>
    </row>
    <row r="61" ht="16" customHeight="1">
      <c r="A61" t="s" s="216">
        <v>78</v>
      </c>
      <c r="B61" t="s" s="216">
        <v>586</v>
      </c>
      <c r="C61" t="s" s="216">
        <v>657</v>
      </c>
      <c r="D61" s="245">
        <v>1000</v>
      </c>
      <c r="E61" t="s" s="216">
        <v>743</v>
      </c>
      <c r="F61" s="245">
        <v>1711300901</v>
      </c>
      <c r="G61" s="244">
        <v>42614</v>
      </c>
      <c r="H61" s="244">
        <v>43069</v>
      </c>
      <c r="I61" s="245">
        <v>948</v>
      </c>
      <c r="J61" s="245">
        <v>0</v>
      </c>
      <c r="K61" t="s" s="216">
        <v>659</v>
      </c>
      <c r="L61" s="245">
        <v>455</v>
      </c>
      <c r="M61" s="245">
        <v>225</v>
      </c>
      <c r="N61" s="246">
        <v>0.4945054945054945</v>
      </c>
      <c r="O61" s="244">
        <f>H61-0.4*L61</f>
        <v>42887</v>
      </c>
      <c r="P61" s="215"/>
      <c r="Q61" t="s" s="266">
        <v>114</v>
      </c>
      <c r="R61" s="259">
        <v>4984</v>
      </c>
      <c r="S61" s="61"/>
      <c r="T61" s="237"/>
      <c r="U61" s="215"/>
    </row>
    <row r="62" ht="16" customHeight="1">
      <c r="A62" t="s" s="216">
        <v>78</v>
      </c>
      <c r="B62" t="s" s="216">
        <v>586</v>
      </c>
      <c r="C62" t="s" s="216">
        <v>657</v>
      </c>
      <c r="D62" s="245">
        <v>1000</v>
      </c>
      <c r="E62" t="s" s="216">
        <v>743</v>
      </c>
      <c r="F62" s="245">
        <v>1712311002</v>
      </c>
      <c r="G62" s="244">
        <v>42645</v>
      </c>
      <c r="H62" s="244">
        <v>43100</v>
      </c>
      <c r="I62" s="245">
        <v>12</v>
      </c>
      <c r="J62" s="245">
        <v>0</v>
      </c>
      <c r="K62" t="s" s="216">
        <v>659</v>
      </c>
      <c r="L62" s="245">
        <v>455</v>
      </c>
      <c r="M62" s="245">
        <v>256</v>
      </c>
      <c r="N62" s="246">
        <v>0.5626373626373626</v>
      </c>
      <c r="O62" s="244">
        <f>H62-0.4*L62</f>
        <v>42918</v>
      </c>
      <c r="P62" s="239"/>
      <c r="Q62" s="268">
        <v>42906.4</v>
      </c>
      <c r="R62" s="269">
        <v>7</v>
      </c>
      <c r="S62" s="61"/>
      <c r="T62" s="237"/>
      <c r="U62" s="215"/>
    </row>
    <row r="63" ht="16" customHeight="1">
      <c r="A63" t="s" s="216">
        <v>78</v>
      </c>
      <c r="B63" t="s" s="216">
        <v>586</v>
      </c>
      <c r="C63" t="s" s="216">
        <v>657</v>
      </c>
      <c r="D63" s="245">
        <v>1000</v>
      </c>
      <c r="E63" t="s" s="216">
        <v>743</v>
      </c>
      <c r="F63" s="245">
        <v>1802281130</v>
      </c>
      <c r="G63" s="244">
        <v>42704</v>
      </c>
      <c r="H63" s="244">
        <v>43159</v>
      </c>
      <c r="I63" s="245">
        <v>3228</v>
      </c>
      <c r="J63" s="245">
        <v>0</v>
      </c>
      <c r="K63" t="s" s="216">
        <v>659</v>
      </c>
      <c r="L63" s="245">
        <v>455</v>
      </c>
      <c r="M63" s="245">
        <v>315</v>
      </c>
      <c r="N63" s="246">
        <v>0.6923076923076923</v>
      </c>
      <c r="O63" s="244">
        <f>H63-0.4*L63</f>
        <v>42977</v>
      </c>
      <c r="P63" s="239"/>
      <c r="Q63" s="268">
        <v>42995.4</v>
      </c>
      <c r="R63" s="271">
        <v>537</v>
      </c>
      <c r="S63" s="61"/>
      <c r="T63" s="237"/>
      <c r="U63" s="215"/>
    </row>
    <row r="64" ht="16" customHeight="1">
      <c r="A64" t="s" s="216">
        <v>78</v>
      </c>
      <c r="B64" t="s" s="216">
        <v>586</v>
      </c>
      <c r="C64" t="s" s="216">
        <v>657</v>
      </c>
      <c r="D64" s="245">
        <v>1610</v>
      </c>
      <c r="E64" t="s" s="216">
        <v>745</v>
      </c>
      <c r="F64" s="245">
        <v>1711300901</v>
      </c>
      <c r="G64" s="244">
        <v>42614</v>
      </c>
      <c r="H64" s="244">
        <v>43069</v>
      </c>
      <c r="I64" s="245">
        <v>0</v>
      </c>
      <c r="J64" s="245">
        <v>0</v>
      </c>
      <c r="K64" t="s" s="216">
        <v>659</v>
      </c>
      <c r="L64" s="245">
        <v>455</v>
      </c>
      <c r="M64" s="245">
        <v>225</v>
      </c>
      <c r="N64" s="246">
        <v>0.4945054945054945</v>
      </c>
      <c r="O64" s="244">
        <f>H64-0.4*L64</f>
        <v>42887</v>
      </c>
      <c r="P64" s="239"/>
      <c r="Q64" s="268">
        <v>42996.4</v>
      </c>
      <c r="R64" s="273">
        <v>0</v>
      </c>
      <c r="S64" s="61"/>
      <c r="T64" s="237"/>
      <c r="U64" s="215"/>
    </row>
    <row r="65" ht="16" customHeight="1">
      <c r="A65" t="s" s="216">
        <v>78</v>
      </c>
      <c r="B65" t="s" s="216">
        <v>586</v>
      </c>
      <c r="C65" t="s" s="216">
        <v>657</v>
      </c>
      <c r="D65" s="245">
        <v>1610</v>
      </c>
      <c r="E65" t="s" s="216">
        <v>745</v>
      </c>
      <c r="F65" s="245">
        <v>1802281130</v>
      </c>
      <c r="G65" s="244">
        <v>42704</v>
      </c>
      <c r="H65" s="244">
        <v>43159</v>
      </c>
      <c r="I65" s="245">
        <v>0</v>
      </c>
      <c r="J65" s="245">
        <v>0</v>
      </c>
      <c r="K65" t="s" s="216">
        <v>659</v>
      </c>
      <c r="L65" s="245">
        <v>455</v>
      </c>
      <c r="M65" s="245">
        <v>315</v>
      </c>
      <c r="N65" s="246">
        <v>0.6923076923076923</v>
      </c>
      <c r="O65" s="244">
        <f>H65-0.4*L65</f>
        <v>42977</v>
      </c>
      <c r="P65" s="239"/>
      <c r="Q65" s="268">
        <v>42996</v>
      </c>
      <c r="R65" s="274">
        <v>4440</v>
      </c>
      <c r="S65" s="61"/>
      <c r="T65" s="237"/>
      <c r="U65" s="215"/>
    </row>
    <row r="66" ht="16" customHeight="1">
      <c r="A66" t="s" s="216">
        <v>78</v>
      </c>
      <c r="B66" t="s" s="216">
        <v>586</v>
      </c>
      <c r="C66" t="s" s="216">
        <v>657</v>
      </c>
      <c r="D66" s="245">
        <v>1628</v>
      </c>
      <c r="E66" t="s" s="216">
        <v>746</v>
      </c>
      <c r="F66" s="245">
        <v>1709300702</v>
      </c>
      <c r="G66" s="244">
        <v>42553</v>
      </c>
      <c r="H66" s="244">
        <v>43008</v>
      </c>
      <c r="I66" s="245">
        <v>5</v>
      </c>
      <c r="J66" s="245">
        <v>0</v>
      </c>
      <c r="K66" t="s" s="216">
        <v>659</v>
      </c>
      <c r="L66" s="245">
        <v>455</v>
      </c>
      <c r="M66" s="245">
        <v>164</v>
      </c>
      <c r="N66" s="246">
        <v>0.3604395604395604</v>
      </c>
      <c r="O66" s="244">
        <f>H66-0.4*L66</f>
        <v>42826</v>
      </c>
      <c r="P66" s="215"/>
      <c r="Q66" t="s" s="266">
        <v>126</v>
      </c>
      <c r="R66" s="259">
        <v>10496</v>
      </c>
      <c r="S66" s="61"/>
      <c r="T66" s="237"/>
      <c r="U66" s="215"/>
    </row>
    <row r="67" ht="16" customHeight="1">
      <c r="A67" t="s" s="216">
        <v>78</v>
      </c>
      <c r="B67" t="s" s="216">
        <v>586</v>
      </c>
      <c r="C67" t="s" s="216">
        <v>657</v>
      </c>
      <c r="D67" s="245">
        <v>1628</v>
      </c>
      <c r="E67" t="s" s="216">
        <v>746</v>
      </c>
      <c r="F67" s="245">
        <v>1710310802</v>
      </c>
      <c r="G67" s="244">
        <v>42584</v>
      </c>
      <c r="H67" s="244">
        <v>43039</v>
      </c>
      <c r="I67" s="245">
        <v>21</v>
      </c>
      <c r="J67" s="245">
        <v>0</v>
      </c>
      <c r="K67" t="s" s="216">
        <v>659</v>
      </c>
      <c r="L67" s="245">
        <v>455</v>
      </c>
      <c r="M67" s="245">
        <v>195</v>
      </c>
      <c r="N67" s="246">
        <v>0.4285714285714285</v>
      </c>
      <c r="O67" s="244">
        <f>H67-0.4*L67</f>
        <v>42857</v>
      </c>
      <c r="P67" s="239"/>
      <c r="Q67" s="268">
        <v>42709.4</v>
      </c>
      <c r="R67" s="269">
        <v>3</v>
      </c>
      <c r="S67" s="61"/>
      <c r="T67" s="237"/>
      <c r="U67" s="215"/>
    </row>
    <row r="68" ht="16" customHeight="1">
      <c r="A68" t="s" s="216">
        <v>78</v>
      </c>
      <c r="B68" t="s" s="216">
        <v>586</v>
      </c>
      <c r="C68" t="s" s="216">
        <v>666</v>
      </c>
      <c r="D68" s="245">
        <v>2000</v>
      </c>
      <c r="E68" t="s" s="216">
        <v>747</v>
      </c>
      <c r="F68" s="245">
        <v>1707310502</v>
      </c>
      <c r="G68" s="244">
        <v>42492</v>
      </c>
      <c r="H68" s="244">
        <v>42947</v>
      </c>
      <c r="I68" s="245">
        <v>426</v>
      </c>
      <c r="J68" s="245">
        <v>0</v>
      </c>
      <c r="K68" t="s" s="216">
        <v>659</v>
      </c>
      <c r="L68" s="245">
        <v>455</v>
      </c>
      <c r="M68" s="245">
        <v>103</v>
      </c>
      <c r="N68" s="246">
        <v>0.2263736263736264</v>
      </c>
      <c r="O68" s="244">
        <f>H68-0.4*L68</f>
        <v>42765</v>
      </c>
      <c r="P68" s="239"/>
      <c r="Q68" s="268">
        <v>42770.4</v>
      </c>
      <c r="R68" s="271">
        <v>303</v>
      </c>
      <c r="S68" s="61"/>
      <c r="T68" s="237"/>
      <c r="U68" s="215"/>
    </row>
    <row r="69" ht="16" customHeight="1">
      <c r="A69" t="s" s="216">
        <v>78</v>
      </c>
      <c r="B69" t="s" s="216">
        <v>586</v>
      </c>
      <c r="C69" t="s" s="216">
        <v>666</v>
      </c>
      <c r="D69" s="245">
        <v>2000</v>
      </c>
      <c r="E69" t="s" s="216">
        <v>747</v>
      </c>
      <c r="F69" s="245">
        <v>1708310602</v>
      </c>
      <c r="G69" s="244">
        <v>42523</v>
      </c>
      <c r="H69" s="244">
        <v>42978</v>
      </c>
      <c r="I69" s="245">
        <v>1363</v>
      </c>
      <c r="J69" s="245">
        <v>0</v>
      </c>
      <c r="K69" t="s" s="216">
        <v>659</v>
      </c>
      <c r="L69" s="245">
        <v>455</v>
      </c>
      <c r="M69" s="245">
        <v>134</v>
      </c>
      <c r="N69" s="246">
        <v>0.2945054945054945</v>
      </c>
      <c r="O69" s="244">
        <f>H69-0.4*L69</f>
        <v>42796</v>
      </c>
      <c r="P69" s="239"/>
      <c r="Q69" s="268">
        <v>42801.4</v>
      </c>
      <c r="R69" s="271">
        <v>2611</v>
      </c>
      <c r="S69" s="61"/>
      <c r="T69" s="237"/>
      <c r="U69" s="215"/>
    </row>
    <row r="70" ht="16" customHeight="1">
      <c r="A70" t="s" s="216">
        <v>78</v>
      </c>
      <c r="B70" t="s" s="216">
        <v>586</v>
      </c>
      <c r="C70" t="s" s="216">
        <v>666</v>
      </c>
      <c r="D70" s="245">
        <v>2000</v>
      </c>
      <c r="E70" t="s" s="216">
        <v>747</v>
      </c>
      <c r="F70" s="245">
        <v>1709300702</v>
      </c>
      <c r="G70" s="244">
        <v>42553</v>
      </c>
      <c r="H70" s="244">
        <v>43008</v>
      </c>
      <c r="I70" s="245">
        <v>0</v>
      </c>
      <c r="J70" s="245">
        <v>0</v>
      </c>
      <c r="K70" t="s" s="216">
        <v>659</v>
      </c>
      <c r="L70" s="245">
        <v>455</v>
      </c>
      <c r="M70" s="245">
        <v>164</v>
      </c>
      <c r="N70" s="246">
        <v>0.3604395604395604</v>
      </c>
      <c r="O70" s="244">
        <f>H70-0.4*L70</f>
        <v>42826</v>
      </c>
      <c r="P70" s="239"/>
      <c r="Q70" s="268">
        <v>42893.4</v>
      </c>
      <c r="R70" s="271">
        <v>960</v>
      </c>
      <c r="S70" s="61"/>
      <c r="T70" s="237"/>
      <c r="U70" s="215"/>
    </row>
    <row r="71" ht="16" customHeight="1">
      <c r="A71" t="s" s="216">
        <v>78</v>
      </c>
      <c r="B71" t="s" s="216">
        <v>586</v>
      </c>
      <c r="C71" t="s" s="216">
        <v>666</v>
      </c>
      <c r="D71" s="245">
        <v>2000</v>
      </c>
      <c r="E71" t="s" s="216">
        <v>747</v>
      </c>
      <c r="F71" s="245">
        <v>1710310802</v>
      </c>
      <c r="G71" s="244">
        <v>42584</v>
      </c>
      <c r="H71" s="244">
        <v>43039</v>
      </c>
      <c r="I71" s="245">
        <v>335</v>
      </c>
      <c r="J71" s="245">
        <v>0</v>
      </c>
      <c r="K71" t="s" s="216">
        <v>659</v>
      </c>
      <c r="L71" s="245">
        <v>455</v>
      </c>
      <c r="M71" s="245">
        <v>195</v>
      </c>
      <c r="N71" s="246">
        <v>0.4285714285714285</v>
      </c>
      <c r="O71" s="244">
        <f>H71-0.4*L71</f>
        <v>42857</v>
      </c>
      <c r="P71" s="239"/>
      <c r="Q71" s="268">
        <v>42923.4</v>
      </c>
      <c r="R71" s="273">
        <v>139</v>
      </c>
      <c r="S71" s="61"/>
      <c r="T71" s="237"/>
      <c r="U71" s="215"/>
    </row>
    <row r="72" ht="16" customHeight="1">
      <c r="A72" t="s" s="216">
        <v>78</v>
      </c>
      <c r="B72" t="s" s="216">
        <v>586</v>
      </c>
      <c r="C72" t="s" s="216">
        <v>666</v>
      </c>
      <c r="D72" s="245">
        <v>2000</v>
      </c>
      <c r="E72" t="s" s="216">
        <v>747</v>
      </c>
      <c r="F72" s="245">
        <v>1802281130</v>
      </c>
      <c r="G72" s="244">
        <v>42704</v>
      </c>
      <c r="H72" s="244">
        <v>43159</v>
      </c>
      <c r="I72" s="245">
        <v>2039</v>
      </c>
      <c r="J72" s="245">
        <v>0</v>
      </c>
      <c r="K72" t="s" s="216">
        <v>659</v>
      </c>
      <c r="L72" s="245">
        <v>455</v>
      </c>
      <c r="M72" s="245">
        <v>315</v>
      </c>
      <c r="N72" s="246">
        <v>0.6923076923076923</v>
      </c>
      <c r="O72" s="244">
        <f>H72-0.4*L72</f>
        <v>42977</v>
      </c>
      <c r="P72" s="239"/>
      <c r="Q72" s="268">
        <v>42923</v>
      </c>
      <c r="R72" s="274">
        <v>6480</v>
      </c>
      <c r="S72" s="61"/>
      <c r="T72" s="237"/>
      <c r="U72" s="215"/>
    </row>
    <row r="73" ht="16" customHeight="1">
      <c r="A73" t="s" s="216">
        <v>78</v>
      </c>
      <c r="B73" t="s" s="216">
        <v>586</v>
      </c>
      <c r="C73" t="s" s="216">
        <v>667</v>
      </c>
      <c r="D73" s="245">
        <v>2000</v>
      </c>
      <c r="E73" t="s" s="216">
        <v>743</v>
      </c>
      <c r="F73" s="245">
        <v>1705310302</v>
      </c>
      <c r="G73" s="244">
        <v>42431</v>
      </c>
      <c r="H73" s="244">
        <v>42886</v>
      </c>
      <c r="I73" s="245">
        <v>12</v>
      </c>
      <c r="J73" s="245">
        <v>0</v>
      </c>
      <c r="K73" t="s" s="216">
        <v>659</v>
      </c>
      <c r="L73" s="245">
        <v>455</v>
      </c>
      <c r="M73" s="245">
        <v>42</v>
      </c>
      <c r="N73" s="246">
        <v>0.09230769230769231</v>
      </c>
      <c r="O73" s="244">
        <f>H73-0.4*L73</f>
        <v>42704</v>
      </c>
      <c r="P73" s="215"/>
      <c r="Q73" t="s" s="266">
        <v>138</v>
      </c>
      <c r="R73" s="259">
        <v>11409</v>
      </c>
      <c r="S73" s="61"/>
      <c r="T73" s="237"/>
      <c r="U73" s="215"/>
    </row>
    <row r="74" ht="16" customHeight="1">
      <c r="A74" t="s" s="216">
        <v>78</v>
      </c>
      <c r="B74" t="s" s="216">
        <v>586</v>
      </c>
      <c r="C74" t="s" s="216">
        <v>667</v>
      </c>
      <c r="D74" s="245">
        <v>2000</v>
      </c>
      <c r="E74" t="s" s="216">
        <v>743</v>
      </c>
      <c r="F74" s="245">
        <v>1709300702</v>
      </c>
      <c r="G74" s="244">
        <v>42553</v>
      </c>
      <c r="H74" s="244">
        <v>43008</v>
      </c>
      <c r="I74" s="245">
        <v>0</v>
      </c>
      <c r="J74" s="245">
        <v>0</v>
      </c>
      <c r="K74" t="s" s="216">
        <v>659</v>
      </c>
      <c r="L74" s="245">
        <v>455</v>
      </c>
      <c r="M74" s="245">
        <v>164</v>
      </c>
      <c r="N74" s="246">
        <v>0.3604395604395604</v>
      </c>
      <c r="O74" s="244">
        <f>H74-0.4*L74</f>
        <v>42826</v>
      </c>
      <c r="P74" s="239"/>
      <c r="Q74" s="268">
        <v>42728.4</v>
      </c>
      <c r="R74" s="269">
        <v>258</v>
      </c>
      <c r="S74" s="61"/>
      <c r="T74" s="237"/>
      <c r="U74" s="215"/>
    </row>
    <row r="75" ht="16" customHeight="1">
      <c r="A75" t="s" s="216">
        <v>78</v>
      </c>
      <c r="B75" t="s" s="216">
        <v>586</v>
      </c>
      <c r="C75" t="s" s="216">
        <v>667</v>
      </c>
      <c r="D75" s="245">
        <v>2000</v>
      </c>
      <c r="E75" t="s" s="216">
        <v>743</v>
      </c>
      <c r="F75" s="245">
        <v>1712311002</v>
      </c>
      <c r="G75" s="244">
        <v>42645</v>
      </c>
      <c r="H75" s="244">
        <v>43100</v>
      </c>
      <c r="I75" s="245">
        <v>12</v>
      </c>
      <c r="J75" s="245">
        <v>0</v>
      </c>
      <c r="K75" t="s" s="216">
        <v>659</v>
      </c>
      <c r="L75" s="245">
        <v>455</v>
      </c>
      <c r="M75" s="245">
        <v>256</v>
      </c>
      <c r="N75" s="246">
        <v>0.5626373626373626</v>
      </c>
      <c r="O75" s="244">
        <f>H75-0.4*L75</f>
        <v>42918</v>
      </c>
      <c r="P75" s="239"/>
      <c r="Q75" s="268">
        <v>42820.4</v>
      </c>
      <c r="R75" s="271">
        <v>2855</v>
      </c>
      <c r="S75" s="61"/>
      <c r="T75" s="237"/>
      <c r="U75" s="215"/>
    </row>
    <row r="76" ht="16" customHeight="1">
      <c r="A76" t="s" s="216">
        <v>78</v>
      </c>
      <c r="B76" t="s" s="216">
        <v>586</v>
      </c>
      <c r="C76" t="s" s="216">
        <v>667</v>
      </c>
      <c r="D76" s="245">
        <v>2000</v>
      </c>
      <c r="E76" t="s" s="216">
        <v>743</v>
      </c>
      <c r="F76" s="245">
        <v>1802281130</v>
      </c>
      <c r="G76" s="244">
        <v>42704</v>
      </c>
      <c r="H76" s="244">
        <v>43159</v>
      </c>
      <c r="I76" s="245">
        <v>1176</v>
      </c>
      <c r="J76" s="245">
        <v>0</v>
      </c>
      <c r="K76" t="s" s="216">
        <v>659</v>
      </c>
      <c r="L76" s="245">
        <v>455</v>
      </c>
      <c r="M76" s="245">
        <v>315</v>
      </c>
      <c r="N76" s="246">
        <v>0.6923076923076923</v>
      </c>
      <c r="O76" s="244">
        <f>H76-0.4*L76</f>
        <v>42977</v>
      </c>
      <c r="P76" s="239"/>
      <c r="Q76" s="268">
        <v>42911.4</v>
      </c>
      <c r="R76" s="271">
        <v>2880</v>
      </c>
      <c r="S76" s="61"/>
      <c r="T76" s="237"/>
      <c r="U76" s="215"/>
    </row>
    <row r="77" ht="16" customHeight="1">
      <c r="A77" t="s" s="216">
        <v>78</v>
      </c>
      <c r="B77" t="s" s="216">
        <v>586</v>
      </c>
      <c r="C77" t="s" s="216">
        <v>668</v>
      </c>
      <c r="D77" s="245">
        <v>2000</v>
      </c>
      <c r="E77" t="s" s="216">
        <v>743</v>
      </c>
      <c r="F77" s="245">
        <v>1711300901</v>
      </c>
      <c r="G77" s="244">
        <v>42614</v>
      </c>
      <c r="H77" s="244">
        <v>43069</v>
      </c>
      <c r="I77" s="245">
        <v>0</v>
      </c>
      <c r="J77" s="245">
        <v>0</v>
      </c>
      <c r="K77" t="s" s="216">
        <v>659</v>
      </c>
      <c r="L77" s="245">
        <v>455</v>
      </c>
      <c r="M77" s="245">
        <v>225</v>
      </c>
      <c r="N77" s="246">
        <v>0.4945054945054945</v>
      </c>
      <c r="O77" s="244">
        <f>H77-0.4*L77</f>
        <v>42887</v>
      </c>
      <c r="P77" s="239"/>
      <c r="Q77" s="268">
        <v>42881.4</v>
      </c>
      <c r="R77" s="271">
        <v>16</v>
      </c>
      <c r="S77" s="61"/>
      <c r="T77" s="237"/>
      <c r="U77" s="215"/>
    </row>
    <row r="78" ht="16" customHeight="1">
      <c r="A78" t="s" s="216">
        <v>78</v>
      </c>
      <c r="B78" t="s" s="216">
        <v>586</v>
      </c>
      <c r="C78" t="s" s="216">
        <v>668</v>
      </c>
      <c r="D78" s="245">
        <v>2000</v>
      </c>
      <c r="E78" t="s" s="216">
        <v>743</v>
      </c>
      <c r="F78" s="245">
        <v>1712311002</v>
      </c>
      <c r="G78" s="244">
        <v>42645</v>
      </c>
      <c r="H78" s="244">
        <v>43100</v>
      </c>
      <c r="I78" s="245">
        <v>12</v>
      </c>
      <c r="J78" s="245">
        <v>0</v>
      </c>
      <c r="K78" t="s" s="216">
        <v>659</v>
      </c>
      <c r="L78" s="245">
        <v>455</v>
      </c>
      <c r="M78" s="245">
        <v>256</v>
      </c>
      <c r="N78" s="246">
        <v>0.5626373626373626</v>
      </c>
      <c r="O78" s="244">
        <f>H78-0.4*L78</f>
        <v>42918</v>
      </c>
      <c r="P78" s="239"/>
      <c r="Q78" s="268">
        <v>42911</v>
      </c>
      <c r="R78" s="273">
        <v>5400</v>
      </c>
      <c r="S78" s="61"/>
      <c r="T78" s="237"/>
      <c r="U78" s="215"/>
    </row>
    <row r="79" ht="16" customHeight="1">
      <c r="A79" t="s" s="216">
        <v>78</v>
      </c>
      <c r="B79" t="s" s="216">
        <v>586</v>
      </c>
      <c r="C79" t="s" s="216">
        <v>668</v>
      </c>
      <c r="D79" s="245">
        <v>2000</v>
      </c>
      <c r="E79" t="s" s="216">
        <v>743</v>
      </c>
      <c r="F79" s="245">
        <v>1802281130</v>
      </c>
      <c r="G79" s="244">
        <v>42704</v>
      </c>
      <c r="H79" s="244">
        <v>43159</v>
      </c>
      <c r="I79" s="245">
        <v>0</v>
      </c>
      <c r="J79" s="245">
        <v>0</v>
      </c>
      <c r="K79" t="s" s="216">
        <v>659</v>
      </c>
      <c r="L79" s="245">
        <v>455</v>
      </c>
      <c r="M79" s="245">
        <v>315</v>
      </c>
      <c r="N79" s="246">
        <v>0.6923076923076923</v>
      </c>
      <c r="O79" s="244">
        <f>H79-0.4*L79</f>
        <v>42977</v>
      </c>
      <c r="P79" s="215"/>
      <c r="Q79" t="s" s="266">
        <v>150</v>
      </c>
      <c r="R79" s="259">
        <v>67506</v>
      </c>
      <c r="S79" s="61"/>
      <c r="T79" s="237"/>
      <c r="U79" s="215"/>
    </row>
    <row r="80" ht="16" customHeight="1">
      <c r="A80" t="s" s="216">
        <v>90</v>
      </c>
      <c r="B80" t="s" s="216">
        <v>588</v>
      </c>
      <c r="C80" t="s" s="216">
        <v>657</v>
      </c>
      <c r="D80" s="245">
        <v>1000</v>
      </c>
      <c r="E80" t="s" s="216">
        <v>743</v>
      </c>
      <c r="F80" s="245">
        <v>1708310608</v>
      </c>
      <c r="G80" s="244">
        <v>42529</v>
      </c>
      <c r="H80" s="244">
        <v>42978</v>
      </c>
      <c r="I80" s="245">
        <v>1</v>
      </c>
      <c r="J80" s="245">
        <v>0</v>
      </c>
      <c r="K80" t="s" s="216">
        <v>659</v>
      </c>
      <c r="L80" s="245">
        <v>449</v>
      </c>
      <c r="M80" s="245">
        <v>134</v>
      </c>
      <c r="N80" s="246">
        <v>0.2984409799554566</v>
      </c>
      <c r="O80" s="244">
        <f>H80-0.4*L80</f>
        <v>42798.4</v>
      </c>
      <c r="P80" s="239"/>
      <c r="Q80" s="268">
        <v>42826</v>
      </c>
      <c r="R80" s="269">
        <v>58368</v>
      </c>
      <c r="S80" s="61"/>
      <c r="T80" s="237"/>
      <c r="U80" s="215"/>
    </row>
    <row r="81" ht="16" customHeight="1">
      <c r="A81" t="s" s="216">
        <v>90</v>
      </c>
      <c r="B81" t="s" s="216">
        <v>588</v>
      </c>
      <c r="C81" t="s" s="216">
        <v>657</v>
      </c>
      <c r="D81" s="245">
        <v>1000</v>
      </c>
      <c r="E81" t="s" s="216">
        <v>743</v>
      </c>
      <c r="F81" s="245">
        <v>1711300907</v>
      </c>
      <c r="G81" s="244">
        <v>42620</v>
      </c>
      <c r="H81" s="244">
        <v>43069</v>
      </c>
      <c r="I81" s="245">
        <v>594</v>
      </c>
      <c r="J81" s="245">
        <v>0</v>
      </c>
      <c r="K81" t="s" s="216">
        <v>659</v>
      </c>
      <c r="L81" s="245">
        <v>449</v>
      </c>
      <c r="M81" s="245">
        <v>225</v>
      </c>
      <c r="N81" s="246">
        <v>0.5011135857461024</v>
      </c>
      <c r="O81" s="244">
        <f>H81-0.4*L81</f>
        <v>42889.4</v>
      </c>
      <c r="P81" s="239"/>
      <c r="Q81" s="268">
        <v>42887</v>
      </c>
      <c r="R81" s="271">
        <v>8952</v>
      </c>
      <c r="S81" s="61"/>
      <c r="T81" s="237"/>
      <c r="U81" s="215"/>
    </row>
    <row r="82" ht="16" customHeight="1">
      <c r="A82" t="s" s="216">
        <v>90</v>
      </c>
      <c r="B82" t="s" s="216">
        <v>588</v>
      </c>
      <c r="C82" t="s" s="216">
        <v>657</v>
      </c>
      <c r="D82" s="245">
        <v>1000</v>
      </c>
      <c r="E82" t="s" s="216">
        <v>743</v>
      </c>
      <c r="F82" s="245">
        <v>1712311008</v>
      </c>
      <c r="G82" s="244">
        <v>42651</v>
      </c>
      <c r="H82" s="244">
        <v>43100</v>
      </c>
      <c r="I82" s="245">
        <v>594</v>
      </c>
      <c r="J82" s="245">
        <v>0</v>
      </c>
      <c r="K82" t="s" s="216">
        <v>659</v>
      </c>
      <c r="L82" s="245">
        <v>449</v>
      </c>
      <c r="M82" s="245">
        <v>256</v>
      </c>
      <c r="N82" s="246">
        <v>0.5701559020044543</v>
      </c>
      <c r="O82" s="244">
        <f>H82-0.4*L82</f>
        <v>42920.4</v>
      </c>
      <c r="P82" s="239"/>
      <c r="Q82" s="268">
        <v>42977</v>
      </c>
      <c r="R82" s="271">
        <v>165</v>
      </c>
      <c r="S82" s="61"/>
      <c r="T82" s="237"/>
      <c r="U82" s="215"/>
    </row>
    <row r="83" ht="16" customHeight="1">
      <c r="A83" t="s" s="216">
        <v>90</v>
      </c>
      <c r="B83" t="s" s="216">
        <v>588</v>
      </c>
      <c r="C83" t="s" s="216">
        <v>657</v>
      </c>
      <c r="D83" s="245">
        <v>1000</v>
      </c>
      <c r="E83" t="s" s="216">
        <v>743</v>
      </c>
      <c r="F83" s="245">
        <v>1802281206</v>
      </c>
      <c r="G83" s="244">
        <v>42710</v>
      </c>
      <c r="H83" s="244">
        <v>43159</v>
      </c>
      <c r="I83" s="245">
        <v>1224</v>
      </c>
      <c r="J83" s="245">
        <v>0</v>
      </c>
      <c r="K83" t="s" s="216">
        <v>659</v>
      </c>
      <c r="L83" s="245">
        <v>449</v>
      </c>
      <c r="M83" s="245">
        <v>315</v>
      </c>
      <c r="N83" s="246">
        <v>0.7015590200445434</v>
      </c>
      <c r="O83" s="244">
        <f>H83-0.4*L83</f>
        <v>42979.4</v>
      </c>
      <c r="P83" s="239"/>
      <c r="Q83" s="268">
        <v>42948</v>
      </c>
      <c r="R83" s="271">
        <v>20</v>
      </c>
      <c r="S83" s="61"/>
      <c r="T83" s="237"/>
      <c r="U83" s="215"/>
    </row>
    <row r="84" ht="16" customHeight="1">
      <c r="A84" t="s" s="216">
        <v>90</v>
      </c>
      <c r="B84" t="s" s="216">
        <v>588</v>
      </c>
      <c r="C84" t="s" s="216">
        <v>657</v>
      </c>
      <c r="D84" s="245">
        <v>1610</v>
      </c>
      <c r="E84" t="s" s="216">
        <v>745</v>
      </c>
      <c r="F84" s="245">
        <v>1712311008</v>
      </c>
      <c r="G84" s="244">
        <v>42651</v>
      </c>
      <c r="H84" s="244">
        <v>43100</v>
      </c>
      <c r="I84" s="245">
        <v>0</v>
      </c>
      <c r="J84" s="245">
        <v>0</v>
      </c>
      <c r="K84" t="s" s="216">
        <v>659</v>
      </c>
      <c r="L84" s="245">
        <v>449</v>
      </c>
      <c r="M84" s="245">
        <v>256</v>
      </c>
      <c r="N84" s="246">
        <v>0.5701559020044543</v>
      </c>
      <c r="O84" s="244">
        <f>H84-0.4*L84</f>
        <v>42920.4</v>
      </c>
      <c r="P84" s="239"/>
      <c r="Q84" s="268">
        <v>42795</v>
      </c>
      <c r="R84" s="273">
        <v>1</v>
      </c>
      <c r="S84" s="61"/>
      <c r="T84" s="237"/>
      <c r="U84" s="215"/>
    </row>
    <row r="85" ht="16" customHeight="1">
      <c r="A85" t="s" s="216">
        <v>90</v>
      </c>
      <c r="B85" t="s" s="216">
        <v>588</v>
      </c>
      <c r="C85" t="s" s="216">
        <v>657</v>
      </c>
      <c r="D85" s="245">
        <v>1628</v>
      </c>
      <c r="E85" t="s" s="216">
        <v>746</v>
      </c>
      <c r="F85" s="245">
        <v>1710310808</v>
      </c>
      <c r="G85" s="244">
        <v>42590</v>
      </c>
      <c r="H85" s="244">
        <v>43039</v>
      </c>
      <c r="I85" s="245">
        <v>8</v>
      </c>
      <c r="J85" s="245">
        <v>0</v>
      </c>
      <c r="K85" t="s" s="216">
        <v>659</v>
      </c>
      <c r="L85" s="245">
        <v>449</v>
      </c>
      <c r="M85" s="245">
        <v>195</v>
      </c>
      <c r="N85" s="246">
        <v>0.4342984409799555</v>
      </c>
      <c r="O85" s="244">
        <f>H85-0.4*L85</f>
        <v>42859.4</v>
      </c>
      <c r="P85" s="215"/>
      <c r="Q85" t="s" s="266">
        <v>162</v>
      </c>
      <c r="R85" s="259">
        <v>62035</v>
      </c>
      <c r="S85" s="61"/>
      <c r="T85" s="237"/>
      <c r="U85" s="215"/>
    </row>
    <row r="86" ht="16" customHeight="1">
      <c r="A86" t="s" s="216">
        <v>90</v>
      </c>
      <c r="B86" t="s" s="216">
        <v>588</v>
      </c>
      <c r="C86" t="s" s="216">
        <v>657</v>
      </c>
      <c r="D86" s="245">
        <v>1628</v>
      </c>
      <c r="E86" t="s" s="216">
        <v>746</v>
      </c>
      <c r="F86" s="245">
        <v>1711300907</v>
      </c>
      <c r="G86" s="244">
        <v>42620</v>
      </c>
      <c r="H86" s="244">
        <v>43069</v>
      </c>
      <c r="I86" s="245">
        <v>66</v>
      </c>
      <c r="J86" s="245">
        <v>0</v>
      </c>
      <c r="K86" t="s" s="216">
        <v>659</v>
      </c>
      <c r="L86" s="245">
        <v>449</v>
      </c>
      <c r="M86" s="245">
        <v>225</v>
      </c>
      <c r="N86" s="246">
        <v>0.5011135857461024</v>
      </c>
      <c r="O86" s="244">
        <f>H86-0.4*L86</f>
        <v>42889.4</v>
      </c>
      <c r="P86" s="239"/>
      <c r="Q86" s="268">
        <v>42826</v>
      </c>
      <c r="R86" s="262">
        <v>15</v>
      </c>
      <c r="S86" s="61"/>
      <c r="T86" s="237"/>
      <c r="U86" s="215"/>
    </row>
    <row r="87" ht="16" customHeight="1">
      <c r="A87" t="s" s="216">
        <v>90</v>
      </c>
      <c r="B87" t="s" s="216">
        <v>588</v>
      </c>
      <c r="C87" t="s" s="216">
        <v>666</v>
      </c>
      <c r="D87" s="245">
        <v>2000</v>
      </c>
      <c r="E87" t="s" s="216">
        <v>747</v>
      </c>
      <c r="F87" s="245">
        <v>1707310508</v>
      </c>
      <c r="G87" s="244">
        <v>42498</v>
      </c>
      <c r="H87" s="244">
        <v>42947</v>
      </c>
      <c r="I87" s="245">
        <v>18</v>
      </c>
      <c r="J87" s="245">
        <v>0</v>
      </c>
      <c r="K87" t="s" s="216">
        <v>659</v>
      </c>
      <c r="L87" s="245">
        <v>449</v>
      </c>
      <c r="M87" s="245">
        <v>103</v>
      </c>
      <c r="N87" s="246">
        <v>0.2293986636971047</v>
      </c>
      <c r="O87" s="244">
        <f>H87-0.4*L87</f>
        <v>42767.4</v>
      </c>
      <c r="P87" s="239"/>
      <c r="Q87" s="268">
        <v>42887</v>
      </c>
      <c r="R87" s="269">
        <v>16450</v>
      </c>
      <c r="S87" s="61"/>
      <c r="T87" s="237"/>
      <c r="U87" s="215"/>
    </row>
    <row r="88" ht="16" customHeight="1">
      <c r="A88" t="s" s="216">
        <v>90</v>
      </c>
      <c r="B88" t="s" s="216">
        <v>588</v>
      </c>
      <c r="C88" t="s" s="216">
        <v>666</v>
      </c>
      <c r="D88" s="245">
        <v>2000</v>
      </c>
      <c r="E88" t="s" s="216">
        <v>747</v>
      </c>
      <c r="F88" s="245">
        <v>1708310608</v>
      </c>
      <c r="G88" s="244">
        <v>42529</v>
      </c>
      <c r="H88" s="244">
        <v>42978</v>
      </c>
      <c r="I88" s="245">
        <v>906</v>
      </c>
      <c r="J88" s="245">
        <v>0</v>
      </c>
      <c r="K88" t="s" s="216">
        <v>659</v>
      </c>
      <c r="L88" s="245">
        <v>449</v>
      </c>
      <c r="M88" s="245">
        <v>134</v>
      </c>
      <c r="N88" s="246">
        <v>0.2984409799554566</v>
      </c>
      <c r="O88" s="244">
        <f>H88-0.4*L88</f>
        <v>42798.4</v>
      </c>
      <c r="P88" s="239"/>
      <c r="Q88" s="268">
        <v>42977</v>
      </c>
      <c r="R88" s="271">
        <v>1060</v>
      </c>
      <c r="S88" s="61"/>
      <c r="T88" s="237"/>
      <c r="U88" s="215"/>
    </row>
    <row r="89" ht="16" customHeight="1">
      <c r="A89" t="s" s="216">
        <v>90</v>
      </c>
      <c r="B89" t="s" s="216">
        <v>588</v>
      </c>
      <c r="C89" t="s" s="216">
        <v>666</v>
      </c>
      <c r="D89" s="245">
        <v>2000</v>
      </c>
      <c r="E89" t="s" s="216">
        <v>747</v>
      </c>
      <c r="F89" s="245">
        <v>1710310808</v>
      </c>
      <c r="G89" s="244">
        <v>42590</v>
      </c>
      <c r="H89" s="244">
        <v>43039</v>
      </c>
      <c r="I89" s="245">
        <v>921</v>
      </c>
      <c r="J89" s="245">
        <v>0</v>
      </c>
      <c r="K89" t="s" s="216">
        <v>659</v>
      </c>
      <c r="L89" s="245">
        <v>449</v>
      </c>
      <c r="M89" s="245">
        <v>195</v>
      </c>
      <c r="N89" s="246">
        <v>0.4342984409799555</v>
      </c>
      <c r="O89" s="244">
        <f>H89-0.4*L89</f>
        <v>42859.4</v>
      </c>
      <c r="P89" s="239"/>
      <c r="Q89" s="268">
        <v>42948</v>
      </c>
      <c r="R89" s="271">
        <v>100</v>
      </c>
      <c r="S89" s="61"/>
      <c r="T89" s="237"/>
      <c r="U89" s="215"/>
    </row>
    <row r="90" ht="16" customHeight="1">
      <c r="A90" t="s" s="216">
        <v>90</v>
      </c>
      <c r="B90" t="s" s="216">
        <v>588</v>
      </c>
      <c r="C90" t="s" s="216">
        <v>666</v>
      </c>
      <c r="D90" s="245">
        <v>2000</v>
      </c>
      <c r="E90" t="s" s="216">
        <v>747</v>
      </c>
      <c r="F90" s="245">
        <v>1711300907</v>
      </c>
      <c r="G90" s="244">
        <v>42620</v>
      </c>
      <c r="H90" s="244">
        <v>43069</v>
      </c>
      <c r="I90" s="245">
        <v>801</v>
      </c>
      <c r="J90" s="245">
        <v>0</v>
      </c>
      <c r="K90" t="s" s="216">
        <v>659</v>
      </c>
      <c r="L90" s="245">
        <v>449</v>
      </c>
      <c r="M90" s="245">
        <v>225</v>
      </c>
      <c r="N90" s="246">
        <v>0.5011135857461024</v>
      </c>
      <c r="O90" s="244">
        <f>H90-0.4*L90</f>
        <v>42889.4</v>
      </c>
      <c r="P90" s="239"/>
      <c r="Q90" s="268">
        <v>42856</v>
      </c>
      <c r="R90" s="271">
        <v>31760</v>
      </c>
      <c r="S90" s="61"/>
      <c r="T90" s="237"/>
      <c r="U90" s="215"/>
    </row>
    <row r="91" ht="16" customHeight="1">
      <c r="A91" t="s" s="216">
        <v>90</v>
      </c>
      <c r="B91" t="s" s="216">
        <v>588</v>
      </c>
      <c r="C91" t="s" s="216">
        <v>666</v>
      </c>
      <c r="D91" s="245">
        <v>2000</v>
      </c>
      <c r="E91" t="s" s="216">
        <v>747</v>
      </c>
      <c r="F91" s="245">
        <v>1712311008</v>
      </c>
      <c r="G91" s="244">
        <v>42651</v>
      </c>
      <c r="H91" s="244">
        <v>43100</v>
      </c>
      <c r="I91" s="245">
        <v>216</v>
      </c>
      <c r="J91" s="245">
        <v>0</v>
      </c>
      <c r="K91" t="s" s="216">
        <v>659</v>
      </c>
      <c r="L91" s="245">
        <v>449</v>
      </c>
      <c r="M91" s="245">
        <v>256</v>
      </c>
      <c r="N91" s="246">
        <v>0.5701559020044543</v>
      </c>
      <c r="O91" s="244">
        <f>H91-0.4*L91</f>
        <v>42920.4</v>
      </c>
      <c r="P91" s="239"/>
      <c r="Q91" s="268">
        <v>42917</v>
      </c>
      <c r="R91" s="271">
        <v>29</v>
      </c>
      <c r="S91" s="61"/>
      <c r="T91" s="237"/>
      <c r="U91" s="215"/>
    </row>
    <row r="92" ht="16" customHeight="1">
      <c r="A92" t="s" s="216">
        <v>90</v>
      </c>
      <c r="B92" t="s" s="216">
        <v>588</v>
      </c>
      <c r="C92" t="s" s="216">
        <v>667</v>
      </c>
      <c r="D92" s="245">
        <v>2000</v>
      </c>
      <c r="E92" t="s" s="216">
        <v>743</v>
      </c>
      <c r="F92" s="245">
        <v>1712311008</v>
      </c>
      <c r="G92" s="244">
        <v>42651</v>
      </c>
      <c r="H92" s="244">
        <v>43100</v>
      </c>
      <c r="I92" s="245">
        <v>143</v>
      </c>
      <c r="J92" s="245">
        <v>0</v>
      </c>
      <c r="K92" t="s" s="216">
        <v>659</v>
      </c>
      <c r="L92" s="245">
        <v>449</v>
      </c>
      <c r="M92" s="245">
        <v>256</v>
      </c>
      <c r="N92" s="246">
        <v>0.5701559020044543</v>
      </c>
      <c r="O92" s="244">
        <f>H92-0.4*L92</f>
        <v>42920.4</v>
      </c>
      <c r="P92" s="239"/>
      <c r="Q92" s="268">
        <v>42734</v>
      </c>
      <c r="R92" s="271">
        <v>13</v>
      </c>
      <c r="S92" s="61"/>
      <c r="T92" s="237"/>
      <c r="U92" s="215"/>
    </row>
    <row r="93" ht="16" customHeight="1">
      <c r="A93" t="s" s="216">
        <v>90</v>
      </c>
      <c r="B93" t="s" s="216">
        <v>588</v>
      </c>
      <c r="C93" t="s" s="216">
        <v>667</v>
      </c>
      <c r="D93" s="245">
        <v>2000</v>
      </c>
      <c r="E93" t="s" s="216">
        <v>743</v>
      </c>
      <c r="F93" s="245">
        <v>1802281206</v>
      </c>
      <c r="G93" s="244">
        <v>42710</v>
      </c>
      <c r="H93" s="244">
        <v>43159</v>
      </c>
      <c r="I93" s="245">
        <v>179</v>
      </c>
      <c r="J93" s="245">
        <v>0</v>
      </c>
      <c r="K93" t="s" s="216">
        <v>659</v>
      </c>
      <c r="L93" s="245">
        <v>449</v>
      </c>
      <c r="M93" s="245">
        <v>315</v>
      </c>
      <c r="N93" s="246">
        <v>0.7015590200445434</v>
      </c>
      <c r="O93" s="244">
        <f>H93-0.4*L93</f>
        <v>42979.4</v>
      </c>
      <c r="P93" s="239"/>
      <c r="Q93" s="268">
        <v>42764</v>
      </c>
      <c r="R93" s="273">
        <v>8</v>
      </c>
      <c r="S93" s="61"/>
      <c r="T93" s="237"/>
      <c r="U93" s="215"/>
    </row>
    <row r="94" ht="16" customHeight="1">
      <c r="A94" t="s" s="216">
        <v>90</v>
      </c>
      <c r="B94" t="s" s="216">
        <v>588</v>
      </c>
      <c r="C94" t="s" s="216">
        <v>668</v>
      </c>
      <c r="D94" s="245">
        <v>2000</v>
      </c>
      <c r="E94" t="s" s="216">
        <v>743</v>
      </c>
      <c r="F94" s="245">
        <v>1706300407</v>
      </c>
      <c r="G94" s="244">
        <v>42467</v>
      </c>
      <c r="H94" s="244">
        <v>42916</v>
      </c>
      <c r="I94" s="245">
        <v>63</v>
      </c>
      <c r="J94" s="245">
        <v>0</v>
      </c>
      <c r="K94" t="s" s="216">
        <v>659</v>
      </c>
      <c r="L94" s="245">
        <v>449</v>
      </c>
      <c r="M94" s="245">
        <v>72</v>
      </c>
      <c r="N94" s="246">
        <v>0.1603563474387528</v>
      </c>
      <c r="O94" s="244">
        <f>H94-0.4*L94</f>
        <v>42736.4</v>
      </c>
      <c r="P94" s="239"/>
      <c r="Q94" s="268">
        <v>42976.6</v>
      </c>
      <c r="R94" s="274">
        <v>12120</v>
      </c>
      <c r="S94" s="61"/>
      <c r="T94" s="237"/>
      <c r="U94" s="215"/>
    </row>
    <row r="95" ht="16" customHeight="1">
      <c r="A95" t="s" s="216">
        <v>90</v>
      </c>
      <c r="B95" t="s" s="216">
        <v>588</v>
      </c>
      <c r="C95" t="s" s="216">
        <v>668</v>
      </c>
      <c r="D95" s="245">
        <v>2000</v>
      </c>
      <c r="E95" t="s" s="216">
        <v>743</v>
      </c>
      <c r="F95" s="245">
        <v>1707310508</v>
      </c>
      <c r="G95" s="244">
        <v>42498</v>
      </c>
      <c r="H95" s="244">
        <v>42947</v>
      </c>
      <c r="I95" s="245">
        <v>124</v>
      </c>
      <c r="J95" s="245">
        <v>0</v>
      </c>
      <c r="K95" t="s" s="216">
        <v>659</v>
      </c>
      <c r="L95" s="245">
        <v>449</v>
      </c>
      <c r="M95" s="245">
        <v>103</v>
      </c>
      <c r="N95" s="246">
        <v>0.2293986636971047</v>
      </c>
      <c r="O95" s="244">
        <f>H95-0.4*L95</f>
        <v>42767.4</v>
      </c>
      <c r="P95" s="239"/>
      <c r="Q95" s="268">
        <v>42977.6</v>
      </c>
      <c r="R95" s="274">
        <v>480</v>
      </c>
      <c r="S95" s="61"/>
      <c r="T95" s="237"/>
      <c r="U95" s="215"/>
    </row>
    <row r="96" ht="16" customHeight="1">
      <c r="A96" t="s" s="216">
        <v>90</v>
      </c>
      <c r="B96" t="s" s="216">
        <v>588</v>
      </c>
      <c r="C96" t="s" s="216">
        <v>668</v>
      </c>
      <c r="D96" s="245">
        <v>2000</v>
      </c>
      <c r="E96" t="s" s="216">
        <v>743</v>
      </c>
      <c r="F96" s="245">
        <v>1708310608</v>
      </c>
      <c r="G96" s="244">
        <v>42529</v>
      </c>
      <c r="H96" s="244">
        <v>42978</v>
      </c>
      <c r="I96" s="245">
        <v>147</v>
      </c>
      <c r="J96" s="245">
        <v>0</v>
      </c>
      <c r="K96" t="s" s="216">
        <v>659</v>
      </c>
      <c r="L96" s="245">
        <v>449</v>
      </c>
      <c r="M96" s="245">
        <v>134</v>
      </c>
      <c r="N96" s="246">
        <v>0.2984409799554566</v>
      </c>
      <c r="O96" s="244">
        <f>H96-0.4*L96</f>
        <v>42798.4</v>
      </c>
      <c r="P96" s="215"/>
      <c r="Q96" t="s" s="266">
        <v>174</v>
      </c>
      <c r="R96" s="259">
        <v>6082</v>
      </c>
      <c r="S96" s="61"/>
      <c r="T96" s="237"/>
      <c r="U96" s="215"/>
    </row>
    <row r="97" ht="16" customHeight="1">
      <c r="A97" t="s" s="216">
        <v>90</v>
      </c>
      <c r="B97" t="s" s="216">
        <v>588</v>
      </c>
      <c r="C97" t="s" s="216">
        <v>668</v>
      </c>
      <c r="D97" s="245">
        <v>2000</v>
      </c>
      <c r="E97" t="s" s="216">
        <v>743</v>
      </c>
      <c r="F97" s="245">
        <v>1709300708</v>
      </c>
      <c r="G97" s="244">
        <v>42559</v>
      </c>
      <c r="H97" s="244">
        <v>43008</v>
      </c>
      <c r="I97" s="245">
        <v>1462</v>
      </c>
      <c r="J97" s="245">
        <v>0</v>
      </c>
      <c r="K97" t="s" s="216">
        <v>659</v>
      </c>
      <c r="L97" s="245">
        <v>449</v>
      </c>
      <c r="M97" s="245">
        <v>164</v>
      </c>
      <c r="N97" s="246">
        <v>0.3652561247216036</v>
      </c>
      <c r="O97" s="244">
        <f>H97-0.4*L97</f>
        <v>42828.4</v>
      </c>
      <c r="P97" s="239"/>
      <c r="Q97" s="268">
        <v>42826</v>
      </c>
      <c r="R97" s="269">
        <v>1146</v>
      </c>
      <c r="S97" s="61"/>
      <c r="T97" s="237"/>
      <c r="U97" s="215"/>
    </row>
    <row r="98" ht="16" customHeight="1">
      <c r="A98" t="s" s="216">
        <v>90</v>
      </c>
      <c r="B98" t="s" s="216">
        <v>588</v>
      </c>
      <c r="C98" t="s" s="216">
        <v>668</v>
      </c>
      <c r="D98" s="245">
        <v>2000</v>
      </c>
      <c r="E98" t="s" s="216">
        <v>743</v>
      </c>
      <c r="F98" s="245">
        <v>1712311008</v>
      </c>
      <c r="G98" s="244">
        <v>42651</v>
      </c>
      <c r="H98" s="244">
        <v>43100</v>
      </c>
      <c r="I98" s="245">
        <v>27</v>
      </c>
      <c r="J98" s="245">
        <v>0</v>
      </c>
      <c r="K98" t="s" s="216">
        <v>659</v>
      </c>
      <c r="L98" s="245">
        <v>449</v>
      </c>
      <c r="M98" s="245">
        <v>256</v>
      </c>
      <c r="N98" s="246">
        <v>0.5701559020044543</v>
      </c>
      <c r="O98" s="244">
        <f>H98-0.4*L98</f>
        <v>42920.4</v>
      </c>
      <c r="P98" s="239"/>
      <c r="Q98" s="268">
        <v>42918</v>
      </c>
      <c r="R98" s="271">
        <v>2</v>
      </c>
      <c r="S98" s="61"/>
      <c r="T98" s="237"/>
      <c r="U98" s="215"/>
    </row>
    <row r="99" ht="16" customHeight="1">
      <c r="A99" t="s" s="216">
        <v>102</v>
      </c>
      <c r="B99" t="s" s="216">
        <v>591</v>
      </c>
      <c r="C99" t="s" s="216">
        <v>657</v>
      </c>
      <c r="D99" s="245">
        <v>1000</v>
      </c>
      <c r="E99" t="s" s="216">
        <v>743</v>
      </c>
      <c r="F99" s="245">
        <v>1705310308</v>
      </c>
      <c r="G99" s="244">
        <v>42437</v>
      </c>
      <c r="H99" s="244">
        <v>42886</v>
      </c>
      <c r="I99" s="245">
        <v>4</v>
      </c>
      <c r="J99" s="245">
        <v>0</v>
      </c>
      <c r="K99" t="s" s="216">
        <v>659</v>
      </c>
      <c r="L99" s="245">
        <v>449</v>
      </c>
      <c r="M99" s="245">
        <v>42</v>
      </c>
      <c r="N99" s="246">
        <v>0.09354120267260579</v>
      </c>
      <c r="O99" s="244">
        <f>H99-0.4*L99</f>
        <v>42706.4</v>
      </c>
      <c r="P99" s="239"/>
      <c r="Q99" s="268">
        <v>42977</v>
      </c>
      <c r="R99" s="271">
        <v>603</v>
      </c>
      <c r="S99" s="61"/>
      <c r="T99" s="237"/>
      <c r="U99" s="215"/>
    </row>
    <row r="100" ht="16" customHeight="1">
      <c r="A100" t="s" s="216">
        <v>102</v>
      </c>
      <c r="B100" t="s" s="216">
        <v>591</v>
      </c>
      <c r="C100" t="s" s="216">
        <v>657</v>
      </c>
      <c r="D100" s="245">
        <v>1628</v>
      </c>
      <c r="E100" t="s" s="216">
        <v>746</v>
      </c>
      <c r="F100" s="245">
        <v>1712311008</v>
      </c>
      <c r="G100" s="244">
        <v>42651</v>
      </c>
      <c r="H100" s="244">
        <v>43100</v>
      </c>
      <c r="I100" s="245">
        <v>6</v>
      </c>
      <c r="J100" s="245">
        <v>0</v>
      </c>
      <c r="K100" t="s" s="216">
        <v>659</v>
      </c>
      <c r="L100" s="245">
        <v>449</v>
      </c>
      <c r="M100" s="245">
        <v>256</v>
      </c>
      <c r="N100" s="246">
        <v>0.5701559020044543</v>
      </c>
      <c r="O100" s="244">
        <f>H100-0.4*L100</f>
        <v>42920.4</v>
      </c>
      <c r="P100" s="239"/>
      <c r="Q100" s="268">
        <v>42795</v>
      </c>
      <c r="R100" s="271">
        <v>6</v>
      </c>
      <c r="S100" s="61"/>
      <c r="T100" s="237"/>
      <c r="U100" s="215"/>
    </row>
    <row r="101" ht="16" customHeight="1">
      <c r="A101" t="s" s="216">
        <v>102</v>
      </c>
      <c r="B101" t="s" s="216">
        <v>591</v>
      </c>
      <c r="C101" t="s" s="216">
        <v>666</v>
      </c>
      <c r="D101" s="245">
        <v>2000</v>
      </c>
      <c r="E101" t="s" s="216">
        <v>747</v>
      </c>
      <c r="F101" s="245">
        <v>1707310508</v>
      </c>
      <c r="G101" s="244">
        <v>42498</v>
      </c>
      <c r="H101" s="244">
        <v>42947</v>
      </c>
      <c r="I101" s="245">
        <v>3</v>
      </c>
      <c r="J101" s="245">
        <v>0</v>
      </c>
      <c r="K101" t="s" s="216">
        <v>659</v>
      </c>
      <c r="L101" s="245">
        <v>449</v>
      </c>
      <c r="M101" s="245">
        <v>103</v>
      </c>
      <c r="N101" s="246">
        <v>0.2293986636971047</v>
      </c>
      <c r="O101" s="244">
        <f>H101-0.4*L101</f>
        <v>42767.4</v>
      </c>
      <c r="P101" s="239"/>
      <c r="Q101" s="268">
        <v>42764</v>
      </c>
      <c r="R101" s="273">
        <v>5</v>
      </c>
      <c r="S101" s="61"/>
      <c r="T101" s="237"/>
      <c r="U101" s="215"/>
    </row>
    <row r="102" ht="16" customHeight="1">
      <c r="A102" t="s" s="216">
        <v>102</v>
      </c>
      <c r="B102" t="s" s="216">
        <v>591</v>
      </c>
      <c r="C102" t="s" s="216">
        <v>666</v>
      </c>
      <c r="D102" s="245">
        <v>2000</v>
      </c>
      <c r="E102" t="s" s="216">
        <v>747</v>
      </c>
      <c r="F102" s="245">
        <v>1711300907</v>
      </c>
      <c r="G102" s="244">
        <v>42620</v>
      </c>
      <c r="H102" s="244">
        <v>43069</v>
      </c>
      <c r="I102" s="245">
        <v>3</v>
      </c>
      <c r="J102" s="245">
        <v>0</v>
      </c>
      <c r="K102" t="s" s="216">
        <v>659</v>
      </c>
      <c r="L102" s="245">
        <v>449</v>
      </c>
      <c r="M102" s="245">
        <v>225</v>
      </c>
      <c r="N102" s="246">
        <v>0.5011135857461024</v>
      </c>
      <c r="O102" s="244">
        <f>H102-0.4*L102</f>
        <v>42889.4</v>
      </c>
      <c r="P102" s="239"/>
      <c r="Q102" s="268">
        <v>42976.6</v>
      </c>
      <c r="R102" s="274">
        <v>4320</v>
      </c>
      <c r="S102" s="61"/>
      <c r="T102" s="237"/>
      <c r="U102" s="215"/>
    </row>
    <row r="103" ht="16" customHeight="1">
      <c r="A103" t="s" s="216">
        <v>102</v>
      </c>
      <c r="B103" t="s" s="216">
        <v>591</v>
      </c>
      <c r="C103" t="s" s="216">
        <v>667</v>
      </c>
      <c r="D103" s="245">
        <v>2000</v>
      </c>
      <c r="E103" t="s" s="216">
        <v>743</v>
      </c>
      <c r="F103" s="245">
        <v>1802281206</v>
      </c>
      <c r="G103" s="244">
        <v>42710</v>
      </c>
      <c r="H103" s="244">
        <v>43159</v>
      </c>
      <c r="I103" s="245">
        <v>7</v>
      </c>
      <c r="J103" s="245">
        <v>0</v>
      </c>
      <c r="K103" t="s" s="216">
        <v>659</v>
      </c>
      <c r="L103" s="245">
        <v>449</v>
      </c>
      <c r="M103" s="245">
        <v>315</v>
      </c>
      <c r="N103" s="246">
        <v>0.7015590200445434</v>
      </c>
      <c r="O103" s="244">
        <f>H103-0.4*L103</f>
        <v>42979.4</v>
      </c>
      <c r="P103" s="215"/>
      <c r="Q103" t="s" s="266">
        <v>211</v>
      </c>
      <c r="R103" s="259">
        <v>4</v>
      </c>
      <c r="S103" s="61"/>
      <c r="T103" s="237"/>
      <c r="U103" s="215"/>
    </row>
    <row r="104" ht="16" customHeight="1">
      <c r="A104" t="s" s="216">
        <v>102</v>
      </c>
      <c r="B104" t="s" s="216">
        <v>591</v>
      </c>
      <c r="C104" t="s" s="216">
        <v>668</v>
      </c>
      <c r="D104" s="245">
        <v>2000</v>
      </c>
      <c r="E104" t="s" s="216">
        <v>743</v>
      </c>
      <c r="F104" s="245">
        <v>1706300407</v>
      </c>
      <c r="G104" s="244">
        <v>42467</v>
      </c>
      <c r="H104" s="244">
        <v>42916</v>
      </c>
      <c r="I104" s="245">
        <v>27</v>
      </c>
      <c r="J104" s="245">
        <v>0</v>
      </c>
      <c r="K104" t="s" s="216">
        <v>659</v>
      </c>
      <c r="L104" s="245">
        <v>449</v>
      </c>
      <c r="M104" s="245">
        <v>72</v>
      </c>
      <c r="N104" s="246">
        <v>0.1603563474387528</v>
      </c>
      <c r="O104" s="244">
        <f>H104-0.4*L104</f>
        <v>42736.4</v>
      </c>
      <c r="P104" s="239"/>
      <c r="Q104" s="268">
        <v>42804.4</v>
      </c>
      <c r="R104" s="259">
        <v>4</v>
      </c>
      <c r="S104" s="61"/>
      <c r="T104" s="237"/>
      <c r="U104" s="215"/>
    </row>
    <row r="105" ht="16" customHeight="1">
      <c r="A105" t="s" s="216">
        <v>102</v>
      </c>
      <c r="B105" t="s" s="216">
        <v>591</v>
      </c>
      <c r="C105" t="s" s="216">
        <v>668</v>
      </c>
      <c r="D105" s="245">
        <v>2000</v>
      </c>
      <c r="E105" t="s" s="216">
        <v>743</v>
      </c>
      <c r="F105" s="245">
        <v>1707310508</v>
      </c>
      <c r="G105" s="244">
        <v>42498</v>
      </c>
      <c r="H105" s="244">
        <v>42947</v>
      </c>
      <c r="I105" s="245">
        <v>16</v>
      </c>
      <c r="J105" s="245">
        <v>0</v>
      </c>
      <c r="K105" t="s" s="216">
        <v>659</v>
      </c>
      <c r="L105" s="245">
        <v>449</v>
      </c>
      <c r="M105" s="245">
        <v>103</v>
      </c>
      <c r="N105" s="246">
        <v>0.2293986636971047</v>
      </c>
      <c r="O105" s="244">
        <f>H105-0.4*L105</f>
        <v>42767.4</v>
      </c>
      <c r="P105" s="215"/>
      <c r="Q105" t="s" s="266">
        <v>223</v>
      </c>
      <c r="R105" s="259">
        <v>919</v>
      </c>
      <c r="S105" s="61"/>
      <c r="T105" s="237"/>
      <c r="U105" s="215"/>
    </row>
    <row r="106" ht="16" customHeight="1">
      <c r="A106" t="s" s="216">
        <v>102</v>
      </c>
      <c r="B106" t="s" s="216">
        <v>591</v>
      </c>
      <c r="C106" t="s" s="216">
        <v>668</v>
      </c>
      <c r="D106" s="245">
        <v>2000</v>
      </c>
      <c r="E106" t="s" s="216">
        <v>743</v>
      </c>
      <c r="F106" s="245">
        <v>1708310608</v>
      </c>
      <c r="G106" s="244">
        <v>42529</v>
      </c>
      <c r="H106" s="244">
        <v>42978</v>
      </c>
      <c r="I106" s="245">
        <v>6</v>
      </c>
      <c r="J106" s="245">
        <v>0</v>
      </c>
      <c r="K106" t="s" s="216">
        <v>659</v>
      </c>
      <c r="L106" s="245">
        <v>449</v>
      </c>
      <c r="M106" s="245">
        <v>134</v>
      </c>
      <c r="N106" s="246">
        <v>0.2984409799554566</v>
      </c>
      <c r="O106" s="244">
        <f>H106-0.4*L106</f>
        <v>42798.4</v>
      </c>
      <c r="P106" s="239"/>
      <c r="Q106" s="268">
        <v>42780.4</v>
      </c>
      <c r="R106" s="259">
        <v>919</v>
      </c>
      <c r="S106" s="61"/>
      <c r="T106" s="237"/>
      <c r="U106" s="215"/>
    </row>
    <row r="107" ht="16" customHeight="1">
      <c r="A107" t="s" s="216">
        <v>102</v>
      </c>
      <c r="B107" t="s" s="216">
        <v>591</v>
      </c>
      <c r="C107" t="s" s="216">
        <v>668</v>
      </c>
      <c r="D107" s="245">
        <v>2000</v>
      </c>
      <c r="E107" t="s" s="216">
        <v>743</v>
      </c>
      <c r="F107" s="245">
        <v>1709300708</v>
      </c>
      <c r="G107" s="244">
        <v>42559</v>
      </c>
      <c r="H107" s="244">
        <v>43008</v>
      </c>
      <c r="I107" s="245">
        <v>720</v>
      </c>
      <c r="J107" s="245">
        <v>0</v>
      </c>
      <c r="K107" t="s" s="216">
        <v>659</v>
      </c>
      <c r="L107" s="245">
        <v>449</v>
      </c>
      <c r="M107" s="245">
        <v>164</v>
      </c>
      <c r="N107" s="246">
        <v>0.3652561247216036</v>
      </c>
      <c r="O107" s="244">
        <f>H107-0.4*L107</f>
        <v>42828.4</v>
      </c>
      <c r="P107" s="215"/>
      <c r="Q107" t="s" s="266">
        <v>235</v>
      </c>
      <c r="R107" s="259">
        <v>9</v>
      </c>
      <c r="S107" s="61"/>
      <c r="T107" s="237"/>
      <c r="U107" s="215"/>
    </row>
    <row r="108" ht="16" customHeight="1">
      <c r="A108" t="s" s="216">
        <v>114</v>
      </c>
      <c r="B108" t="s" s="216">
        <v>593</v>
      </c>
      <c r="C108" t="s" s="216">
        <v>657</v>
      </c>
      <c r="D108" s="245">
        <v>1000</v>
      </c>
      <c r="E108" t="s" s="216">
        <v>743</v>
      </c>
      <c r="F108" s="245">
        <v>1712310903</v>
      </c>
      <c r="G108" s="244">
        <v>42616</v>
      </c>
      <c r="H108" s="244">
        <v>43100</v>
      </c>
      <c r="I108" s="245">
        <v>7</v>
      </c>
      <c r="J108" s="245">
        <v>0</v>
      </c>
      <c r="K108" t="s" s="216">
        <v>659</v>
      </c>
      <c r="L108" s="245">
        <v>484</v>
      </c>
      <c r="M108" s="245">
        <v>256</v>
      </c>
      <c r="N108" s="246">
        <v>0.5289256198347108</v>
      </c>
      <c r="O108" s="244">
        <f>H108-0.4*L108</f>
        <v>42906.4</v>
      </c>
      <c r="P108" s="239"/>
      <c r="Q108" s="268">
        <v>42789.4</v>
      </c>
      <c r="R108" s="269">
        <v>1</v>
      </c>
      <c r="S108" s="61"/>
      <c r="T108" s="237"/>
      <c r="U108" s="215"/>
    </row>
    <row r="109" ht="16" customHeight="1">
      <c r="A109" t="s" s="216">
        <v>114</v>
      </c>
      <c r="B109" t="s" s="216">
        <v>593</v>
      </c>
      <c r="C109" t="s" s="216">
        <v>657</v>
      </c>
      <c r="D109" s="245">
        <v>1000</v>
      </c>
      <c r="E109" t="s" s="216">
        <v>743</v>
      </c>
      <c r="F109" s="245">
        <v>1803301201</v>
      </c>
      <c r="G109" s="244">
        <v>42705</v>
      </c>
      <c r="H109" s="244">
        <v>43189</v>
      </c>
      <c r="I109" s="245">
        <v>20</v>
      </c>
      <c r="J109" s="245">
        <v>0</v>
      </c>
      <c r="K109" t="s" s="216">
        <v>659</v>
      </c>
      <c r="L109" s="245">
        <v>484</v>
      </c>
      <c r="M109" s="245">
        <v>345</v>
      </c>
      <c r="N109" s="246">
        <v>0.7128099173553719</v>
      </c>
      <c r="O109" s="244">
        <f>H109-0.4*L109</f>
        <v>42995.4</v>
      </c>
      <c r="P109" s="239"/>
      <c r="Q109" s="268">
        <v>42725.4</v>
      </c>
      <c r="R109" s="273">
        <v>8</v>
      </c>
      <c r="S109" s="61"/>
      <c r="T109" s="237"/>
      <c r="U109" s="215"/>
    </row>
    <row r="110" ht="16" customHeight="1">
      <c r="A110" t="s" s="216">
        <v>114</v>
      </c>
      <c r="B110" t="s" s="216">
        <v>593</v>
      </c>
      <c r="C110" t="s" s="216">
        <v>657</v>
      </c>
      <c r="D110" s="245">
        <v>1628</v>
      </c>
      <c r="E110" t="s" s="216">
        <v>746</v>
      </c>
      <c r="F110" s="245">
        <v>1803301201</v>
      </c>
      <c r="G110" s="244">
        <v>42705</v>
      </c>
      <c r="H110" s="244">
        <v>43189</v>
      </c>
      <c r="I110" s="245">
        <v>77</v>
      </c>
      <c r="J110" s="245">
        <v>0</v>
      </c>
      <c r="K110" t="s" s="216">
        <v>659</v>
      </c>
      <c r="L110" s="245">
        <v>484</v>
      </c>
      <c r="M110" s="245">
        <v>345</v>
      </c>
      <c r="N110" s="246">
        <v>0.7128099173553719</v>
      </c>
      <c r="O110" s="244">
        <f>H110-0.4*L110</f>
        <v>42995.4</v>
      </c>
      <c r="P110" s="215"/>
      <c r="Q110" t="s" s="266">
        <v>247</v>
      </c>
      <c r="R110" s="259">
        <v>1464</v>
      </c>
      <c r="S110" s="61"/>
      <c r="T110" s="237"/>
      <c r="U110" s="215"/>
    </row>
    <row r="111" ht="16" customHeight="1">
      <c r="A111" t="s" s="216">
        <v>114</v>
      </c>
      <c r="B111" t="s" s="216">
        <v>593</v>
      </c>
      <c r="C111" t="s" s="216">
        <v>666</v>
      </c>
      <c r="D111" s="245">
        <v>2000</v>
      </c>
      <c r="E111" t="s" s="216">
        <v>747</v>
      </c>
      <c r="F111" s="245">
        <v>1803301201</v>
      </c>
      <c r="G111" s="244">
        <v>42705</v>
      </c>
      <c r="H111" s="244">
        <v>43189</v>
      </c>
      <c r="I111" s="245">
        <v>440</v>
      </c>
      <c r="J111" s="245">
        <v>0</v>
      </c>
      <c r="K111" t="s" s="216">
        <v>659</v>
      </c>
      <c r="L111" s="245">
        <v>484</v>
      </c>
      <c r="M111" s="245">
        <v>345</v>
      </c>
      <c r="N111" s="246">
        <v>0.7128099173553719</v>
      </c>
      <c r="O111" s="244">
        <f>H111-0.4*L111</f>
        <v>42995.4</v>
      </c>
      <c r="P111" s="239"/>
      <c r="Q111" s="268">
        <v>42739.4</v>
      </c>
      <c r="R111" s="269">
        <v>1</v>
      </c>
      <c r="S111" s="61"/>
      <c r="T111" s="237"/>
      <c r="U111" s="215"/>
    </row>
    <row r="112" ht="16" customHeight="1">
      <c r="A112" t="s" s="216">
        <v>114</v>
      </c>
      <c r="B112" t="s" s="216">
        <v>593</v>
      </c>
      <c r="C112" t="s" s="216">
        <v>668</v>
      </c>
      <c r="D112" s="245">
        <v>2000</v>
      </c>
      <c r="E112" t="s" s="216">
        <v>743</v>
      </c>
      <c r="F112" s="245">
        <v>1803311202</v>
      </c>
      <c r="G112" s="244">
        <v>42706</v>
      </c>
      <c r="H112" s="244">
        <v>43190</v>
      </c>
      <c r="I112" s="245">
        <v>0</v>
      </c>
      <c r="J112" s="245">
        <v>0</v>
      </c>
      <c r="K112" t="s" s="216">
        <v>659</v>
      </c>
      <c r="L112" s="245">
        <v>484</v>
      </c>
      <c r="M112" s="245">
        <v>346</v>
      </c>
      <c r="N112" s="246">
        <v>0.7148760330578512</v>
      </c>
      <c r="O112" s="244">
        <f>H112-0.4*L112</f>
        <v>42996.4</v>
      </c>
      <c r="P112" s="239"/>
      <c r="Q112" s="268">
        <v>42784.4</v>
      </c>
      <c r="R112" s="273">
        <v>1463</v>
      </c>
      <c r="S112" s="61"/>
      <c r="T112" s="237"/>
      <c r="U112" s="215"/>
    </row>
    <row r="113" ht="16" customHeight="1">
      <c r="A113" t="s" s="216">
        <v>126</v>
      </c>
      <c r="B113" t="s" s="216">
        <v>596</v>
      </c>
      <c r="C113" t="s" s="216">
        <v>657</v>
      </c>
      <c r="D113" s="245">
        <v>1000</v>
      </c>
      <c r="E113" t="s" s="216">
        <v>743</v>
      </c>
      <c r="F113" s="245">
        <v>1704300501</v>
      </c>
      <c r="G113" s="244">
        <v>42491</v>
      </c>
      <c r="H113" s="244">
        <v>42855</v>
      </c>
      <c r="I113" s="245">
        <v>3</v>
      </c>
      <c r="J113" s="245">
        <v>0</v>
      </c>
      <c r="K113" t="s" s="216">
        <v>659</v>
      </c>
      <c r="L113" s="245">
        <v>364</v>
      </c>
      <c r="M113" s="245">
        <v>11</v>
      </c>
      <c r="N113" s="246">
        <v>0.03021978021978022</v>
      </c>
      <c r="O113" s="244">
        <f>H113-0.4*L113</f>
        <v>42709.4</v>
      </c>
      <c r="P113" s="215"/>
      <c r="Q113" t="s" s="266">
        <v>259</v>
      </c>
      <c r="R113" s="259">
        <v>9591</v>
      </c>
      <c r="S113" s="61"/>
      <c r="T113" s="237"/>
      <c r="U113" s="215"/>
    </row>
    <row r="114" ht="16" customHeight="1">
      <c r="A114" t="s" s="216">
        <v>126</v>
      </c>
      <c r="B114" t="s" s="216">
        <v>596</v>
      </c>
      <c r="C114" t="s" s="216">
        <v>657</v>
      </c>
      <c r="D114" s="245">
        <v>1000</v>
      </c>
      <c r="E114" t="s" s="216">
        <v>743</v>
      </c>
      <c r="F114" s="245">
        <v>1706300701</v>
      </c>
      <c r="G114" s="244">
        <v>42552</v>
      </c>
      <c r="H114" s="244">
        <v>42916</v>
      </c>
      <c r="I114" s="245">
        <v>300</v>
      </c>
      <c r="J114" s="245">
        <v>0</v>
      </c>
      <c r="K114" t="s" s="216">
        <v>659</v>
      </c>
      <c r="L114" s="245">
        <v>364</v>
      </c>
      <c r="M114" s="245">
        <v>72</v>
      </c>
      <c r="N114" s="246">
        <v>0.1978021978021978</v>
      </c>
      <c r="O114" s="244">
        <f>H114-0.4*L114</f>
        <v>42770.4</v>
      </c>
      <c r="P114" s="239"/>
      <c r="Q114" s="268">
        <v>42770.4</v>
      </c>
      <c r="R114" s="269">
        <v>385</v>
      </c>
      <c r="S114" s="61"/>
      <c r="T114" s="237"/>
      <c r="U114" s="215"/>
    </row>
    <row r="115" ht="16" customHeight="1">
      <c r="A115" t="s" s="216">
        <v>126</v>
      </c>
      <c r="B115" t="s" s="216">
        <v>596</v>
      </c>
      <c r="C115" t="s" s="216">
        <v>657</v>
      </c>
      <c r="D115" s="245">
        <v>1000</v>
      </c>
      <c r="E115" t="s" s="216">
        <v>743</v>
      </c>
      <c r="F115" s="245">
        <v>1707310801</v>
      </c>
      <c r="G115" s="244">
        <v>42583</v>
      </c>
      <c r="H115" s="244">
        <v>42947</v>
      </c>
      <c r="I115" s="245">
        <v>19</v>
      </c>
      <c r="J115" s="245">
        <v>0</v>
      </c>
      <c r="K115" t="s" s="216">
        <v>659</v>
      </c>
      <c r="L115" s="245">
        <v>364</v>
      </c>
      <c r="M115" s="245">
        <v>103</v>
      </c>
      <c r="N115" s="246">
        <v>0.282967032967033</v>
      </c>
      <c r="O115" s="244">
        <f>H115-0.4*L115</f>
        <v>42801.4</v>
      </c>
      <c r="P115" s="239"/>
      <c r="Q115" s="268">
        <v>42801.4</v>
      </c>
      <c r="R115" s="271">
        <v>6</v>
      </c>
      <c r="S115" s="61"/>
      <c r="T115" s="237"/>
      <c r="U115" s="215"/>
    </row>
    <row r="116" ht="16" customHeight="1">
      <c r="A116" t="s" s="216">
        <v>126</v>
      </c>
      <c r="B116" t="s" s="216">
        <v>596</v>
      </c>
      <c r="C116" t="s" s="216">
        <v>657</v>
      </c>
      <c r="D116" s="245">
        <v>1000</v>
      </c>
      <c r="E116" t="s" s="216">
        <v>743</v>
      </c>
      <c r="F116" s="245">
        <v>1710311101</v>
      </c>
      <c r="G116" s="244">
        <v>42675</v>
      </c>
      <c r="H116" s="244">
        <v>43039</v>
      </c>
      <c r="I116" s="245">
        <v>500</v>
      </c>
      <c r="J116" s="245">
        <v>0</v>
      </c>
      <c r="K116" t="s" s="216">
        <v>659</v>
      </c>
      <c r="L116" s="245">
        <v>364</v>
      </c>
      <c r="M116" s="245">
        <v>195</v>
      </c>
      <c r="N116" s="246">
        <v>0.5357142857142857</v>
      </c>
      <c r="O116" s="244">
        <f>H116-0.4*L116</f>
        <v>42893.4</v>
      </c>
      <c r="P116" s="239"/>
      <c r="Q116" s="268">
        <v>42893.4</v>
      </c>
      <c r="R116" s="271">
        <v>7522</v>
      </c>
      <c r="S116" s="61"/>
      <c r="T116" s="237"/>
      <c r="U116" s="215"/>
    </row>
    <row r="117" ht="16" customHeight="1">
      <c r="A117" t="s" s="216">
        <v>126</v>
      </c>
      <c r="B117" t="s" s="216">
        <v>596</v>
      </c>
      <c r="C117" t="s" s="216">
        <v>657</v>
      </c>
      <c r="D117" s="245">
        <v>1610</v>
      </c>
      <c r="E117" t="s" s="216">
        <v>745</v>
      </c>
      <c r="F117" s="245">
        <v>1710311101</v>
      </c>
      <c r="G117" s="244">
        <v>42675</v>
      </c>
      <c r="H117" s="244">
        <v>43039</v>
      </c>
      <c r="I117" s="245">
        <v>0</v>
      </c>
      <c r="J117" s="245">
        <v>0</v>
      </c>
      <c r="K117" t="s" s="216">
        <v>659</v>
      </c>
      <c r="L117" s="245">
        <v>364</v>
      </c>
      <c r="M117" s="245">
        <v>195</v>
      </c>
      <c r="N117" s="246">
        <v>0.5357142857142857</v>
      </c>
      <c r="O117" s="244">
        <f>H117-0.4*L117</f>
        <v>42893.4</v>
      </c>
      <c r="P117" s="239"/>
      <c r="Q117" s="268">
        <v>42740.4</v>
      </c>
      <c r="R117" s="271">
        <v>1592</v>
      </c>
      <c r="S117" s="61"/>
      <c r="T117" s="237"/>
      <c r="U117" s="215"/>
    </row>
    <row r="118" ht="16" customHeight="1">
      <c r="A118" t="s" s="216">
        <v>126</v>
      </c>
      <c r="B118" t="s" s="216">
        <v>596</v>
      </c>
      <c r="C118" t="s" s="216">
        <v>657</v>
      </c>
      <c r="D118" s="245">
        <v>1628</v>
      </c>
      <c r="E118" t="s" s="216">
        <v>746</v>
      </c>
      <c r="F118" s="245">
        <v>1711301201</v>
      </c>
      <c r="G118" s="244">
        <v>42705</v>
      </c>
      <c r="H118" s="244">
        <v>43069</v>
      </c>
      <c r="I118" s="245">
        <v>19</v>
      </c>
      <c r="J118" s="245">
        <v>0</v>
      </c>
      <c r="K118" t="s" s="216">
        <v>659</v>
      </c>
      <c r="L118" s="245">
        <v>364</v>
      </c>
      <c r="M118" s="245">
        <v>225</v>
      </c>
      <c r="N118" s="246">
        <v>0.6181318681318682</v>
      </c>
      <c r="O118" s="244">
        <f>H118-0.4*L118</f>
        <v>42923.4</v>
      </c>
      <c r="P118" s="239"/>
      <c r="Q118" s="268">
        <v>42832.4</v>
      </c>
      <c r="R118" s="273">
        <v>86</v>
      </c>
      <c r="S118" s="61"/>
      <c r="T118" s="237"/>
      <c r="U118" s="215"/>
    </row>
    <row r="119" ht="16" customHeight="1">
      <c r="A119" t="s" s="216">
        <v>126</v>
      </c>
      <c r="B119" t="s" s="216">
        <v>596</v>
      </c>
      <c r="C119" t="s" s="216">
        <v>666</v>
      </c>
      <c r="D119" s="245">
        <v>2000</v>
      </c>
      <c r="E119" t="s" s="216">
        <v>747</v>
      </c>
      <c r="F119" s="245">
        <v>1707310801</v>
      </c>
      <c r="G119" s="244">
        <v>42583</v>
      </c>
      <c r="H119" s="244">
        <v>42947</v>
      </c>
      <c r="I119" s="245">
        <v>4</v>
      </c>
      <c r="J119" s="245">
        <v>0</v>
      </c>
      <c r="K119" t="s" s="216">
        <v>659</v>
      </c>
      <c r="L119" s="245">
        <v>364</v>
      </c>
      <c r="M119" s="245">
        <v>103</v>
      </c>
      <c r="N119" s="246">
        <v>0.282967032967033</v>
      </c>
      <c r="O119" s="244">
        <f>H119-0.4*L119</f>
        <v>42801.4</v>
      </c>
      <c r="P119" s="215"/>
      <c r="Q119" t="s" s="266">
        <v>271</v>
      </c>
      <c r="R119" s="259">
        <v>1875</v>
      </c>
      <c r="S119" s="61"/>
      <c r="T119" s="237"/>
      <c r="U119" s="215"/>
    </row>
    <row r="120" ht="16" customHeight="1">
      <c r="A120" t="s" s="216">
        <v>126</v>
      </c>
      <c r="B120" t="s" s="216">
        <v>596</v>
      </c>
      <c r="C120" t="s" s="216">
        <v>666</v>
      </c>
      <c r="D120" s="245">
        <v>2000</v>
      </c>
      <c r="E120" t="s" s="216">
        <v>747</v>
      </c>
      <c r="F120" s="245">
        <v>1710311101</v>
      </c>
      <c r="G120" s="244">
        <v>42675</v>
      </c>
      <c r="H120" s="244">
        <v>43039</v>
      </c>
      <c r="I120" s="245">
        <v>460</v>
      </c>
      <c r="J120" s="245">
        <v>0</v>
      </c>
      <c r="K120" t="s" s="216">
        <v>659</v>
      </c>
      <c r="L120" s="245">
        <v>364</v>
      </c>
      <c r="M120" s="245">
        <v>195</v>
      </c>
      <c r="N120" s="246">
        <v>0.5357142857142857</v>
      </c>
      <c r="O120" s="244">
        <f>H120-0.4*L120</f>
        <v>42893.4</v>
      </c>
      <c r="P120" s="239"/>
      <c r="Q120" s="268">
        <v>42770.4</v>
      </c>
      <c r="R120" s="269">
        <v>1</v>
      </c>
      <c r="S120" s="61"/>
      <c r="T120" s="237"/>
      <c r="U120" s="215"/>
    </row>
    <row r="121" ht="16" customHeight="1">
      <c r="A121" t="s" s="216">
        <v>126</v>
      </c>
      <c r="B121" t="s" s="216">
        <v>596</v>
      </c>
      <c r="C121" t="s" s="216">
        <v>666</v>
      </c>
      <c r="D121" s="245">
        <v>2000</v>
      </c>
      <c r="E121" t="s" s="216">
        <v>747</v>
      </c>
      <c r="F121" s="245">
        <v>1711301201</v>
      </c>
      <c r="G121" s="244">
        <v>42705</v>
      </c>
      <c r="H121" s="244">
        <v>43069</v>
      </c>
      <c r="I121" s="245">
        <v>120</v>
      </c>
      <c r="J121" s="245">
        <v>0</v>
      </c>
      <c r="K121" t="s" s="216">
        <v>659</v>
      </c>
      <c r="L121" s="245">
        <v>364</v>
      </c>
      <c r="M121" s="245">
        <v>225</v>
      </c>
      <c r="N121" s="246">
        <v>0.6181318681318682</v>
      </c>
      <c r="O121" s="244">
        <f>H121-0.4*L121</f>
        <v>42923.4</v>
      </c>
      <c r="P121" s="239"/>
      <c r="Q121" s="268">
        <v>42801.4</v>
      </c>
      <c r="R121" s="271">
        <v>1019</v>
      </c>
      <c r="S121" s="61"/>
      <c r="T121" s="237"/>
      <c r="U121" s="215"/>
    </row>
    <row r="122" ht="16" customHeight="1">
      <c r="A122" t="s" s="216">
        <v>126</v>
      </c>
      <c r="B122" t="s" s="216">
        <v>596</v>
      </c>
      <c r="C122" t="s" s="216">
        <v>667</v>
      </c>
      <c r="D122" s="245">
        <v>2000</v>
      </c>
      <c r="E122" t="s" s="216">
        <v>743</v>
      </c>
      <c r="F122" s="245">
        <v>1707310801</v>
      </c>
      <c r="G122" s="244">
        <v>42583</v>
      </c>
      <c r="H122" s="244">
        <v>42947</v>
      </c>
      <c r="I122" s="245">
        <v>2588</v>
      </c>
      <c r="J122" s="245">
        <v>0</v>
      </c>
      <c r="K122" t="s" s="216">
        <v>659</v>
      </c>
      <c r="L122" s="245">
        <v>364</v>
      </c>
      <c r="M122" s="245">
        <v>103</v>
      </c>
      <c r="N122" s="246">
        <v>0.282967032967033</v>
      </c>
      <c r="O122" s="244">
        <f>H122-0.4*L122</f>
        <v>42801.4</v>
      </c>
      <c r="P122" s="239"/>
      <c r="Q122" s="268">
        <v>42832.4</v>
      </c>
      <c r="R122" s="273">
        <v>855</v>
      </c>
      <c r="S122" s="61"/>
      <c r="T122" s="237"/>
      <c r="U122" s="215"/>
    </row>
    <row r="123" ht="16" customHeight="1">
      <c r="A123" t="s" s="216">
        <v>126</v>
      </c>
      <c r="B123" t="s" s="216">
        <v>596</v>
      </c>
      <c r="C123" t="s" s="216">
        <v>667</v>
      </c>
      <c r="D123" s="245">
        <v>2000</v>
      </c>
      <c r="E123" t="s" s="216">
        <v>743</v>
      </c>
      <c r="F123" s="245">
        <v>1710311101</v>
      </c>
      <c r="G123" s="244">
        <v>42675</v>
      </c>
      <c r="H123" s="244">
        <v>43039</v>
      </c>
      <c r="I123" s="245">
        <v>0</v>
      </c>
      <c r="J123" s="245">
        <v>0</v>
      </c>
      <c r="K123" t="s" s="216">
        <v>659</v>
      </c>
      <c r="L123" s="245">
        <v>364</v>
      </c>
      <c r="M123" s="245">
        <v>195</v>
      </c>
      <c r="N123" s="246">
        <v>0.5357142857142857</v>
      </c>
      <c r="O123" s="244">
        <f>H123-0.4*L123</f>
        <v>42893.4</v>
      </c>
      <c r="P123" s="215"/>
      <c r="Q123" t="s" s="266">
        <v>283</v>
      </c>
      <c r="R123" s="259">
        <v>602</v>
      </c>
      <c r="S123" s="61"/>
      <c r="T123" s="237"/>
      <c r="U123" s="215"/>
    </row>
    <row r="124" ht="16" customHeight="1">
      <c r="A124" t="s" s="216">
        <v>126</v>
      </c>
      <c r="B124" t="s" s="216">
        <v>596</v>
      </c>
      <c r="C124" t="s" s="216">
        <v>668</v>
      </c>
      <c r="D124" s="245">
        <v>2000</v>
      </c>
      <c r="E124" t="s" s="216">
        <v>743</v>
      </c>
      <c r="F124" s="245">
        <v>1706300701</v>
      </c>
      <c r="G124" s="244">
        <v>42552</v>
      </c>
      <c r="H124" s="244">
        <v>42916</v>
      </c>
      <c r="I124" s="245">
        <v>3</v>
      </c>
      <c r="J124" s="245">
        <v>0</v>
      </c>
      <c r="K124" t="s" s="216">
        <v>659</v>
      </c>
      <c r="L124" s="245">
        <v>364</v>
      </c>
      <c r="M124" s="245">
        <v>72</v>
      </c>
      <c r="N124" s="246">
        <v>0.1978021978021978</v>
      </c>
      <c r="O124" s="244">
        <f>H124-0.4*L124</f>
        <v>42770.4</v>
      </c>
      <c r="P124" s="239"/>
      <c r="Q124" s="268">
        <v>42790.4</v>
      </c>
      <c r="R124" s="269">
        <v>252</v>
      </c>
      <c r="S124" s="61"/>
      <c r="T124" s="237"/>
      <c r="U124" s="215"/>
    </row>
    <row r="125" ht="16" customHeight="1">
      <c r="A125" t="s" s="216">
        <v>138</v>
      </c>
      <c r="B125" t="s" s="216">
        <v>598</v>
      </c>
      <c r="C125" t="s" s="216">
        <v>657</v>
      </c>
      <c r="D125" s="245">
        <v>1000</v>
      </c>
      <c r="E125" t="s" s="216">
        <v>743</v>
      </c>
      <c r="F125" s="245">
        <v>1705310502</v>
      </c>
      <c r="G125" s="244">
        <v>42492</v>
      </c>
      <c r="H125" s="244">
        <v>42886</v>
      </c>
      <c r="I125" s="245">
        <v>140</v>
      </c>
      <c r="J125" s="245">
        <v>0</v>
      </c>
      <c r="K125" t="s" s="216">
        <v>659</v>
      </c>
      <c r="L125" s="245">
        <v>394</v>
      </c>
      <c r="M125" s="245">
        <v>42</v>
      </c>
      <c r="N125" s="246">
        <v>0.1065989847715736</v>
      </c>
      <c r="O125" s="244">
        <f>H125-0.4*L125</f>
        <v>42728.4</v>
      </c>
      <c r="P125" s="239"/>
      <c r="Q125" s="268">
        <v>42756.4</v>
      </c>
      <c r="R125" s="271">
        <v>270</v>
      </c>
      <c r="S125" s="61"/>
      <c r="T125" s="237"/>
      <c r="U125" s="215"/>
    </row>
    <row r="126" ht="16" customHeight="1">
      <c r="A126" t="s" s="216">
        <v>138</v>
      </c>
      <c r="B126" t="s" s="216">
        <v>598</v>
      </c>
      <c r="C126" t="s" s="216">
        <v>657</v>
      </c>
      <c r="D126" s="245">
        <v>1000</v>
      </c>
      <c r="E126" t="s" s="216">
        <v>743</v>
      </c>
      <c r="F126" s="245">
        <v>1708310802</v>
      </c>
      <c r="G126" s="244">
        <v>42584</v>
      </c>
      <c r="H126" s="244">
        <v>42978</v>
      </c>
      <c r="I126" s="245">
        <v>1</v>
      </c>
      <c r="J126" s="245">
        <v>0</v>
      </c>
      <c r="K126" t="s" s="216">
        <v>659</v>
      </c>
      <c r="L126" s="245">
        <v>394</v>
      </c>
      <c r="M126" s="245">
        <v>134</v>
      </c>
      <c r="N126" s="246">
        <v>0.3401015228426396</v>
      </c>
      <c r="O126" s="244">
        <f>H126-0.4*L126</f>
        <v>42820.4</v>
      </c>
      <c r="P126" s="239"/>
      <c r="Q126" s="268">
        <v>42816.4</v>
      </c>
      <c r="R126" s="273">
        <v>80</v>
      </c>
      <c r="S126" s="61"/>
      <c r="T126" s="237"/>
      <c r="U126" s="215"/>
    </row>
    <row r="127" ht="16" customHeight="1">
      <c r="A127" t="s" s="216">
        <v>138</v>
      </c>
      <c r="B127" t="s" s="216">
        <v>598</v>
      </c>
      <c r="C127" t="s" s="216">
        <v>657</v>
      </c>
      <c r="D127" s="245">
        <v>1000</v>
      </c>
      <c r="E127" t="s" s="216">
        <v>743</v>
      </c>
      <c r="F127" s="245">
        <v>1711301101</v>
      </c>
      <c r="G127" s="244">
        <v>42675</v>
      </c>
      <c r="H127" s="244">
        <v>43069</v>
      </c>
      <c r="I127" s="245">
        <v>1580</v>
      </c>
      <c r="J127" s="245">
        <v>0</v>
      </c>
      <c r="K127" t="s" s="216">
        <v>659</v>
      </c>
      <c r="L127" s="245">
        <v>394</v>
      </c>
      <c r="M127" s="245">
        <v>225</v>
      </c>
      <c r="N127" s="246">
        <v>0.5710659898477157</v>
      </c>
      <c r="O127" s="244">
        <f>H127-0.4*L127</f>
        <v>42911.4</v>
      </c>
      <c r="P127" s="215"/>
      <c r="Q127" t="s" s="266">
        <v>295</v>
      </c>
      <c r="R127" s="259">
        <v>414</v>
      </c>
      <c r="S127" s="61"/>
      <c r="T127" s="237"/>
      <c r="U127" s="215"/>
    </row>
    <row r="128" ht="16" customHeight="1">
      <c r="A128" t="s" s="216">
        <v>138</v>
      </c>
      <c r="B128" t="s" s="216">
        <v>598</v>
      </c>
      <c r="C128" t="s" s="216">
        <v>657</v>
      </c>
      <c r="D128" s="245">
        <v>1628</v>
      </c>
      <c r="E128" t="s" s="216">
        <v>746</v>
      </c>
      <c r="F128" s="245">
        <v>1710311002</v>
      </c>
      <c r="G128" s="244">
        <v>42645</v>
      </c>
      <c r="H128" s="244">
        <v>43039</v>
      </c>
      <c r="I128" s="245">
        <v>16</v>
      </c>
      <c r="J128" s="245">
        <v>0</v>
      </c>
      <c r="K128" t="s" s="216">
        <v>659</v>
      </c>
      <c r="L128" s="245">
        <v>394</v>
      </c>
      <c r="M128" s="245">
        <v>195</v>
      </c>
      <c r="N128" s="246">
        <v>0.4949238578680203</v>
      </c>
      <c r="O128" s="244">
        <f>H128-0.4*L128</f>
        <v>42881.4</v>
      </c>
      <c r="P128" s="239"/>
      <c r="Q128" s="268">
        <v>42770.4</v>
      </c>
      <c r="R128" s="269">
        <v>117</v>
      </c>
      <c r="S128" s="61"/>
      <c r="T128" s="237"/>
      <c r="U128" s="215"/>
    </row>
    <row r="129" ht="16" customHeight="1">
      <c r="A129" t="s" s="216">
        <v>138</v>
      </c>
      <c r="B129" t="s" s="216">
        <v>598</v>
      </c>
      <c r="C129" t="s" s="216">
        <v>666</v>
      </c>
      <c r="D129" s="245">
        <v>2000</v>
      </c>
      <c r="E129" t="s" s="216">
        <v>747</v>
      </c>
      <c r="F129" s="245">
        <v>1708310802</v>
      </c>
      <c r="G129" s="244">
        <v>42584</v>
      </c>
      <c r="H129" s="244">
        <v>42978</v>
      </c>
      <c r="I129" s="245">
        <v>2022</v>
      </c>
      <c r="J129" s="245">
        <v>0</v>
      </c>
      <c r="K129" t="s" s="216">
        <v>659</v>
      </c>
      <c r="L129" s="245">
        <v>394</v>
      </c>
      <c r="M129" s="245">
        <v>134</v>
      </c>
      <c r="N129" s="246">
        <v>0.3401015228426396</v>
      </c>
      <c r="O129" s="244">
        <f>H129-0.4*L129</f>
        <v>42820.4</v>
      </c>
      <c r="P129" s="239"/>
      <c r="Q129" s="268">
        <v>42801.4</v>
      </c>
      <c r="R129" s="271">
        <v>297</v>
      </c>
      <c r="S129" s="61"/>
      <c r="T129" s="237"/>
      <c r="U129" s="215"/>
    </row>
    <row r="130" ht="16" customHeight="1">
      <c r="A130" t="s" s="216">
        <v>138</v>
      </c>
      <c r="B130" t="s" s="216">
        <v>598</v>
      </c>
      <c r="C130" t="s" s="216">
        <v>666</v>
      </c>
      <c r="D130" s="245">
        <v>2000</v>
      </c>
      <c r="E130" t="s" s="216">
        <v>747</v>
      </c>
      <c r="F130" s="245">
        <v>1711301101</v>
      </c>
      <c r="G130" s="244">
        <v>42675</v>
      </c>
      <c r="H130" s="244">
        <v>43069</v>
      </c>
      <c r="I130" s="245">
        <v>940</v>
      </c>
      <c r="J130" s="245">
        <v>0</v>
      </c>
      <c r="K130" t="s" s="216">
        <v>659</v>
      </c>
      <c r="L130" s="245">
        <v>394</v>
      </c>
      <c r="M130" s="245">
        <v>225</v>
      </c>
      <c r="N130" s="246">
        <v>0.5710659898477157</v>
      </c>
      <c r="O130" s="244">
        <f>H130-0.4*L130</f>
        <v>42911.4</v>
      </c>
      <c r="P130" s="239"/>
      <c r="Q130" s="268">
        <v>42832.4</v>
      </c>
      <c r="R130" s="273">
        <v>0</v>
      </c>
      <c r="S130" s="61"/>
      <c r="T130" s="237"/>
      <c r="U130" s="215"/>
    </row>
    <row r="131" ht="16" customHeight="1">
      <c r="A131" t="s" s="216">
        <v>138</v>
      </c>
      <c r="B131" t="s" s="216">
        <v>598</v>
      </c>
      <c r="C131" t="s" s="216">
        <v>667</v>
      </c>
      <c r="D131" s="245">
        <v>2000</v>
      </c>
      <c r="E131" t="s" s="216">
        <v>743</v>
      </c>
      <c r="F131" s="245">
        <v>1708310802</v>
      </c>
      <c r="G131" s="244">
        <v>42584</v>
      </c>
      <c r="H131" s="244">
        <v>42978</v>
      </c>
      <c r="I131" s="245">
        <v>832</v>
      </c>
      <c r="J131" s="245">
        <v>0</v>
      </c>
      <c r="K131" t="s" s="216">
        <v>659</v>
      </c>
      <c r="L131" s="245">
        <v>394</v>
      </c>
      <c r="M131" s="245">
        <v>134</v>
      </c>
      <c r="N131" s="246">
        <v>0.3401015228426396</v>
      </c>
      <c r="O131" s="244">
        <f>H131-0.4*L131</f>
        <v>42820.4</v>
      </c>
      <c r="P131" s="215"/>
      <c r="Q131" t="s" s="266">
        <v>307</v>
      </c>
      <c r="R131" s="259">
        <v>790</v>
      </c>
      <c r="S131" s="61"/>
      <c r="T131" s="237"/>
      <c r="U131" s="215"/>
    </row>
    <row r="132" ht="16" customHeight="1">
      <c r="A132" t="s" s="216">
        <v>138</v>
      </c>
      <c r="B132" t="s" s="216">
        <v>598</v>
      </c>
      <c r="C132" t="s" s="216">
        <v>667</v>
      </c>
      <c r="D132" s="245">
        <v>2000</v>
      </c>
      <c r="E132" t="s" s="216">
        <v>743</v>
      </c>
      <c r="F132" s="245">
        <v>1711301101</v>
      </c>
      <c r="G132" s="244">
        <v>42675</v>
      </c>
      <c r="H132" s="244">
        <v>43069</v>
      </c>
      <c r="I132" s="245">
        <v>360</v>
      </c>
      <c r="J132" s="245">
        <v>0</v>
      </c>
      <c r="K132" t="s" s="216">
        <v>659</v>
      </c>
      <c r="L132" s="245">
        <v>394</v>
      </c>
      <c r="M132" s="245">
        <v>225</v>
      </c>
      <c r="N132" s="246">
        <v>0.5710659898477157</v>
      </c>
      <c r="O132" s="244">
        <f>H132-0.4*L132</f>
        <v>42911.4</v>
      </c>
      <c r="P132" s="239"/>
      <c r="Q132" s="268">
        <v>42740.4</v>
      </c>
      <c r="R132" s="269">
        <v>83</v>
      </c>
      <c r="S132" s="61"/>
      <c r="T132" s="237"/>
      <c r="U132" s="215"/>
    </row>
    <row r="133" ht="16" customHeight="1">
      <c r="A133" t="s" s="216">
        <v>138</v>
      </c>
      <c r="B133" t="s" s="216">
        <v>598</v>
      </c>
      <c r="C133" t="s" s="216">
        <v>668</v>
      </c>
      <c r="D133" s="245">
        <v>2000</v>
      </c>
      <c r="E133" t="s" s="216">
        <v>743</v>
      </c>
      <c r="F133" s="245">
        <v>1705310502</v>
      </c>
      <c r="G133" s="244">
        <v>42492</v>
      </c>
      <c r="H133" s="244">
        <v>42886</v>
      </c>
      <c r="I133" s="245">
        <v>118</v>
      </c>
      <c r="J133" s="245">
        <v>0</v>
      </c>
      <c r="K133" t="s" s="216">
        <v>659</v>
      </c>
      <c r="L133" s="245">
        <v>394</v>
      </c>
      <c r="M133" s="245">
        <v>42</v>
      </c>
      <c r="N133" s="246">
        <v>0.1065989847715736</v>
      </c>
      <c r="O133" s="244">
        <f>H133-0.4*L133</f>
        <v>42728.4</v>
      </c>
      <c r="P133" s="239"/>
      <c r="Q133" s="268">
        <v>42832.4</v>
      </c>
      <c r="R133" s="273">
        <v>707</v>
      </c>
      <c r="S133" s="61"/>
      <c r="T133" s="237"/>
      <c r="U133" s="215"/>
    </row>
    <row r="134" ht="16" customHeight="1">
      <c r="A134" t="s" s="216">
        <v>150</v>
      </c>
      <c r="B134" t="s" s="216">
        <v>600</v>
      </c>
      <c r="C134" t="s" s="216">
        <v>657</v>
      </c>
      <c r="D134" s="245">
        <v>1000</v>
      </c>
      <c r="E134" t="s" s="216">
        <v>743</v>
      </c>
      <c r="F134" s="245">
        <v>1709300702</v>
      </c>
      <c r="G134" s="244">
        <v>42553</v>
      </c>
      <c r="H134" s="244">
        <v>43008</v>
      </c>
      <c r="I134" s="245">
        <v>44480</v>
      </c>
      <c r="J134" s="245">
        <v>0</v>
      </c>
      <c r="K134" t="s" s="216">
        <v>659</v>
      </c>
      <c r="L134" s="245">
        <v>455</v>
      </c>
      <c r="M134" s="245">
        <v>164</v>
      </c>
      <c r="N134" s="246">
        <v>0.3604395604395604</v>
      </c>
      <c r="O134" s="244">
        <f>H134-0.4*L134</f>
        <v>42826</v>
      </c>
      <c r="P134" s="215"/>
      <c r="Q134" t="s" s="266">
        <v>319</v>
      </c>
      <c r="R134" s="259">
        <v>414</v>
      </c>
      <c r="S134" s="61"/>
      <c r="T134" s="237"/>
      <c r="U134" s="215"/>
    </row>
    <row r="135" ht="16" customHeight="1">
      <c r="A135" t="s" s="216">
        <v>150</v>
      </c>
      <c r="B135" t="s" s="216">
        <v>600</v>
      </c>
      <c r="C135" t="s" s="216">
        <v>657</v>
      </c>
      <c r="D135" s="245">
        <v>1000</v>
      </c>
      <c r="E135" t="s" s="216">
        <v>743</v>
      </c>
      <c r="F135" s="245">
        <v>1711300901</v>
      </c>
      <c r="G135" s="244">
        <v>42614</v>
      </c>
      <c r="H135" s="244">
        <v>43069</v>
      </c>
      <c r="I135" s="245">
        <v>6720</v>
      </c>
      <c r="J135" s="245">
        <v>0</v>
      </c>
      <c r="K135" t="s" s="216">
        <v>659</v>
      </c>
      <c r="L135" s="245">
        <v>455</v>
      </c>
      <c r="M135" s="245">
        <v>225</v>
      </c>
      <c r="N135" s="246">
        <v>0.4945054945054945</v>
      </c>
      <c r="O135" s="244">
        <f>H135-0.4*L135</f>
        <v>42887</v>
      </c>
      <c r="P135" s="239"/>
      <c r="Q135" s="268">
        <v>42770.4</v>
      </c>
      <c r="R135" s="269">
        <v>63</v>
      </c>
      <c r="S135" s="61"/>
      <c r="T135" s="237"/>
      <c r="U135" s="215"/>
    </row>
    <row r="136" ht="16" customHeight="1">
      <c r="A136" t="s" s="216">
        <v>150</v>
      </c>
      <c r="B136" t="s" s="216">
        <v>600</v>
      </c>
      <c r="C136" t="s" s="216">
        <v>657</v>
      </c>
      <c r="D136" s="245">
        <v>1000</v>
      </c>
      <c r="E136" t="s" s="216">
        <v>743</v>
      </c>
      <c r="F136" s="245">
        <v>1801301101</v>
      </c>
      <c r="G136" s="244">
        <v>42675</v>
      </c>
      <c r="H136" s="244">
        <v>43130</v>
      </c>
      <c r="I136" s="245">
        <v>20</v>
      </c>
      <c r="J136" s="245">
        <v>0</v>
      </c>
      <c r="K136" t="s" s="216">
        <v>659</v>
      </c>
      <c r="L136" s="245">
        <v>455</v>
      </c>
      <c r="M136" s="245">
        <v>286</v>
      </c>
      <c r="N136" s="246">
        <v>0.6285714285714286</v>
      </c>
      <c r="O136" s="244">
        <f>H136-0.4*L136</f>
        <v>42948</v>
      </c>
      <c r="P136" s="239"/>
      <c r="Q136" s="268">
        <v>42801.4</v>
      </c>
      <c r="R136" s="273">
        <v>351</v>
      </c>
      <c r="S136" s="61"/>
      <c r="T136" s="237"/>
      <c r="U136" s="215"/>
    </row>
    <row r="137" ht="16" customHeight="1">
      <c r="A137" t="s" s="216">
        <v>150</v>
      </c>
      <c r="B137" t="s" s="216">
        <v>600</v>
      </c>
      <c r="C137" t="s" s="216">
        <v>657</v>
      </c>
      <c r="D137" s="245">
        <v>1000</v>
      </c>
      <c r="E137" t="s" s="216">
        <v>743</v>
      </c>
      <c r="F137" s="245">
        <v>1802281130</v>
      </c>
      <c r="G137" s="244">
        <v>42704</v>
      </c>
      <c r="H137" s="244">
        <v>43159</v>
      </c>
      <c r="I137" s="245">
        <v>20</v>
      </c>
      <c r="J137" s="245">
        <v>0</v>
      </c>
      <c r="K137" t="s" s="216">
        <v>659</v>
      </c>
      <c r="L137" s="245">
        <v>455</v>
      </c>
      <c r="M137" s="245">
        <v>315</v>
      </c>
      <c r="N137" s="246">
        <v>0.6923076923076923</v>
      </c>
      <c r="O137" s="244">
        <f>H137-0.4*L137</f>
        <v>42977</v>
      </c>
      <c r="P137" s="215"/>
      <c r="Q137" t="s" s="266">
        <v>331</v>
      </c>
      <c r="R137" s="259">
        <v>11905</v>
      </c>
      <c r="S137" s="61"/>
      <c r="T137" s="237"/>
      <c r="U137" s="215"/>
    </row>
    <row r="138" ht="16" customHeight="1">
      <c r="A138" t="s" s="216">
        <v>150</v>
      </c>
      <c r="B138" t="s" s="216">
        <v>600</v>
      </c>
      <c r="C138" t="s" s="216">
        <v>657</v>
      </c>
      <c r="D138" s="245">
        <v>1610</v>
      </c>
      <c r="E138" t="s" s="216">
        <v>745</v>
      </c>
      <c r="F138" s="245">
        <v>1711300901</v>
      </c>
      <c r="G138" s="244">
        <v>42614</v>
      </c>
      <c r="H138" s="244">
        <v>43069</v>
      </c>
      <c r="I138" s="245">
        <v>0</v>
      </c>
      <c r="J138" s="245">
        <v>0</v>
      </c>
      <c r="K138" t="s" s="216">
        <v>659</v>
      </c>
      <c r="L138" s="245">
        <v>455</v>
      </c>
      <c r="M138" s="245">
        <v>225</v>
      </c>
      <c r="N138" s="246">
        <v>0.4945054945054945</v>
      </c>
      <c r="O138" s="244">
        <f>H138-0.4*L138</f>
        <v>42887</v>
      </c>
      <c r="P138" s="239"/>
      <c r="Q138" s="268">
        <v>42801.4</v>
      </c>
      <c r="R138" s="269">
        <v>193</v>
      </c>
      <c r="S138" s="61"/>
      <c r="T138" s="237"/>
      <c r="U138" s="215"/>
    </row>
    <row r="139" ht="16" customHeight="1">
      <c r="A139" t="s" s="216">
        <v>150</v>
      </c>
      <c r="B139" t="s" s="216">
        <v>600</v>
      </c>
      <c r="C139" t="s" s="216">
        <v>657</v>
      </c>
      <c r="D139" s="245">
        <v>1628</v>
      </c>
      <c r="E139" t="s" s="216">
        <v>746</v>
      </c>
      <c r="F139" s="245">
        <v>1802281130</v>
      </c>
      <c r="G139" s="244">
        <v>42704</v>
      </c>
      <c r="H139" s="244">
        <v>43159</v>
      </c>
      <c r="I139" s="245">
        <v>85</v>
      </c>
      <c r="J139" s="245">
        <v>0</v>
      </c>
      <c r="K139" t="s" s="216">
        <v>659</v>
      </c>
      <c r="L139" s="245">
        <v>455</v>
      </c>
      <c r="M139" s="245">
        <v>315</v>
      </c>
      <c r="N139" s="246">
        <v>0.6923076923076923</v>
      </c>
      <c r="O139" s="244">
        <f>H139-0.4*L139</f>
        <v>42977</v>
      </c>
      <c r="P139" s="239"/>
      <c r="Q139" s="268">
        <v>42893.4</v>
      </c>
      <c r="R139" s="271">
        <v>2817</v>
      </c>
      <c r="S139" s="61"/>
      <c r="T139" s="237"/>
      <c r="U139" s="215"/>
    </row>
    <row r="140" ht="16" customHeight="1">
      <c r="A140" t="s" s="216">
        <v>150</v>
      </c>
      <c r="B140" t="s" s="216">
        <v>600</v>
      </c>
      <c r="C140" t="s" s="216">
        <v>666</v>
      </c>
      <c r="D140" s="245">
        <v>2000</v>
      </c>
      <c r="E140" t="s" s="216">
        <v>747</v>
      </c>
      <c r="F140" s="245">
        <v>1708300601</v>
      </c>
      <c r="G140" s="244">
        <v>42522</v>
      </c>
      <c r="H140" s="244">
        <v>42977</v>
      </c>
      <c r="I140" s="245">
        <v>1</v>
      </c>
      <c r="J140" s="245">
        <v>0</v>
      </c>
      <c r="K140" t="s" s="216">
        <v>659</v>
      </c>
      <c r="L140" s="245">
        <v>455</v>
      </c>
      <c r="M140" s="245">
        <v>133</v>
      </c>
      <c r="N140" s="246">
        <v>0.2923076923076923</v>
      </c>
      <c r="O140" s="244">
        <f>H140-0.4*L140</f>
        <v>42795</v>
      </c>
      <c r="P140" s="239"/>
      <c r="Q140" s="268">
        <v>42832.4</v>
      </c>
      <c r="R140" s="271">
        <v>7455</v>
      </c>
      <c r="S140" s="61"/>
      <c r="T140" s="237"/>
      <c r="U140" s="215"/>
    </row>
    <row r="141" ht="16" customHeight="1">
      <c r="A141" t="s" s="216">
        <v>150</v>
      </c>
      <c r="B141" t="s" s="216">
        <v>600</v>
      </c>
      <c r="C141" t="s" s="216">
        <v>666</v>
      </c>
      <c r="D141" s="245">
        <v>2000</v>
      </c>
      <c r="E141" t="s" s="216">
        <v>747</v>
      </c>
      <c r="F141" s="245">
        <v>1709300702</v>
      </c>
      <c r="G141" s="244">
        <v>42553</v>
      </c>
      <c r="H141" s="244">
        <v>43008</v>
      </c>
      <c r="I141" s="245">
        <v>4865</v>
      </c>
      <c r="J141" s="245">
        <v>0</v>
      </c>
      <c r="K141" t="s" s="216">
        <v>659</v>
      </c>
      <c r="L141" s="245">
        <v>455</v>
      </c>
      <c r="M141" s="245">
        <v>164</v>
      </c>
      <c r="N141" s="246">
        <v>0.3604395604395604</v>
      </c>
      <c r="O141" s="244">
        <f>H141-0.4*L141</f>
        <v>42826</v>
      </c>
      <c r="P141" s="239"/>
      <c r="Q141" s="268">
        <v>42954</v>
      </c>
      <c r="R141" s="273">
        <v>1440</v>
      </c>
      <c r="S141" s="61"/>
      <c r="T141" s="237"/>
      <c r="U141" s="215"/>
    </row>
    <row r="142" ht="16" customHeight="1">
      <c r="A142" t="s" s="216">
        <v>150</v>
      </c>
      <c r="B142" t="s" s="216">
        <v>600</v>
      </c>
      <c r="C142" t="s" s="216">
        <v>666</v>
      </c>
      <c r="D142" s="245">
        <v>2000</v>
      </c>
      <c r="E142" t="s" s="216">
        <v>747</v>
      </c>
      <c r="F142" s="245">
        <v>1711300901</v>
      </c>
      <c r="G142" s="244">
        <v>42614</v>
      </c>
      <c r="H142" s="244">
        <v>43069</v>
      </c>
      <c r="I142" s="245">
        <v>2225</v>
      </c>
      <c r="J142" s="245">
        <v>0</v>
      </c>
      <c r="K142" t="s" s="216">
        <v>659</v>
      </c>
      <c r="L142" s="245">
        <v>455</v>
      </c>
      <c r="M142" s="245">
        <v>225</v>
      </c>
      <c r="N142" s="246">
        <v>0.4945054945054945</v>
      </c>
      <c r="O142" s="244">
        <f>H142-0.4*L142</f>
        <v>42887</v>
      </c>
      <c r="P142" s="215"/>
      <c r="Q142" t="s" s="266">
        <v>564</v>
      </c>
      <c r="R142" s="259">
        <v>210</v>
      </c>
      <c r="S142" s="61"/>
      <c r="T142" s="237"/>
      <c r="U142" s="215"/>
    </row>
    <row r="143" ht="16" customHeight="1">
      <c r="A143" t="s" s="216">
        <v>150</v>
      </c>
      <c r="B143" t="s" s="216">
        <v>600</v>
      </c>
      <c r="C143" t="s" s="216">
        <v>666</v>
      </c>
      <c r="D143" s="245">
        <v>2000</v>
      </c>
      <c r="E143" t="s" s="216">
        <v>747</v>
      </c>
      <c r="F143" s="245">
        <v>1802281130</v>
      </c>
      <c r="G143" s="244">
        <v>42704</v>
      </c>
      <c r="H143" s="244">
        <v>43159</v>
      </c>
      <c r="I143" s="245">
        <v>60</v>
      </c>
      <c r="J143" s="245">
        <v>0</v>
      </c>
      <c r="K143" t="s" s="216">
        <v>659</v>
      </c>
      <c r="L143" s="245">
        <v>455</v>
      </c>
      <c r="M143" s="245">
        <v>315</v>
      </c>
      <c r="N143" s="246">
        <v>0.6923076923076923</v>
      </c>
      <c r="O143" s="244">
        <f>H143-0.4*L143</f>
        <v>42977</v>
      </c>
      <c r="P143" s="239"/>
      <c r="Q143" s="268">
        <v>42832.4</v>
      </c>
      <c r="R143" s="259">
        <v>210</v>
      </c>
      <c r="S143" s="61"/>
      <c r="T143" s="237"/>
      <c r="U143" s="215"/>
    </row>
    <row r="144" ht="16" customHeight="1">
      <c r="A144" t="s" s="216">
        <v>150</v>
      </c>
      <c r="B144" t="s" s="216">
        <v>600</v>
      </c>
      <c r="C144" t="s" s="216">
        <v>667</v>
      </c>
      <c r="D144" s="245">
        <v>2000</v>
      </c>
      <c r="E144" t="s" s="216">
        <v>743</v>
      </c>
      <c r="F144" s="245">
        <v>1709300702</v>
      </c>
      <c r="G144" s="244">
        <v>42553</v>
      </c>
      <c r="H144" s="244">
        <v>43008</v>
      </c>
      <c r="I144" s="245">
        <v>9023</v>
      </c>
      <c r="J144" s="245">
        <v>0</v>
      </c>
      <c r="K144" t="s" s="216">
        <v>659</v>
      </c>
      <c r="L144" s="245">
        <v>455</v>
      </c>
      <c r="M144" s="245">
        <v>164</v>
      </c>
      <c r="N144" s="246">
        <v>0.3604395604395604</v>
      </c>
      <c r="O144" s="244">
        <f>H144-0.4*L144</f>
        <v>42826</v>
      </c>
      <c r="P144" s="215"/>
      <c r="Q144" t="s" s="266">
        <v>343</v>
      </c>
      <c r="R144" s="259">
        <v>756</v>
      </c>
      <c r="S144" s="61"/>
      <c r="T144" s="237"/>
      <c r="U144" s="215"/>
    </row>
    <row r="145" ht="16" customHeight="1">
      <c r="A145" t="s" s="216">
        <v>150</v>
      </c>
      <c r="B145" t="s" s="216">
        <v>600</v>
      </c>
      <c r="C145" t="s" s="216">
        <v>667</v>
      </c>
      <c r="D145" s="245">
        <v>2000</v>
      </c>
      <c r="E145" t="s" s="216">
        <v>743</v>
      </c>
      <c r="F145" s="245">
        <v>1711300901</v>
      </c>
      <c r="G145" s="244">
        <v>42614</v>
      </c>
      <c r="H145" s="244">
        <v>43069</v>
      </c>
      <c r="I145" s="245">
        <v>7</v>
      </c>
      <c r="J145" s="245">
        <v>0</v>
      </c>
      <c r="K145" t="s" s="216">
        <v>659</v>
      </c>
      <c r="L145" s="245">
        <v>455</v>
      </c>
      <c r="M145" s="245">
        <v>225</v>
      </c>
      <c r="N145" s="246">
        <v>0.4945054945054945</v>
      </c>
      <c r="O145" s="244">
        <f>H145-0.4*L145</f>
        <v>42887</v>
      </c>
      <c r="P145" s="239"/>
      <c r="Q145" s="268">
        <v>42801.4</v>
      </c>
      <c r="R145" s="269">
        <v>80</v>
      </c>
      <c r="S145" s="61"/>
      <c r="T145" s="237"/>
      <c r="U145" s="215"/>
    </row>
    <row r="146" ht="16" customHeight="1">
      <c r="A146" t="s" s="216">
        <v>162</v>
      </c>
      <c r="B146" t="s" s="216">
        <v>602</v>
      </c>
      <c r="C146" t="s" s="216">
        <v>657</v>
      </c>
      <c r="D146" s="245">
        <v>1000</v>
      </c>
      <c r="E146" t="s" s="216">
        <v>743</v>
      </c>
      <c r="F146" s="245">
        <v>1710300801</v>
      </c>
      <c r="G146" s="244">
        <v>42583</v>
      </c>
      <c r="H146" s="244">
        <v>43038</v>
      </c>
      <c r="I146" s="245">
        <v>31760</v>
      </c>
      <c r="J146" s="245">
        <v>0</v>
      </c>
      <c r="K146" t="s" s="216">
        <v>659</v>
      </c>
      <c r="L146" s="245">
        <v>455</v>
      </c>
      <c r="M146" s="245">
        <v>194</v>
      </c>
      <c r="N146" s="246">
        <v>0.4263736263736264</v>
      </c>
      <c r="O146" s="244">
        <f>H146-0.4*L146</f>
        <v>42856</v>
      </c>
      <c r="P146" s="239"/>
      <c r="Q146" s="268">
        <v>42832.4</v>
      </c>
      <c r="R146" s="273">
        <v>676</v>
      </c>
      <c r="S146" s="61"/>
      <c r="T146" s="237"/>
      <c r="U146" s="215"/>
    </row>
    <row r="147" ht="16" customHeight="1">
      <c r="A147" t="s" s="216">
        <v>162</v>
      </c>
      <c r="B147" t="s" s="216">
        <v>602</v>
      </c>
      <c r="C147" t="s" s="216">
        <v>657</v>
      </c>
      <c r="D147" s="245">
        <v>1000</v>
      </c>
      <c r="E147" t="s" s="216">
        <v>743</v>
      </c>
      <c r="F147" s="245">
        <v>1711300901</v>
      </c>
      <c r="G147" s="244">
        <v>42614</v>
      </c>
      <c r="H147" s="244">
        <v>43069</v>
      </c>
      <c r="I147" s="245">
        <v>16080</v>
      </c>
      <c r="J147" s="245">
        <v>0</v>
      </c>
      <c r="K147" t="s" s="216">
        <v>659</v>
      </c>
      <c r="L147" s="245">
        <v>455</v>
      </c>
      <c r="M147" s="245">
        <v>225</v>
      </c>
      <c r="N147" s="246">
        <v>0.4945054945054945</v>
      </c>
      <c r="O147" s="244">
        <f>H147-0.4*L147</f>
        <v>42887</v>
      </c>
      <c r="P147" s="215"/>
      <c r="Q147" t="s" s="266">
        <v>355</v>
      </c>
      <c r="R147" s="259">
        <v>3100</v>
      </c>
      <c r="S147" s="61"/>
      <c r="T147" s="237"/>
      <c r="U147" s="215"/>
    </row>
    <row r="148" ht="16" customHeight="1">
      <c r="A148" t="s" s="216">
        <v>162</v>
      </c>
      <c r="B148" t="s" s="216">
        <v>602</v>
      </c>
      <c r="C148" t="s" s="216">
        <v>657</v>
      </c>
      <c r="D148" s="245">
        <v>1000</v>
      </c>
      <c r="E148" t="s" s="216">
        <v>743</v>
      </c>
      <c r="F148" s="245">
        <v>1802281130</v>
      </c>
      <c r="G148" s="244">
        <v>42704</v>
      </c>
      <c r="H148" s="244">
        <v>43159</v>
      </c>
      <c r="I148" s="245">
        <v>720</v>
      </c>
      <c r="J148" s="245">
        <v>0</v>
      </c>
      <c r="K148" t="s" s="216">
        <v>659</v>
      </c>
      <c r="L148" s="245">
        <v>455</v>
      </c>
      <c r="M148" s="245">
        <v>315</v>
      </c>
      <c r="N148" s="246">
        <v>0.6923076923076923</v>
      </c>
      <c r="O148" s="244">
        <f>H148-0.4*L148</f>
        <v>42977</v>
      </c>
      <c r="P148" s="239"/>
      <c r="Q148" s="268">
        <v>42770.4</v>
      </c>
      <c r="R148" s="269">
        <v>314</v>
      </c>
      <c r="S148" s="61"/>
      <c r="T148" s="237"/>
      <c r="U148" s="215"/>
    </row>
    <row r="149" ht="16" customHeight="1">
      <c r="A149" t="s" s="216">
        <v>162</v>
      </c>
      <c r="B149" t="s" s="216">
        <v>602</v>
      </c>
      <c r="C149" t="s" s="216">
        <v>657</v>
      </c>
      <c r="D149" s="245">
        <v>1610</v>
      </c>
      <c r="E149" t="s" s="216">
        <v>745</v>
      </c>
      <c r="F149" s="245">
        <v>1711300901</v>
      </c>
      <c r="G149" s="244">
        <v>42614</v>
      </c>
      <c r="H149" s="244">
        <v>43069</v>
      </c>
      <c r="I149" s="245">
        <v>0</v>
      </c>
      <c r="J149" s="245">
        <v>0</v>
      </c>
      <c r="K149" t="s" s="216">
        <v>659</v>
      </c>
      <c r="L149" s="245">
        <v>455</v>
      </c>
      <c r="M149" s="245">
        <v>225</v>
      </c>
      <c r="N149" s="246">
        <v>0.4945054945054945</v>
      </c>
      <c r="O149" s="244">
        <f>H149-0.4*L149</f>
        <v>42887</v>
      </c>
      <c r="P149" s="239"/>
      <c r="Q149" s="268">
        <v>42801.4</v>
      </c>
      <c r="R149" s="271">
        <v>2385</v>
      </c>
      <c r="S149" s="61"/>
      <c r="T149" s="237"/>
      <c r="U149" s="215"/>
    </row>
    <row r="150" ht="16" customHeight="1">
      <c r="A150" t="s" s="216">
        <v>162</v>
      </c>
      <c r="B150" t="s" s="216">
        <v>602</v>
      </c>
      <c r="C150" t="s" s="216">
        <v>657</v>
      </c>
      <c r="D150" s="245">
        <v>1628</v>
      </c>
      <c r="E150" t="s" s="216">
        <v>746</v>
      </c>
      <c r="F150" s="245">
        <v>1801301101</v>
      </c>
      <c r="G150" s="244">
        <v>42675</v>
      </c>
      <c r="H150" s="244">
        <v>43130</v>
      </c>
      <c r="I150" s="245">
        <v>40</v>
      </c>
      <c r="J150" s="245">
        <v>0</v>
      </c>
      <c r="K150" t="s" s="216">
        <v>659</v>
      </c>
      <c r="L150" s="245">
        <v>455</v>
      </c>
      <c r="M150" s="245">
        <v>286</v>
      </c>
      <c r="N150" s="246">
        <v>0.6285714285714286</v>
      </c>
      <c r="O150" s="244">
        <f>H150-0.4*L150</f>
        <v>42948</v>
      </c>
      <c r="P150" s="239"/>
      <c r="Q150" s="268">
        <v>42740.4</v>
      </c>
      <c r="R150" s="273">
        <v>401</v>
      </c>
      <c r="S150" s="61"/>
      <c r="T150" s="237"/>
      <c r="U150" s="215"/>
    </row>
    <row r="151" ht="16" customHeight="1">
      <c r="A151" t="s" s="216">
        <v>162</v>
      </c>
      <c r="B151" t="s" s="216">
        <v>602</v>
      </c>
      <c r="C151" t="s" s="216">
        <v>666</v>
      </c>
      <c r="D151" s="245">
        <v>2000</v>
      </c>
      <c r="E151" t="s" s="216">
        <v>747</v>
      </c>
      <c r="F151" s="245">
        <v>1709300702</v>
      </c>
      <c r="G151" s="244">
        <v>42553</v>
      </c>
      <c r="H151" s="244">
        <v>43008</v>
      </c>
      <c r="I151" s="245">
        <v>1</v>
      </c>
      <c r="J151" s="245">
        <v>0</v>
      </c>
      <c r="K151" t="s" s="216">
        <v>659</v>
      </c>
      <c r="L151" s="245">
        <v>455</v>
      </c>
      <c r="M151" s="245">
        <v>164</v>
      </c>
      <c r="N151" s="246">
        <v>0.3604395604395604</v>
      </c>
      <c r="O151" s="244">
        <f>H151-0.4*L151</f>
        <v>42826</v>
      </c>
      <c r="P151" s="215"/>
      <c r="Q151" t="s" s="266">
        <v>565</v>
      </c>
      <c r="R151" s="259">
        <v>3680</v>
      </c>
      <c r="S151" s="61"/>
      <c r="T151" s="237"/>
      <c r="U151" s="215"/>
    </row>
    <row r="152" ht="16" customHeight="1">
      <c r="A152" t="s" s="216">
        <v>162</v>
      </c>
      <c r="B152" t="s" s="216">
        <v>602</v>
      </c>
      <c r="C152" t="s" s="216">
        <v>666</v>
      </c>
      <c r="D152" s="245">
        <v>2000</v>
      </c>
      <c r="E152" t="s" s="216">
        <v>747</v>
      </c>
      <c r="F152" s="245">
        <v>1711300901</v>
      </c>
      <c r="G152" s="244">
        <v>42614</v>
      </c>
      <c r="H152" s="244">
        <v>43069</v>
      </c>
      <c r="I152" s="245">
        <v>112</v>
      </c>
      <c r="J152" s="245">
        <v>0</v>
      </c>
      <c r="K152" t="s" s="216">
        <v>659</v>
      </c>
      <c r="L152" s="245">
        <v>455</v>
      </c>
      <c r="M152" s="245">
        <v>225</v>
      </c>
      <c r="N152" s="246">
        <v>0.4945054945054945</v>
      </c>
      <c r="O152" s="244">
        <f>H152-0.4*L152</f>
        <v>42887</v>
      </c>
      <c r="P152" s="239"/>
      <c r="Q152" s="268">
        <v>42770.4</v>
      </c>
      <c r="R152" s="269">
        <v>59</v>
      </c>
      <c r="S152" s="61"/>
      <c r="T152" s="237"/>
      <c r="U152" s="215"/>
    </row>
    <row r="153" ht="16" customHeight="1">
      <c r="A153" t="s" s="216">
        <v>162</v>
      </c>
      <c r="B153" t="s" s="216">
        <v>602</v>
      </c>
      <c r="C153" t="s" s="216">
        <v>666</v>
      </c>
      <c r="D153" s="245">
        <v>2000</v>
      </c>
      <c r="E153" t="s" s="216">
        <v>747</v>
      </c>
      <c r="F153" s="245">
        <v>1801301101</v>
      </c>
      <c r="G153" s="244">
        <v>42675</v>
      </c>
      <c r="H153" s="244">
        <v>43130</v>
      </c>
      <c r="I153" s="245">
        <v>60</v>
      </c>
      <c r="J153" s="245">
        <v>0</v>
      </c>
      <c r="K153" t="s" s="216">
        <v>659</v>
      </c>
      <c r="L153" s="245">
        <v>455</v>
      </c>
      <c r="M153" s="245">
        <v>286</v>
      </c>
      <c r="N153" s="246">
        <v>0.6285714285714286</v>
      </c>
      <c r="O153" s="244">
        <f>H153-0.4*L153</f>
        <v>42948</v>
      </c>
      <c r="P153" s="239"/>
      <c r="Q153" s="268">
        <v>42801.4</v>
      </c>
      <c r="R153" s="271">
        <v>3540</v>
      </c>
      <c r="S153" s="61"/>
      <c r="T153" s="237"/>
      <c r="U153" s="215"/>
    </row>
    <row r="154" ht="16" customHeight="1">
      <c r="A154" t="s" s="216">
        <v>162</v>
      </c>
      <c r="B154" t="s" s="216">
        <v>602</v>
      </c>
      <c r="C154" t="s" s="216">
        <v>666</v>
      </c>
      <c r="D154" s="245">
        <v>2000</v>
      </c>
      <c r="E154" t="s" s="216">
        <v>747</v>
      </c>
      <c r="F154" s="245">
        <v>1802281130</v>
      </c>
      <c r="G154" s="244">
        <v>42704</v>
      </c>
      <c r="H154" s="244">
        <v>43159</v>
      </c>
      <c r="I154" s="245">
        <v>300</v>
      </c>
      <c r="J154" s="245">
        <v>0</v>
      </c>
      <c r="K154" t="s" s="216">
        <v>659</v>
      </c>
      <c r="L154" s="245">
        <v>455</v>
      </c>
      <c r="M154" s="245">
        <v>315</v>
      </c>
      <c r="N154" s="246">
        <v>0.6923076923076923</v>
      </c>
      <c r="O154" s="244">
        <f>H154-0.4*L154</f>
        <v>42977</v>
      </c>
      <c r="P154" s="239"/>
      <c r="Q154" s="268">
        <v>42832.4</v>
      </c>
      <c r="R154" s="273">
        <v>81</v>
      </c>
      <c r="S154" s="61"/>
      <c r="T154" s="237"/>
      <c r="U154" s="215"/>
    </row>
    <row r="155" ht="16" customHeight="1">
      <c r="A155" t="s" s="216">
        <v>162</v>
      </c>
      <c r="B155" t="s" s="216">
        <v>602</v>
      </c>
      <c r="C155" t="s" s="216">
        <v>667</v>
      </c>
      <c r="D155" s="245">
        <v>2000</v>
      </c>
      <c r="E155" t="s" s="216">
        <v>743</v>
      </c>
      <c r="F155" s="245">
        <v>1711300901</v>
      </c>
      <c r="G155" s="244">
        <v>42614</v>
      </c>
      <c r="H155" s="244">
        <v>43069</v>
      </c>
      <c r="I155" s="245">
        <v>220</v>
      </c>
      <c r="J155" s="245">
        <v>0</v>
      </c>
      <c r="K155" t="s" s="216">
        <v>659</v>
      </c>
      <c r="L155" s="245">
        <v>455</v>
      </c>
      <c r="M155" s="245">
        <v>225</v>
      </c>
      <c r="N155" s="246">
        <v>0.4945054945054945</v>
      </c>
      <c r="O155" s="244">
        <f>H155-0.4*L155</f>
        <v>42887</v>
      </c>
      <c r="P155" s="215"/>
      <c r="Q155" t="s" s="266">
        <v>566</v>
      </c>
      <c r="R155" s="259">
        <v>57</v>
      </c>
      <c r="S155" s="61"/>
      <c r="T155" s="237"/>
      <c r="U155" s="215"/>
    </row>
    <row r="156" ht="16" customHeight="1">
      <c r="A156" t="s" s="216">
        <v>162</v>
      </c>
      <c r="B156" t="s" s="216">
        <v>602</v>
      </c>
      <c r="C156" t="s" s="216">
        <v>667</v>
      </c>
      <c r="D156" s="245">
        <v>2000</v>
      </c>
      <c r="E156" t="s" s="216">
        <v>743</v>
      </c>
      <c r="F156" s="245">
        <v>1712301001</v>
      </c>
      <c r="G156" s="244">
        <v>42644</v>
      </c>
      <c r="H156" s="244">
        <v>43099</v>
      </c>
      <c r="I156" s="245">
        <v>15</v>
      </c>
      <c r="J156" s="245">
        <v>0</v>
      </c>
      <c r="K156" t="s" s="216">
        <v>659</v>
      </c>
      <c r="L156" s="245">
        <v>455</v>
      </c>
      <c r="M156" s="245">
        <v>255</v>
      </c>
      <c r="N156" s="246">
        <v>0.5604395604395604</v>
      </c>
      <c r="O156" s="244">
        <f>H156-0.4*L156</f>
        <v>42917</v>
      </c>
      <c r="P156" s="239"/>
      <c r="Q156" s="268">
        <v>42801.4</v>
      </c>
      <c r="R156" s="269">
        <v>16</v>
      </c>
      <c r="S156" s="61"/>
      <c r="T156" s="237"/>
      <c r="U156" s="215"/>
    </row>
    <row r="157" ht="16" customHeight="1">
      <c r="A157" t="s" s="216">
        <v>162</v>
      </c>
      <c r="B157" t="s" s="216">
        <v>602</v>
      </c>
      <c r="C157" t="s" s="216">
        <v>667</v>
      </c>
      <c r="D157" s="245">
        <v>2000</v>
      </c>
      <c r="E157" t="s" s="216">
        <v>743</v>
      </c>
      <c r="F157" s="245">
        <v>1802281130</v>
      </c>
      <c r="G157" s="244">
        <v>42704</v>
      </c>
      <c r="H157" s="244">
        <v>43159</v>
      </c>
      <c r="I157" s="245">
        <v>40</v>
      </c>
      <c r="J157" s="245">
        <v>0</v>
      </c>
      <c r="K157" t="s" s="216">
        <v>659</v>
      </c>
      <c r="L157" s="245">
        <v>455</v>
      </c>
      <c r="M157" s="245">
        <v>315</v>
      </c>
      <c r="N157" s="246">
        <v>0.6923076923076923</v>
      </c>
      <c r="O157" s="244">
        <f>H157-0.4*L157</f>
        <v>42977</v>
      </c>
      <c r="P157" s="239"/>
      <c r="Q157" s="268">
        <v>42832.4</v>
      </c>
      <c r="R157" s="273">
        <v>41</v>
      </c>
      <c r="S157" s="61"/>
      <c r="T157" s="237"/>
      <c r="U157" s="215"/>
    </row>
    <row r="158" ht="16" customHeight="1">
      <c r="A158" t="s" s="216">
        <v>162</v>
      </c>
      <c r="B158" t="s" s="216">
        <v>602</v>
      </c>
      <c r="C158" t="s" s="216">
        <v>668</v>
      </c>
      <c r="D158" s="245">
        <v>2000</v>
      </c>
      <c r="E158" t="s" s="216">
        <v>743</v>
      </c>
      <c r="F158" s="245">
        <v>1706300401</v>
      </c>
      <c r="G158" s="244">
        <v>42461</v>
      </c>
      <c r="H158" s="244">
        <v>42916</v>
      </c>
      <c r="I158" s="245">
        <v>13</v>
      </c>
      <c r="J158" s="245">
        <v>0</v>
      </c>
      <c r="K158" t="s" s="216">
        <v>659</v>
      </c>
      <c r="L158" s="245">
        <v>455</v>
      </c>
      <c r="M158" s="245">
        <v>72</v>
      </c>
      <c r="N158" s="246">
        <v>0.1582417582417582</v>
      </c>
      <c r="O158" s="244">
        <f>H158-0.4*L158</f>
        <v>42734</v>
      </c>
      <c r="P158" s="215"/>
      <c r="Q158" t="s" s="266">
        <v>567</v>
      </c>
      <c r="R158" s="259">
        <v>2230</v>
      </c>
      <c r="S158" s="61"/>
      <c r="T158" s="237"/>
      <c r="U158" s="215"/>
    </row>
    <row r="159" ht="16" customHeight="1">
      <c r="A159" t="s" s="216">
        <v>162</v>
      </c>
      <c r="B159" t="s" s="216">
        <v>602</v>
      </c>
      <c r="C159" t="s" s="216">
        <v>668</v>
      </c>
      <c r="D159" s="245">
        <v>2000</v>
      </c>
      <c r="E159" t="s" s="216">
        <v>743</v>
      </c>
      <c r="F159" s="245">
        <v>1707300501</v>
      </c>
      <c r="G159" s="244">
        <v>42491</v>
      </c>
      <c r="H159" s="244">
        <v>42946</v>
      </c>
      <c r="I159" s="245">
        <v>8</v>
      </c>
      <c r="J159" s="245">
        <v>0</v>
      </c>
      <c r="K159" t="s" s="216">
        <v>659</v>
      </c>
      <c r="L159" s="245">
        <v>455</v>
      </c>
      <c r="M159" s="245">
        <v>102</v>
      </c>
      <c r="N159" s="246">
        <v>0.2241758241758242</v>
      </c>
      <c r="O159" s="244">
        <f>H159-0.4*L159</f>
        <v>42764</v>
      </c>
      <c r="P159" s="239"/>
      <c r="Q159" s="268">
        <v>42790.4</v>
      </c>
      <c r="R159" s="269">
        <v>601</v>
      </c>
      <c r="S159" s="61"/>
      <c r="T159" s="237"/>
      <c r="U159" s="215"/>
    </row>
    <row r="160" ht="16" customHeight="1">
      <c r="A160" t="s" s="216">
        <v>162</v>
      </c>
      <c r="B160" t="s" s="216">
        <v>602</v>
      </c>
      <c r="C160" t="s" s="216">
        <v>668</v>
      </c>
      <c r="D160" s="245">
        <v>2000</v>
      </c>
      <c r="E160" t="s" s="216">
        <v>743</v>
      </c>
      <c r="F160" s="245">
        <v>1709300702</v>
      </c>
      <c r="G160" s="244">
        <v>42553</v>
      </c>
      <c r="H160" s="244">
        <v>43008</v>
      </c>
      <c r="I160" s="245">
        <v>14</v>
      </c>
      <c r="J160" s="245">
        <v>0</v>
      </c>
      <c r="K160" t="s" s="216">
        <v>659</v>
      </c>
      <c r="L160" s="245">
        <v>455</v>
      </c>
      <c r="M160" s="245">
        <v>164</v>
      </c>
      <c r="N160" s="246">
        <v>0.3604395604395604</v>
      </c>
      <c r="O160" s="244">
        <f>H160-0.4*L160</f>
        <v>42826</v>
      </c>
      <c r="P160" s="239"/>
      <c r="Q160" s="268">
        <v>42756.4</v>
      </c>
      <c r="R160" s="271">
        <v>137</v>
      </c>
      <c r="S160" s="61"/>
      <c r="T160" s="237"/>
      <c r="U160" s="215"/>
    </row>
    <row r="161" ht="16" customHeight="1">
      <c r="A161" t="s" s="216">
        <v>162</v>
      </c>
      <c r="B161" t="s" s="216">
        <v>602</v>
      </c>
      <c r="C161" t="s" s="216">
        <v>668</v>
      </c>
      <c r="D161" s="245">
        <v>2000</v>
      </c>
      <c r="E161" t="s" s="216">
        <v>743</v>
      </c>
      <c r="F161" s="245">
        <v>1711300901</v>
      </c>
      <c r="G161" s="244">
        <v>42614</v>
      </c>
      <c r="H161" s="244">
        <v>43069</v>
      </c>
      <c r="I161" s="245">
        <v>38</v>
      </c>
      <c r="J161" s="245">
        <v>0</v>
      </c>
      <c r="K161" t="s" s="216">
        <v>659</v>
      </c>
      <c r="L161" s="245">
        <v>455</v>
      </c>
      <c r="M161" s="245">
        <v>225</v>
      </c>
      <c r="N161" s="246">
        <v>0.4945054945054945</v>
      </c>
      <c r="O161" s="244">
        <f>H161-0.4*L161</f>
        <v>42887</v>
      </c>
      <c r="P161" s="239"/>
      <c r="Q161" s="268">
        <v>42735.4</v>
      </c>
      <c r="R161" s="271">
        <v>7</v>
      </c>
      <c r="S161" s="61"/>
      <c r="T161" s="237"/>
      <c r="U161" s="215"/>
    </row>
    <row r="162" ht="16" customHeight="1">
      <c r="A162" t="s" s="216">
        <v>162</v>
      </c>
      <c r="B162" t="s" s="216">
        <v>602</v>
      </c>
      <c r="C162" t="s" s="216">
        <v>668</v>
      </c>
      <c r="D162" s="245">
        <v>2000</v>
      </c>
      <c r="E162" t="s" s="216">
        <v>743</v>
      </c>
      <c r="F162" s="245">
        <v>1712301001</v>
      </c>
      <c r="G162" s="244">
        <v>42644</v>
      </c>
      <c r="H162" s="244">
        <v>43099</v>
      </c>
      <c r="I162" s="245">
        <v>14</v>
      </c>
      <c r="J162" s="245">
        <v>0</v>
      </c>
      <c r="K162" t="s" s="216">
        <v>659</v>
      </c>
      <c r="L162" s="245">
        <v>455</v>
      </c>
      <c r="M162" s="245">
        <v>255</v>
      </c>
      <c r="N162" s="246">
        <v>0.5604395604395604</v>
      </c>
      <c r="O162" s="244">
        <f>H162-0.4*L162</f>
        <v>42917</v>
      </c>
      <c r="P162" s="239"/>
      <c r="Q162" s="268">
        <v>42811.4</v>
      </c>
      <c r="R162" s="271">
        <v>337</v>
      </c>
      <c r="S162" s="61"/>
      <c r="T162" s="237"/>
      <c r="U162" s="215"/>
    </row>
    <row r="163" ht="16" customHeight="1">
      <c r="A163" t="s" s="216">
        <v>174</v>
      </c>
      <c r="B163" t="s" s="216">
        <v>604</v>
      </c>
      <c r="C163" t="s" s="216">
        <v>657</v>
      </c>
      <c r="D163" s="245">
        <v>1000</v>
      </c>
      <c r="E163" t="s" s="216">
        <v>743</v>
      </c>
      <c r="F163" s="245">
        <v>1802281130</v>
      </c>
      <c r="G163" s="244">
        <v>42704</v>
      </c>
      <c r="H163" s="244">
        <v>43159</v>
      </c>
      <c r="I163" s="245">
        <v>282</v>
      </c>
      <c r="J163" s="245">
        <v>0</v>
      </c>
      <c r="K163" t="s" s="216">
        <v>659</v>
      </c>
      <c r="L163" s="245">
        <v>455</v>
      </c>
      <c r="M163" s="245">
        <v>315</v>
      </c>
      <c r="N163" s="246">
        <v>0.6923076923076923</v>
      </c>
      <c r="O163" s="244">
        <f>H163-0.4*L163</f>
        <v>42977</v>
      </c>
      <c r="P163" s="239"/>
      <c r="Q163" s="268">
        <v>42954</v>
      </c>
      <c r="R163" s="273">
        <v>1148</v>
      </c>
      <c r="S163" s="61"/>
      <c r="T163" s="237"/>
      <c r="U163" s="215"/>
    </row>
    <row r="164" ht="16" customHeight="1">
      <c r="A164" t="s" s="216">
        <v>174</v>
      </c>
      <c r="B164" t="s" s="216">
        <v>604</v>
      </c>
      <c r="C164" t="s" s="216">
        <v>657</v>
      </c>
      <c r="D164" s="245">
        <v>1628</v>
      </c>
      <c r="E164" t="s" s="216">
        <v>746</v>
      </c>
      <c r="F164" s="245">
        <v>1802281130</v>
      </c>
      <c r="G164" s="244">
        <v>42704</v>
      </c>
      <c r="H164" s="244">
        <v>43159</v>
      </c>
      <c r="I164" s="245">
        <v>105</v>
      </c>
      <c r="J164" s="245">
        <v>0</v>
      </c>
      <c r="K164" t="s" s="216">
        <v>659</v>
      </c>
      <c r="L164" s="245">
        <v>455</v>
      </c>
      <c r="M164" s="245">
        <v>315</v>
      </c>
      <c r="N164" s="246">
        <v>0.6923076923076923</v>
      </c>
      <c r="O164" s="244">
        <f>H164-0.4*L164</f>
        <v>42977</v>
      </c>
      <c r="P164" s="215"/>
      <c r="Q164" t="s" s="266">
        <v>367</v>
      </c>
      <c r="R164" s="259">
        <v>546</v>
      </c>
      <c r="S164" s="61"/>
      <c r="T164" s="237"/>
      <c r="U164" s="215"/>
    </row>
    <row r="165" ht="16" customHeight="1">
      <c r="A165" t="s" s="216">
        <v>174</v>
      </c>
      <c r="B165" t="s" s="216">
        <v>604</v>
      </c>
      <c r="C165" t="s" s="216">
        <v>666</v>
      </c>
      <c r="D165" s="245">
        <v>2000</v>
      </c>
      <c r="E165" t="s" s="216">
        <v>747</v>
      </c>
      <c r="F165" s="245">
        <v>1802281130</v>
      </c>
      <c r="G165" s="244">
        <v>42704</v>
      </c>
      <c r="H165" s="244">
        <v>43159</v>
      </c>
      <c r="I165" s="245">
        <v>216</v>
      </c>
      <c r="J165" s="245">
        <v>0</v>
      </c>
      <c r="K165" t="s" s="216">
        <v>659</v>
      </c>
      <c r="L165" s="245">
        <v>455</v>
      </c>
      <c r="M165" s="245">
        <v>315</v>
      </c>
      <c r="N165" s="246">
        <v>0.6923076923076923</v>
      </c>
      <c r="O165" s="244">
        <f>H165-0.4*L165</f>
        <v>42977</v>
      </c>
      <c r="P165" s="239"/>
      <c r="Q165" s="268">
        <v>42709.4</v>
      </c>
      <c r="R165" s="269">
        <v>0</v>
      </c>
      <c r="S165" s="61"/>
      <c r="T165" s="237"/>
      <c r="U165" s="215"/>
    </row>
    <row r="166" ht="16" customHeight="1">
      <c r="A166" t="s" s="216">
        <v>174</v>
      </c>
      <c r="B166" t="s" s="216">
        <v>604</v>
      </c>
      <c r="C166" t="s" s="216">
        <v>667</v>
      </c>
      <c r="D166" s="245">
        <v>2000</v>
      </c>
      <c r="E166" t="s" s="216">
        <v>743</v>
      </c>
      <c r="F166" s="245">
        <v>1709300702</v>
      </c>
      <c r="G166" s="244">
        <v>42553</v>
      </c>
      <c r="H166" s="244">
        <v>43008</v>
      </c>
      <c r="I166" s="245">
        <v>1146</v>
      </c>
      <c r="J166" s="245">
        <v>0</v>
      </c>
      <c r="K166" t="s" s="216">
        <v>659</v>
      </c>
      <c r="L166" s="245">
        <v>455</v>
      </c>
      <c r="M166" s="245">
        <v>164</v>
      </c>
      <c r="N166" s="246">
        <v>0.3604395604395604</v>
      </c>
      <c r="O166" s="244">
        <f>H166-0.4*L166</f>
        <v>42826</v>
      </c>
      <c r="P166" s="239"/>
      <c r="Q166" s="268">
        <v>42770.4</v>
      </c>
      <c r="R166" s="271">
        <v>140</v>
      </c>
      <c r="S166" s="61"/>
      <c r="T166" s="237"/>
      <c r="U166" s="215"/>
    </row>
    <row r="167" ht="16" customHeight="1">
      <c r="A167" t="s" s="216">
        <v>174</v>
      </c>
      <c r="B167" t="s" s="216">
        <v>604</v>
      </c>
      <c r="C167" t="s" s="216">
        <v>667</v>
      </c>
      <c r="D167" s="245">
        <v>2000</v>
      </c>
      <c r="E167" t="s" s="216">
        <v>743</v>
      </c>
      <c r="F167" s="245">
        <v>1712311002</v>
      </c>
      <c r="G167" s="244">
        <v>42645</v>
      </c>
      <c r="H167" s="244">
        <v>43100</v>
      </c>
      <c r="I167" s="245">
        <v>2</v>
      </c>
      <c r="J167" s="245">
        <v>0</v>
      </c>
      <c r="K167" t="s" s="216">
        <v>659</v>
      </c>
      <c r="L167" s="245">
        <v>455</v>
      </c>
      <c r="M167" s="245">
        <v>256</v>
      </c>
      <c r="N167" s="246">
        <v>0.5626373626373626</v>
      </c>
      <c r="O167" s="244">
        <f>H167-0.4*L167</f>
        <v>42918</v>
      </c>
      <c r="P167" s="239"/>
      <c r="Q167" s="268">
        <v>42832.4</v>
      </c>
      <c r="R167" s="273">
        <v>406</v>
      </c>
      <c r="S167" s="61"/>
      <c r="T167" s="237"/>
      <c r="U167" s="215"/>
    </row>
    <row r="168" ht="16" customHeight="1">
      <c r="A168" t="s" s="216">
        <v>174</v>
      </c>
      <c r="B168" t="s" s="216">
        <v>604</v>
      </c>
      <c r="C168" t="s" s="216">
        <v>668</v>
      </c>
      <c r="D168" s="245">
        <v>2000</v>
      </c>
      <c r="E168" t="s" s="216">
        <v>743</v>
      </c>
      <c r="F168" s="245">
        <v>1707300501</v>
      </c>
      <c r="G168" s="244">
        <v>42491</v>
      </c>
      <c r="H168" s="244">
        <v>42946</v>
      </c>
      <c r="I168" s="245">
        <v>5</v>
      </c>
      <c r="J168" s="245">
        <v>0</v>
      </c>
      <c r="K168" t="s" s="216">
        <v>659</v>
      </c>
      <c r="L168" s="245">
        <v>455</v>
      </c>
      <c r="M168" s="245">
        <v>102</v>
      </c>
      <c r="N168" s="246">
        <v>0.2241758241758242</v>
      </c>
      <c r="O168" s="244">
        <f>H168-0.4*L168</f>
        <v>42764</v>
      </c>
      <c r="P168" s="215"/>
      <c r="Q168" t="s" s="266">
        <v>711</v>
      </c>
      <c r="R168" s="259">
        <v>195</v>
      </c>
      <c r="S168" s="61"/>
      <c r="T168" s="237"/>
      <c r="U168" s="215"/>
    </row>
    <row r="169" ht="16" customHeight="1">
      <c r="A169" t="s" s="216">
        <v>174</v>
      </c>
      <c r="B169" t="s" s="216">
        <v>604</v>
      </c>
      <c r="C169" t="s" s="216">
        <v>668</v>
      </c>
      <c r="D169" s="245">
        <v>2000</v>
      </c>
      <c r="E169" t="s" s="216">
        <v>743</v>
      </c>
      <c r="F169" s="245">
        <v>1708300601</v>
      </c>
      <c r="G169" s="244">
        <v>42522</v>
      </c>
      <c r="H169" s="244">
        <v>42977</v>
      </c>
      <c r="I169" s="245">
        <v>6</v>
      </c>
      <c r="J169" s="245">
        <v>0</v>
      </c>
      <c r="K169" t="s" s="216">
        <v>659</v>
      </c>
      <c r="L169" s="245">
        <v>455</v>
      </c>
      <c r="M169" s="245">
        <v>133</v>
      </c>
      <c r="N169" s="246">
        <v>0.2923076923076923</v>
      </c>
      <c r="O169" s="244">
        <f>H169-0.4*L169</f>
        <v>42795</v>
      </c>
      <c r="P169" s="239"/>
      <c r="Q169" s="268">
        <v>42770.4</v>
      </c>
      <c r="R169" s="269">
        <v>16</v>
      </c>
      <c r="S169" s="61"/>
      <c r="T169" s="237"/>
      <c r="U169" s="215"/>
    </row>
    <row r="170" ht="16" customHeight="1">
      <c r="A170" t="s" s="216">
        <v>211</v>
      </c>
      <c r="B170" t="s" s="216">
        <v>212</v>
      </c>
      <c r="C170" t="s" s="216">
        <v>657</v>
      </c>
      <c r="D170" s="245">
        <v>1628</v>
      </c>
      <c r="E170" t="s" s="216">
        <v>746</v>
      </c>
      <c r="F170" s="245">
        <v>1708030804</v>
      </c>
      <c r="G170" s="244">
        <v>42586</v>
      </c>
      <c r="H170" s="244">
        <v>42950</v>
      </c>
      <c r="I170" s="245">
        <v>4</v>
      </c>
      <c r="J170" s="245">
        <v>0</v>
      </c>
      <c r="K170" t="s" s="216">
        <v>659</v>
      </c>
      <c r="L170" s="245">
        <v>364</v>
      </c>
      <c r="M170" s="245">
        <v>106</v>
      </c>
      <c r="N170" s="246">
        <v>0.2912087912087912</v>
      </c>
      <c r="O170" s="244">
        <f>H170-0.4*L170</f>
        <v>42804.4</v>
      </c>
      <c r="P170" s="239"/>
      <c r="Q170" s="268">
        <v>42832.4</v>
      </c>
      <c r="R170" s="273">
        <v>179</v>
      </c>
      <c r="S170" s="61"/>
      <c r="T170" s="237"/>
      <c r="U170" s="215"/>
    </row>
    <row r="171" ht="16" customHeight="1">
      <c r="A171" t="s" s="216">
        <v>223</v>
      </c>
      <c r="B171" t="s" s="216">
        <v>224</v>
      </c>
      <c r="C171" t="s" s="216">
        <v>657</v>
      </c>
      <c r="D171" s="245">
        <v>1000</v>
      </c>
      <c r="E171" t="s" s="216">
        <v>743</v>
      </c>
      <c r="F171" s="245">
        <v>1707100711</v>
      </c>
      <c r="G171" s="244">
        <v>42562</v>
      </c>
      <c r="H171" s="244">
        <v>42926</v>
      </c>
      <c r="I171" s="245">
        <v>1</v>
      </c>
      <c r="J171" s="245">
        <v>0</v>
      </c>
      <c r="K171" t="s" s="216">
        <v>659</v>
      </c>
      <c r="L171" s="245">
        <v>364</v>
      </c>
      <c r="M171" s="245">
        <v>82</v>
      </c>
      <c r="N171" s="246">
        <v>0.2252747252747253</v>
      </c>
      <c r="O171" s="244">
        <f>H171-0.4*L171</f>
        <v>42780.4</v>
      </c>
      <c r="P171" s="215"/>
      <c r="Q171" t="s" s="266">
        <v>379</v>
      </c>
      <c r="R171" s="259">
        <v>536</v>
      </c>
      <c r="S171" s="61"/>
      <c r="T171" s="237"/>
      <c r="U171" s="215"/>
    </row>
    <row r="172" ht="16" customHeight="1">
      <c r="A172" t="s" s="216">
        <v>223</v>
      </c>
      <c r="B172" t="s" s="216">
        <v>224</v>
      </c>
      <c r="C172" t="s" s="216">
        <v>666</v>
      </c>
      <c r="D172" s="245">
        <v>2000</v>
      </c>
      <c r="E172" t="s" s="216">
        <v>747</v>
      </c>
      <c r="F172" s="245">
        <v>1707100711</v>
      </c>
      <c r="G172" s="244">
        <v>42562</v>
      </c>
      <c r="H172" s="244">
        <v>42926</v>
      </c>
      <c r="I172" s="245">
        <v>918</v>
      </c>
      <c r="J172" s="245">
        <v>0</v>
      </c>
      <c r="K172" t="s" s="216">
        <v>659</v>
      </c>
      <c r="L172" s="245">
        <v>364</v>
      </c>
      <c r="M172" s="245">
        <v>82</v>
      </c>
      <c r="N172" s="246">
        <v>0.2252747252747253</v>
      </c>
      <c r="O172" s="244">
        <f>H172-0.4*L172</f>
        <v>42780.4</v>
      </c>
      <c r="P172" s="239"/>
      <c r="Q172" s="268">
        <v>42770.4</v>
      </c>
      <c r="R172" s="269">
        <v>276</v>
      </c>
      <c r="S172" s="61"/>
      <c r="T172" s="237"/>
      <c r="U172" s="215"/>
    </row>
    <row r="173" ht="16" customHeight="1">
      <c r="A173" t="s" s="216">
        <v>235</v>
      </c>
      <c r="B173" t="s" s="216">
        <v>236</v>
      </c>
      <c r="C173" t="s" s="216">
        <v>666</v>
      </c>
      <c r="D173" s="245">
        <v>2000</v>
      </c>
      <c r="E173" t="s" s="216">
        <v>747</v>
      </c>
      <c r="F173" s="245">
        <v>1707190720</v>
      </c>
      <c r="G173" s="244">
        <v>42571</v>
      </c>
      <c r="H173" s="244">
        <v>42935</v>
      </c>
      <c r="I173" s="245">
        <v>1</v>
      </c>
      <c r="J173" s="245">
        <v>0</v>
      </c>
      <c r="K173" t="s" s="216">
        <v>659</v>
      </c>
      <c r="L173" s="245">
        <v>364</v>
      </c>
      <c r="M173" s="245">
        <v>91</v>
      </c>
      <c r="N173" s="246">
        <v>0.25</v>
      </c>
      <c r="O173" s="244">
        <f>H173-0.4*L173</f>
        <v>42789.4</v>
      </c>
      <c r="P173" s="239"/>
      <c r="Q173" s="268">
        <v>42801.4</v>
      </c>
      <c r="R173" s="271">
        <v>245</v>
      </c>
      <c r="S173" s="61"/>
      <c r="T173" s="237"/>
      <c r="U173" s="215"/>
    </row>
    <row r="174" ht="16" customHeight="1">
      <c r="A174" t="s" s="216">
        <v>235</v>
      </c>
      <c r="B174" t="s" s="216">
        <v>236</v>
      </c>
      <c r="C174" t="s" s="216">
        <v>668</v>
      </c>
      <c r="D174" s="245">
        <v>2000</v>
      </c>
      <c r="E174" t="s" s="216">
        <v>743</v>
      </c>
      <c r="F174" s="245">
        <v>1705160517</v>
      </c>
      <c r="G174" s="244">
        <v>42507</v>
      </c>
      <c r="H174" s="244">
        <v>42871</v>
      </c>
      <c r="I174" s="245">
        <v>8</v>
      </c>
      <c r="J174" s="245">
        <v>0</v>
      </c>
      <c r="K174" t="s" s="216">
        <v>659</v>
      </c>
      <c r="L174" s="245">
        <v>364</v>
      </c>
      <c r="M174" s="245">
        <v>27</v>
      </c>
      <c r="N174" s="246">
        <v>0.07417582417582418</v>
      </c>
      <c r="O174" s="244">
        <f>H174-0.4*L174</f>
        <v>42725.4</v>
      </c>
      <c r="P174" s="239"/>
      <c r="Q174" s="268">
        <v>42740.4</v>
      </c>
      <c r="R174" s="273">
        <v>15</v>
      </c>
      <c r="S174" s="61"/>
      <c r="T174" s="237"/>
      <c r="U174" s="215"/>
    </row>
    <row r="175" ht="16" customHeight="1">
      <c r="A175" t="s" s="216">
        <v>247</v>
      </c>
      <c r="B175" t="s" s="216">
        <v>248</v>
      </c>
      <c r="C175" t="s" s="216">
        <v>657</v>
      </c>
      <c r="D175" s="245">
        <v>1000</v>
      </c>
      <c r="E175" t="s" s="216">
        <v>743</v>
      </c>
      <c r="F175" s="245">
        <v>1705300531</v>
      </c>
      <c r="G175" s="244">
        <v>42521</v>
      </c>
      <c r="H175" s="244">
        <v>42885</v>
      </c>
      <c r="I175" s="245">
        <v>1</v>
      </c>
      <c r="J175" s="245">
        <v>0</v>
      </c>
      <c r="K175" t="s" s="216">
        <v>659</v>
      </c>
      <c r="L175" s="245">
        <v>364</v>
      </c>
      <c r="M175" s="245">
        <v>41</v>
      </c>
      <c r="N175" s="246">
        <v>0.1126373626373626</v>
      </c>
      <c r="O175" s="244">
        <f>H175-0.4*L175</f>
        <v>42739.4</v>
      </c>
      <c r="P175" s="215"/>
      <c r="Q175" t="s" s="266">
        <v>391</v>
      </c>
      <c r="R175" s="259">
        <v>267</v>
      </c>
      <c r="S175" s="61"/>
      <c r="T175" s="237"/>
      <c r="U175" s="215"/>
    </row>
    <row r="176" ht="16" customHeight="1">
      <c r="A176" t="s" s="216">
        <v>247</v>
      </c>
      <c r="B176" t="s" s="216">
        <v>248</v>
      </c>
      <c r="C176" t="s" s="216">
        <v>657</v>
      </c>
      <c r="D176" s="245">
        <v>1628</v>
      </c>
      <c r="E176" t="s" s="216">
        <v>746</v>
      </c>
      <c r="F176" s="245">
        <v>1707140715</v>
      </c>
      <c r="G176" s="244">
        <v>42566</v>
      </c>
      <c r="H176" s="244">
        <v>42930</v>
      </c>
      <c r="I176" s="245">
        <v>1</v>
      </c>
      <c r="J176" s="245">
        <v>0</v>
      </c>
      <c r="K176" t="s" s="216">
        <v>659</v>
      </c>
      <c r="L176" s="245">
        <v>364</v>
      </c>
      <c r="M176" s="245">
        <v>86</v>
      </c>
      <c r="N176" s="246">
        <v>0.2362637362637363</v>
      </c>
      <c r="O176" s="244">
        <f>H176-0.4*L176</f>
        <v>42784.4</v>
      </c>
      <c r="P176" s="239"/>
      <c r="Q176" s="268">
        <v>42770.4</v>
      </c>
      <c r="R176" s="269">
        <v>34</v>
      </c>
      <c r="S176" s="61"/>
      <c r="T176" s="237"/>
      <c r="U176" s="215"/>
    </row>
    <row r="177" ht="16" customHeight="1">
      <c r="A177" t="s" s="216">
        <v>247</v>
      </c>
      <c r="B177" t="s" s="216">
        <v>248</v>
      </c>
      <c r="C177" t="s" s="216">
        <v>666</v>
      </c>
      <c r="D177" s="245">
        <v>2000</v>
      </c>
      <c r="E177" t="s" s="216">
        <v>747</v>
      </c>
      <c r="F177" s="245">
        <v>1707140715</v>
      </c>
      <c r="G177" s="244">
        <v>42566</v>
      </c>
      <c r="H177" s="244">
        <v>42930</v>
      </c>
      <c r="I177" s="245">
        <v>1462</v>
      </c>
      <c r="J177" s="245">
        <v>0</v>
      </c>
      <c r="K177" t="s" s="216">
        <v>659</v>
      </c>
      <c r="L177" s="245">
        <v>364</v>
      </c>
      <c r="M177" s="245">
        <v>86</v>
      </c>
      <c r="N177" s="246">
        <v>0.2362637362637363</v>
      </c>
      <c r="O177" s="244">
        <f>H177-0.4*L177</f>
        <v>42784.4</v>
      </c>
      <c r="P177" s="239"/>
      <c r="Q177" s="268">
        <v>42801.4</v>
      </c>
      <c r="R177" s="271">
        <v>228</v>
      </c>
      <c r="S177" s="61"/>
      <c r="T177" s="237"/>
      <c r="U177" s="215"/>
    </row>
    <row r="178" ht="16" customHeight="1">
      <c r="A178" t="s" s="216">
        <v>259</v>
      </c>
      <c r="B178" t="s" s="216">
        <v>260</v>
      </c>
      <c r="C178" t="s" s="216">
        <v>657</v>
      </c>
      <c r="D178" s="245">
        <v>1000</v>
      </c>
      <c r="E178" t="s" s="216">
        <v>743</v>
      </c>
      <c r="F178" s="245">
        <v>1705310601</v>
      </c>
      <c r="G178" s="244">
        <v>42522</v>
      </c>
      <c r="H178" s="244">
        <v>42886</v>
      </c>
      <c r="I178" s="245">
        <v>668</v>
      </c>
      <c r="J178" s="245">
        <v>0</v>
      </c>
      <c r="K178" t="s" s="216">
        <v>659</v>
      </c>
      <c r="L178" s="245">
        <v>364</v>
      </c>
      <c r="M178" s="245">
        <v>42</v>
      </c>
      <c r="N178" s="246">
        <v>0.1153846153846154</v>
      </c>
      <c r="O178" s="244">
        <f>H178-0.4*L178</f>
        <v>42740.4</v>
      </c>
      <c r="P178" s="239"/>
      <c r="Q178" s="268">
        <v>42923.4</v>
      </c>
      <c r="R178" s="273">
        <v>5</v>
      </c>
      <c r="S178" s="61"/>
      <c r="T178" s="237"/>
      <c r="U178" s="215"/>
    </row>
    <row r="179" ht="16" customHeight="1">
      <c r="A179" t="s" s="216">
        <v>259</v>
      </c>
      <c r="B179" t="s" s="216">
        <v>260</v>
      </c>
      <c r="C179" t="s" s="216">
        <v>657</v>
      </c>
      <c r="D179" s="245">
        <v>1000</v>
      </c>
      <c r="E179" t="s" s="216">
        <v>743</v>
      </c>
      <c r="F179" s="245">
        <v>1706300701</v>
      </c>
      <c r="G179" s="244">
        <v>42552</v>
      </c>
      <c r="H179" s="244">
        <v>42916</v>
      </c>
      <c r="I179" s="245">
        <v>385</v>
      </c>
      <c r="J179" s="245">
        <v>0</v>
      </c>
      <c r="K179" t="s" s="216">
        <v>659</v>
      </c>
      <c r="L179" s="245">
        <v>364</v>
      </c>
      <c r="M179" s="245">
        <v>72</v>
      </c>
      <c r="N179" s="246">
        <v>0.1978021978021978</v>
      </c>
      <c r="O179" s="244">
        <f>H179-0.4*L179</f>
        <v>42770.4</v>
      </c>
      <c r="P179" s="215"/>
      <c r="Q179" t="s" s="266">
        <v>403</v>
      </c>
      <c r="R179" s="259">
        <v>200</v>
      </c>
      <c r="S179" s="61"/>
      <c r="T179" s="237"/>
      <c r="U179" s="215"/>
    </row>
    <row r="180" ht="16" customHeight="1">
      <c r="A180" t="s" s="216">
        <v>259</v>
      </c>
      <c r="B180" t="s" s="216">
        <v>260</v>
      </c>
      <c r="C180" t="s" s="216">
        <v>657</v>
      </c>
      <c r="D180" s="245">
        <v>1000</v>
      </c>
      <c r="E180" t="s" s="216">
        <v>743</v>
      </c>
      <c r="F180" s="245">
        <v>1707310801</v>
      </c>
      <c r="G180" s="244">
        <v>42583</v>
      </c>
      <c r="H180" s="244">
        <v>42947</v>
      </c>
      <c r="I180" s="245">
        <v>5</v>
      </c>
      <c r="J180" s="245">
        <v>0</v>
      </c>
      <c r="K180" t="s" s="216">
        <v>659</v>
      </c>
      <c r="L180" s="245">
        <v>364</v>
      </c>
      <c r="M180" s="245">
        <v>103</v>
      </c>
      <c r="N180" s="246">
        <v>0.282967032967033</v>
      </c>
      <c r="O180" s="244">
        <f>H180-0.4*L180</f>
        <v>42801.4</v>
      </c>
      <c r="P180" s="239"/>
      <c r="Q180" s="268">
        <v>42770.4</v>
      </c>
      <c r="R180" s="269">
        <v>130</v>
      </c>
      <c r="S180" s="61"/>
      <c r="T180" s="237"/>
      <c r="U180" s="215"/>
    </row>
    <row r="181" ht="16" customHeight="1">
      <c r="A181" t="s" s="216">
        <v>259</v>
      </c>
      <c r="B181" t="s" s="216">
        <v>260</v>
      </c>
      <c r="C181" t="s" s="216">
        <v>657</v>
      </c>
      <c r="D181" s="245">
        <v>1000</v>
      </c>
      <c r="E181" t="s" s="216">
        <v>743</v>
      </c>
      <c r="F181" s="245">
        <v>1708310901</v>
      </c>
      <c r="G181" s="244">
        <v>42614</v>
      </c>
      <c r="H181" s="244">
        <v>42978</v>
      </c>
      <c r="I181" s="245">
        <v>14</v>
      </c>
      <c r="J181" s="245">
        <v>0</v>
      </c>
      <c r="K181" t="s" s="216">
        <v>659</v>
      </c>
      <c r="L181" s="245">
        <v>364</v>
      </c>
      <c r="M181" s="245">
        <v>134</v>
      </c>
      <c r="N181" s="246">
        <v>0.3681318681318682</v>
      </c>
      <c r="O181" s="244">
        <f>H181-0.4*L181</f>
        <v>42832.4</v>
      </c>
      <c r="P181" s="239"/>
      <c r="Q181" s="268">
        <v>42740.4</v>
      </c>
      <c r="R181" s="273">
        <v>70</v>
      </c>
      <c r="S181" s="61"/>
      <c r="T181" s="237"/>
      <c r="U181" s="215"/>
    </row>
    <row r="182" ht="16" customHeight="1">
      <c r="A182" t="s" s="216">
        <v>259</v>
      </c>
      <c r="B182" t="s" s="216">
        <v>260</v>
      </c>
      <c r="C182" t="s" s="216">
        <v>657</v>
      </c>
      <c r="D182" s="245">
        <v>1000</v>
      </c>
      <c r="E182" t="s" s="216">
        <v>743</v>
      </c>
      <c r="F182" s="245">
        <v>1710311101</v>
      </c>
      <c r="G182" s="244">
        <v>42675</v>
      </c>
      <c r="H182" s="244">
        <v>43039</v>
      </c>
      <c r="I182" s="245">
        <v>2778</v>
      </c>
      <c r="J182" s="245">
        <v>0</v>
      </c>
      <c r="K182" t="s" s="216">
        <v>659</v>
      </c>
      <c r="L182" s="245">
        <v>364</v>
      </c>
      <c r="M182" s="245">
        <v>195</v>
      </c>
      <c r="N182" s="246">
        <v>0.5357142857142857</v>
      </c>
      <c r="O182" s="244">
        <f>H182-0.4*L182</f>
        <v>42893.4</v>
      </c>
      <c r="P182" s="215"/>
      <c r="Q182" t="s" s="266">
        <v>568</v>
      </c>
      <c r="R182" s="259">
        <v>193</v>
      </c>
      <c r="S182" s="61"/>
      <c r="T182" s="237"/>
      <c r="U182" s="215"/>
    </row>
    <row r="183" ht="16" customHeight="1">
      <c r="A183" t="s" s="216">
        <v>259</v>
      </c>
      <c r="B183" t="s" s="216">
        <v>260</v>
      </c>
      <c r="C183" t="s" s="216">
        <v>666</v>
      </c>
      <c r="D183" s="245">
        <v>2000</v>
      </c>
      <c r="E183" t="s" s="216">
        <v>747</v>
      </c>
      <c r="F183" s="245">
        <v>1705310601</v>
      </c>
      <c r="G183" s="244">
        <v>42522</v>
      </c>
      <c r="H183" s="244">
        <v>42886</v>
      </c>
      <c r="I183" s="245">
        <v>113</v>
      </c>
      <c r="J183" s="245">
        <v>0</v>
      </c>
      <c r="K183" t="s" s="216">
        <v>659</v>
      </c>
      <c r="L183" s="245">
        <v>364</v>
      </c>
      <c r="M183" s="245">
        <v>42</v>
      </c>
      <c r="N183" s="246">
        <v>0.1153846153846154</v>
      </c>
      <c r="O183" s="244">
        <f>H183-0.4*L183</f>
        <v>42740.4</v>
      </c>
      <c r="P183" s="239"/>
      <c r="Q183" s="268">
        <v>42770.4</v>
      </c>
      <c r="R183" s="269">
        <v>10</v>
      </c>
      <c r="S183" s="61"/>
      <c r="T183" s="237"/>
      <c r="U183" s="215"/>
    </row>
    <row r="184" ht="16" customHeight="1">
      <c r="A184" t="s" s="216">
        <v>259</v>
      </c>
      <c r="B184" t="s" s="216">
        <v>260</v>
      </c>
      <c r="C184" t="s" s="216">
        <v>666</v>
      </c>
      <c r="D184" s="245">
        <v>2000</v>
      </c>
      <c r="E184" t="s" s="216">
        <v>747</v>
      </c>
      <c r="F184" s="245">
        <v>1707310801</v>
      </c>
      <c r="G184" s="244">
        <v>42583</v>
      </c>
      <c r="H184" s="244">
        <v>42947</v>
      </c>
      <c r="I184" s="245">
        <v>1</v>
      </c>
      <c r="J184" s="245">
        <v>0</v>
      </c>
      <c r="K184" t="s" s="216">
        <v>659</v>
      </c>
      <c r="L184" s="245">
        <v>364</v>
      </c>
      <c r="M184" s="245">
        <v>103</v>
      </c>
      <c r="N184" s="246">
        <v>0.282967032967033</v>
      </c>
      <c r="O184" s="244">
        <f>H184-0.4*L184</f>
        <v>42801.4</v>
      </c>
      <c r="P184" s="239"/>
      <c r="Q184" s="268">
        <v>42801.4</v>
      </c>
      <c r="R184" s="271">
        <v>23</v>
      </c>
      <c r="S184" s="61"/>
      <c r="T184" s="237"/>
      <c r="U184" s="215"/>
    </row>
    <row r="185" ht="16" customHeight="1">
      <c r="A185" t="s" s="216">
        <v>259</v>
      </c>
      <c r="B185" t="s" s="216">
        <v>260</v>
      </c>
      <c r="C185" t="s" s="216">
        <v>666</v>
      </c>
      <c r="D185" s="245">
        <v>2000</v>
      </c>
      <c r="E185" t="s" s="216">
        <v>747</v>
      </c>
      <c r="F185" s="245">
        <v>1708310901</v>
      </c>
      <c r="G185" s="244">
        <v>42614</v>
      </c>
      <c r="H185" s="244">
        <v>42978</v>
      </c>
      <c r="I185" s="245">
        <v>4</v>
      </c>
      <c r="J185" s="245">
        <v>0</v>
      </c>
      <c r="K185" t="s" s="216">
        <v>659</v>
      </c>
      <c r="L185" s="245">
        <v>364</v>
      </c>
      <c r="M185" s="245">
        <v>134</v>
      </c>
      <c r="N185" s="246">
        <v>0.3681318681318682</v>
      </c>
      <c r="O185" s="244">
        <f>H185-0.4*L185</f>
        <v>42832.4</v>
      </c>
      <c r="P185" s="239"/>
      <c r="Q185" s="268">
        <v>42740.4</v>
      </c>
      <c r="R185" s="271">
        <v>80</v>
      </c>
      <c r="S185" s="61"/>
      <c r="T185" s="237"/>
      <c r="U185" s="215"/>
    </row>
    <row r="186" ht="16" customHeight="1">
      <c r="A186" t="s" s="216">
        <v>259</v>
      </c>
      <c r="B186" t="s" s="216">
        <v>260</v>
      </c>
      <c r="C186" t="s" s="216">
        <v>666</v>
      </c>
      <c r="D186" s="245">
        <v>2000</v>
      </c>
      <c r="E186" t="s" s="216">
        <v>747</v>
      </c>
      <c r="F186" s="245">
        <v>1710311101</v>
      </c>
      <c r="G186" s="244">
        <v>42675</v>
      </c>
      <c r="H186" s="244">
        <v>43039</v>
      </c>
      <c r="I186" s="245">
        <v>4378</v>
      </c>
      <c r="J186" s="245">
        <v>0</v>
      </c>
      <c r="K186" t="s" s="216">
        <v>659</v>
      </c>
      <c r="L186" s="245">
        <v>364</v>
      </c>
      <c r="M186" s="245">
        <v>195</v>
      </c>
      <c r="N186" s="246">
        <v>0.5357142857142857</v>
      </c>
      <c r="O186" s="244">
        <f>H186-0.4*L186</f>
        <v>42893.4</v>
      </c>
      <c r="P186" s="239"/>
      <c r="Q186" s="268">
        <v>42832.4</v>
      </c>
      <c r="R186" s="273">
        <v>80</v>
      </c>
      <c r="S186" s="61"/>
      <c r="T186" s="237"/>
      <c r="U186" s="215"/>
    </row>
    <row r="187" ht="16" customHeight="1">
      <c r="A187" t="s" s="216">
        <v>259</v>
      </c>
      <c r="B187" t="s" s="216">
        <v>260</v>
      </c>
      <c r="C187" t="s" s="216">
        <v>667</v>
      </c>
      <c r="D187" s="245">
        <v>2000</v>
      </c>
      <c r="E187" t="s" s="216">
        <v>743</v>
      </c>
      <c r="F187" s="245">
        <v>1707310801</v>
      </c>
      <c r="G187" s="244">
        <v>42583</v>
      </c>
      <c r="H187" s="244">
        <v>42947</v>
      </c>
      <c r="I187" s="245">
        <v>0</v>
      </c>
      <c r="J187" s="245">
        <v>0</v>
      </c>
      <c r="K187" t="s" s="216">
        <v>659</v>
      </c>
      <c r="L187" s="245">
        <v>364</v>
      </c>
      <c r="M187" s="245">
        <v>103</v>
      </c>
      <c r="N187" s="246">
        <v>0.282967032967033</v>
      </c>
      <c r="O187" s="244">
        <f>H187-0.4*L187</f>
        <v>42801.4</v>
      </c>
      <c r="P187" s="215"/>
      <c r="Q187" t="s" s="266">
        <v>415</v>
      </c>
      <c r="R187" s="259">
        <v>306</v>
      </c>
      <c r="S187" s="61"/>
      <c r="T187" s="237"/>
      <c r="U187" s="215"/>
    </row>
    <row r="188" ht="16" customHeight="1">
      <c r="A188" t="s" s="216">
        <v>259</v>
      </c>
      <c r="B188" t="s" s="216">
        <v>260</v>
      </c>
      <c r="C188" t="s" s="216">
        <v>667</v>
      </c>
      <c r="D188" s="245">
        <v>2000</v>
      </c>
      <c r="E188" t="s" s="216">
        <v>743</v>
      </c>
      <c r="F188" s="245">
        <v>1708310901</v>
      </c>
      <c r="G188" s="244">
        <v>42614</v>
      </c>
      <c r="H188" s="244">
        <v>42978</v>
      </c>
      <c r="I188" s="245">
        <v>68</v>
      </c>
      <c r="J188" s="245">
        <v>0</v>
      </c>
      <c r="K188" t="s" s="216">
        <v>659</v>
      </c>
      <c r="L188" s="245">
        <v>364</v>
      </c>
      <c r="M188" s="245">
        <v>134</v>
      </c>
      <c r="N188" s="246">
        <v>0.3681318681318682</v>
      </c>
      <c r="O188" s="244">
        <f>H188-0.4*L188</f>
        <v>42832.4</v>
      </c>
      <c r="P188" s="239"/>
      <c r="Q188" s="268">
        <v>42740.4</v>
      </c>
      <c r="R188" s="269">
        <v>226</v>
      </c>
      <c r="S188" s="61"/>
      <c r="T188" s="237"/>
      <c r="U188" s="215"/>
    </row>
    <row r="189" ht="16" customHeight="1">
      <c r="A189" t="s" s="216">
        <v>259</v>
      </c>
      <c r="B189" t="s" s="216">
        <v>260</v>
      </c>
      <c r="C189" t="s" s="216">
        <v>668</v>
      </c>
      <c r="D189" s="245">
        <v>2000</v>
      </c>
      <c r="E189" t="s" s="216">
        <v>743</v>
      </c>
      <c r="F189" s="245">
        <v>1705310601</v>
      </c>
      <c r="G189" s="244">
        <v>42522</v>
      </c>
      <c r="H189" s="244">
        <v>42886</v>
      </c>
      <c r="I189" s="245">
        <v>811</v>
      </c>
      <c r="J189" s="245">
        <v>0</v>
      </c>
      <c r="K189" t="s" s="216">
        <v>659</v>
      </c>
      <c r="L189" s="245">
        <v>364</v>
      </c>
      <c r="M189" s="245">
        <v>42</v>
      </c>
      <c r="N189" s="246">
        <v>0.1153846153846154</v>
      </c>
      <c r="O189" s="244">
        <f>H189-0.4*L189</f>
        <v>42740.4</v>
      </c>
      <c r="P189" s="239"/>
      <c r="Q189" s="268">
        <v>42862.4</v>
      </c>
      <c r="R189" s="273">
        <v>80</v>
      </c>
      <c r="S189" s="61"/>
      <c r="T189" s="237"/>
      <c r="U189" s="215"/>
    </row>
    <row r="190" ht="16" customHeight="1">
      <c r="A190" t="s" s="216">
        <v>259</v>
      </c>
      <c r="B190" t="s" s="216">
        <v>260</v>
      </c>
      <c r="C190" t="s" s="216">
        <v>668</v>
      </c>
      <c r="D190" s="245">
        <v>2000</v>
      </c>
      <c r="E190" t="s" s="216">
        <v>743</v>
      </c>
      <c r="F190" s="245">
        <v>1710311101</v>
      </c>
      <c r="G190" s="244">
        <v>42675</v>
      </c>
      <c r="H190" s="244">
        <v>43039</v>
      </c>
      <c r="I190" s="245">
        <v>366</v>
      </c>
      <c r="J190" s="245">
        <v>0</v>
      </c>
      <c r="K190" t="s" s="216">
        <v>659</v>
      </c>
      <c r="L190" s="245">
        <v>364</v>
      </c>
      <c r="M190" s="245">
        <v>195</v>
      </c>
      <c r="N190" s="246">
        <v>0.5357142857142857</v>
      </c>
      <c r="O190" s="244">
        <f>H190-0.4*L190</f>
        <v>42893.4</v>
      </c>
      <c r="P190" s="215"/>
      <c r="Q190" t="s" s="266">
        <v>427</v>
      </c>
      <c r="R190" s="259">
        <v>2278</v>
      </c>
      <c r="S190" s="61"/>
      <c r="T190" s="237"/>
      <c r="U190" s="215"/>
    </row>
    <row r="191" ht="16" customHeight="1">
      <c r="A191" t="s" s="216">
        <v>271</v>
      </c>
      <c r="B191" t="s" s="216">
        <v>272</v>
      </c>
      <c r="C191" t="s" s="216">
        <v>657</v>
      </c>
      <c r="D191" s="245">
        <v>1000</v>
      </c>
      <c r="E191" t="s" s="216">
        <v>743</v>
      </c>
      <c r="F191" s="245">
        <v>1706300701</v>
      </c>
      <c r="G191" s="244">
        <v>42552</v>
      </c>
      <c r="H191" s="244">
        <v>42916</v>
      </c>
      <c r="I191" s="245">
        <v>1</v>
      </c>
      <c r="J191" s="245">
        <v>0</v>
      </c>
      <c r="K191" t="s" s="216">
        <v>659</v>
      </c>
      <c r="L191" s="245">
        <v>364</v>
      </c>
      <c r="M191" s="245">
        <v>72</v>
      </c>
      <c r="N191" s="246">
        <v>0.1978021978021978</v>
      </c>
      <c r="O191" s="244">
        <f>H191-0.4*L191</f>
        <v>42770.4</v>
      </c>
      <c r="P191" s="239"/>
      <c r="Q191" s="268">
        <v>42770.4</v>
      </c>
      <c r="R191" s="269">
        <v>8</v>
      </c>
      <c r="S191" s="61"/>
      <c r="T191" s="237"/>
      <c r="U191" s="215"/>
    </row>
    <row r="192" ht="16" customHeight="1">
      <c r="A192" t="s" s="216">
        <v>271</v>
      </c>
      <c r="B192" t="s" s="216">
        <v>272</v>
      </c>
      <c r="C192" t="s" s="216">
        <v>657</v>
      </c>
      <c r="D192" s="245">
        <v>1000</v>
      </c>
      <c r="E192" t="s" s="216">
        <v>743</v>
      </c>
      <c r="F192" s="245">
        <v>1708310901</v>
      </c>
      <c r="G192" s="244">
        <v>42614</v>
      </c>
      <c r="H192" s="244">
        <v>42978</v>
      </c>
      <c r="I192" s="245">
        <v>66</v>
      </c>
      <c r="J192" s="245">
        <v>0</v>
      </c>
      <c r="K192" t="s" s="216">
        <v>659</v>
      </c>
      <c r="L192" s="245">
        <v>364</v>
      </c>
      <c r="M192" s="245">
        <v>134</v>
      </c>
      <c r="N192" s="246">
        <v>0.3681318681318682</v>
      </c>
      <c r="O192" s="244">
        <f>H192-0.4*L192</f>
        <v>42832.4</v>
      </c>
      <c r="P192" s="239"/>
      <c r="Q192" s="268">
        <v>42801.4</v>
      </c>
      <c r="R192" s="271">
        <v>6</v>
      </c>
      <c r="S192" s="61"/>
      <c r="T192" s="237"/>
      <c r="U192" s="215"/>
    </row>
    <row r="193" ht="16" customHeight="1">
      <c r="A193" t="s" s="216">
        <v>271</v>
      </c>
      <c r="B193" t="s" s="216">
        <v>272</v>
      </c>
      <c r="C193" t="s" s="216">
        <v>666</v>
      </c>
      <c r="D193" s="245">
        <v>2000</v>
      </c>
      <c r="E193" t="s" s="216">
        <v>747</v>
      </c>
      <c r="F193" s="245">
        <v>1707310801</v>
      </c>
      <c r="G193" s="244">
        <v>42583</v>
      </c>
      <c r="H193" s="244">
        <v>42947</v>
      </c>
      <c r="I193" s="245">
        <v>390</v>
      </c>
      <c r="J193" s="245">
        <v>0</v>
      </c>
      <c r="K193" t="s" s="216">
        <v>659</v>
      </c>
      <c r="L193" s="245">
        <v>364</v>
      </c>
      <c r="M193" s="245">
        <v>103</v>
      </c>
      <c r="N193" s="246">
        <v>0.282967032967033</v>
      </c>
      <c r="O193" s="244">
        <f>H193-0.4*L193</f>
        <v>42801.4</v>
      </c>
      <c r="P193" s="239"/>
      <c r="Q193" s="268">
        <v>42893.4</v>
      </c>
      <c r="R193" s="271">
        <v>7</v>
      </c>
      <c r="S193" s="61"/>
      <c r="T193" s="237"/>
      <c r="U193" s="215"/>
    </row>
    <row r="194" ht="16" customHeight="1">
      <c r="A194" t="s" s="216">
        <v>271</v>
      </c>
      <c r="B194" t="s" s="216">
        <v>272</v>
      </c>
      <c r="C194" t="s" s="216">
        <v>666</v>
      </c>
      <c r="D194" s="245">
        <v>2000</v>
      </c>
      <c r="E194" t="s" s="216">
        <v>747</v>
      </c>
      <c r="F194" s="245">
        <v>1708310901</v>
      </c>
      <c r="G194" s="244">
        <v>42614</v>
      </c>
      <c r="H194" s="244">
        <v>42978</v>
      </c>
      <c r="I194" s="245">
        <v>754</v>
      </c>
      <c r="J194" s="245">
        <v>0</v>
      </c>
      <c r="K194" t="s" s="216">
        <v>659</v>
      </c>
      <c r="L194" s="245">
        <v>364</v>
      </c>
      <c r="M194" s="245">
        <v>134</v>
      </c>
      <c r="N194" s="246">
        <v>0.3681318681318682</v>
      </c>
      <c r="O194" s="244">
        <f>H194-0.4*L194</f>
        <v>42832.4</v>
      </c>
      <c r="P194" s="239"/>
      <c r="Q194" s="268">
        <v>42923.4</v>
      </c>
      <c r="R194" s="271">
        <v>1584</v>
      </c>
      <c r="S194" s="61"/>
      <c r="T194" s="237"/>
      <c r="U194" s="215"/>
    </row>
    <row r="195" ht="16" customHeight="1">
      <c r="A195" t="s" s="216">
        <v>271</v>
      </c>
      <c r="B195" t="s" s="216">
        <v>272</v>
      </c>
      <c r="C195" t="s" s="216">
        <v>668</v>
      </c>
      <c r="D195" s="245">
        <v>2000</v>
      </c>
      <c r="E195" t="s" s="216">
        <v>743</v>
      </c>
      <c r="F195" s="245">
        <v>1707310801</v>
      </c>
      <c r="G195" s="244">
        <v>42583</v>
      </c>
      <c r="H195" s="244">
        <v>42947</v>
      </c>
      <c r="I195" s="245">
        <v>629</v>
      </c>
      <c r="J195" s="245">
        <v>0</v>
      </c>
      <c r="K195" t="s" s="216">
        <v>659</v>
      </c>
      <c r="L195" s="245">
        <v>364</v>
      </c>
      <c r="M195" s="245">
        <v>103</v>
      </c>
      <c r="N195" s="246">
        <v>0.282967032967033</v>
      </c>
      <c r="O195" s="244">
        <f>H195-0.4*L195</f>
        <v>42801.4</v>
      </c>
      <c r="P195" s="239"/>
      <c r="Q195" s="268">
        <v>42832.4</v>
      </c>
      <c r="R195" s="273">
        <v>673</v>
      </c>
      <c r="S195" s="61"/>
      <c r="T195" s="237"/>
      <c r="U195" s="215"/>
    </row>
    <row r="196" ht="16" customHeight="1">
      <c r="A196" t="s" s="216">
        <v>271</v>
      </c>
      <c r="B196" t="s" s="216">
        <v>272</v>
      </c>
      <c r="C196" t="s" s="216">
        <v>668</v>
      </c>
      <c r="D196" s="245">
        <v>2000</v>
      </c>
      <c r="E196" t="s" s="216">
        <v>743</v>
      </c>
      <c r="F196" s="245">
        <v>1708310901</v>
      </c>
      <c r="G196" s="244">
        <v>42614</v>
      </c>
      <c r="H196" s="244">
        <v>42978</v>
      </c>
      <c r="I196" s="245">
        <v>35</v>
      </c>
      <c r="J196" s="245">
        <v>0</v>
      </c>
      <c r="K196" t="s" s="216">
        <v>659</v>
      </c>
      <c r="L196" s="245">
        <v>364</v>
      </c>
      <c r="M196" s="245">
        <v>134</v>
      </c>
      <c r="N196" s="246">
        <v>0.3681318681318682</v>
      </c>
      <c r="O196" s="244">
        <f>H196-0.4*L196</f>
        <v>42832.4</v>
      </c>
      <c r="P196" s="215"/>
      <c r="Q196" t="s" s="266">
        <v>439</v>
      </c>
      <c r="R196" s="259">
        <v>13457</v>
      </c>
      <c r="S196" s="61"/>
      <c r="T196" s="237"/>
      <c r="U196" s="215"/>
    </row>
    <row r="197" ht="16" customHeight="1">
      <c r="A197" t="s" s="216">
        <v>283</v>
      </c>
      <c r="B197" t="s" s="216">
        <v>284</v>
      </c>
      <c r="C197" t="s" s="216">
        <v>667</v>
      </c>
      <c r="D197" s="245">
        <v>2000</v>
      </c>
      <c r="E197" t="s" s="216">
        <v>743</v>
      </c>
      <c r="F197" s="245">
        <v>1707200721</v>
      </c>
      <c r="G197" s="244">
        <v>42572</v>
      </c>
      <c r="H197" s="244">
        <v>42936</v>
      </c>
      <c r="I197" s="245">
        <v>252</v>
      </c>
      <c r="J197" s="245">
        <v>0</v>
      </c>
      <c r="K197" t="s" s="216">
        <v>659</v>
      </c>
      <c r="L197" s="245">
        <v>364</v>
      </c>
      <c r="M197" s="245">
        <v>92</v>
      </c>
      <c r="N197" s="246">
        <v>0.2527472527472527</v>
      </c>
      <c r="O197" s="244">
        <f>H197-0.4*L197</f>
        <v>42790.4</v>
      </c>
      <c r="P197" s="239"/>
      <c r="Q197" s="268">
        <v>42743.4</v>
      </c>
      <c r="R197" s="269">
        <v>5278</v>
      </c>
      <c r="S197" s="61"/>
      <c r="T197" s="237"/>
      <c r="U197" s="215"/>
    </row>
    <row r="198" ht="16" customHeight="1">
      <c r="A198" t="s" s="216">
        <v>283</v>
      </c>
      <c r="B198" t="s" s="216">
        <v>284</v>
      </c>
      <c r="C198" t="s" s="216">
        <v>668</v>
      </c>
      <c r="D198" s="245">
        <v>2000</v>
      </c>
      <c r="E198" t="s" s="216">
        <v>743</v>
      </c>
      <c r="F198" s="245">
        <v>1706160617</v>
      </c>
      <c r="G198" s="244">
        <v>42538</v>
      </c>
      <c r="H198" s="244">
        <v>42902</v>
      </c>
      <c r="I198" s="245">
        <v>270</v>
      </c>
      <c r="J198" s="245">
        <v>0</v>
      </c>
      <c r="K198" t="s" s="216">
        <v>659</v>
      </c>
      <c r="L198" s="245">
        <v>364</v>
      </c>
      <c r="M198" s="245">
        <v>58</v>
      </c>
      <c r="N198" s="246">
        <v>0.1593406593406593</v>
      </c>
      <c r="O198" s="244">
        <f>H198-0.4*L198</f>
        <v>42756.4</v>
      </c>
      <c r="P198" s="239"/>
      <c r="Q198" s="268">
        <v>42803.4</v>
      </c>
      <c r="R198" s="271">
        <v>7831</v>
      </c>
      <c r="S198" s="61"/>
      <c r="T198" s="237"/>
      <c r="U198" s="215"/>
    </row>
    <row r="199" ht="16" customHeight="1">
      <c r="A199" t="s" s="216">
        <v>283</v>
      </c>
      <c r="B199" t="s" s="216">
        <v>284</v>
      </c>
      <c r="C199" t="s" s="216">
        <v>668</v>
      </c>
      <c r="D199" s="245">
        <v>2000</v>
      </c>
      <c r="E199" t="s" s="216">
        <v>743</v>
      </c>
      <c r="F199" s="245">
        <v>1708150816</v>
      </c>
      <c r="G199" s="244">
        <v>42598</v>
      </c>
      <c r="H199" s="244">
        <v>42962</v>
      </c>
      <c r="I199" s="245">
        <v>80</v>
      </c>
      <c r="J199" s="245">
        <v>0</v>
      </c>
      <c r="K199" t="s" s="216">
        <v>659</v>
      </c>
      <c r="L199" s="245">
        <v>364</v>
      </c>
      <c r="M199" s="245">
        <v>118</v>
      </c>
      <c r="N199" s="246">
        <v>0.3241758241758242</v>
      </c>
      <c r="O199" s="244">
        <f>H199-0.4*L199</f>
        <v>42816.4</v>
      </c>
      <c r="P199" s="239"/>
      <c r="Q199" s="268">
        <v>42834.4</v>
      </c>
      <c r="R199" s="273">
        <v>348</v>
      </c>
      <c r="S199" s="61"/>
      <c r="T199" s="237"/>
      <c r="U199" s="215"/>
    </row>
    <row r="200" ht="16" customHeight="1">
      <c r="A200" t="s" s="216">
        <v>295</v>
      </c>
      <c r="B200" t="s" s="216">
        <v>296</v>
      </c>
      <c r="C200" t="s" s="216">
        <v>657</v>
      </c>
      <c r="D200" s="245">
        <v>1000</v>
      </c>
      <c r="E200" t="s" s="216">
        <v>743</v>
      </c>
      <c r="F200" s="245">
        <v>1707310801</v>
      </c>
      <c r="G200" s="244">
        <v>42583</v>
      </c>
      <c r="H200" s="244">
        <v>42947</v>
      </c>
      <c r="I200" s="245">
        <v>78</v>
      </c>
      <c r="J200" s="245">
        <v>0</v>
      </c>
      <c r="K200" t="s" s="216">
        <v>659</v>
      </c>
      <c r="L200" s="245">
        <v>364</v>
      </c>
      <c r="M200" s="245">
        <v>103</v>
      </c>
      <c r="N200" s="246">
        <v>0.282967032967033</v>
      </c>
      <c r="O200" s="244">
        <f>H200-0.4*L200</f>
        <v>42801.4</v>
      </c>
      <c r="P200" s="215"/>
      <c r="Q200" t="s" s="266">
        <v>451</v>
      </c>
      <c r="R200" s="259">
        <v>371</v>
      </c>
      <c r="S200" s="61"/>
      <c r="T200" s="237"/>
      <c r="U200" s="215"/>
    </row>
    <row r="201" ht="16" customHeight="1">
      <c r="A201" t="s" s="216">
        <v>295</v>
      </c>
      <c r="B201" t="s" s="216">
        <v>296</v>
      </c>
      <c r="C201" t="s" s="216">
        <v>666</v>
      </c>
      <c r="D201" s="245">
        <v>2000</v>
      </c>
      <c r="E201" t="s" s="216">
        <v>747</v>
      </c>
      <c r="F201" s="245">
        <v>1706300701</v>
      </c>
      <c r="G201" s="244">
        <v>42552</v>
      </c>
      <c r="H201" s="244">
        <v>42916</v>
      </c>
      <c r="I201" s="245">
        <v>1</v>
      </c>
      <c r="J201" s="245">
        <v>0</v>
      </c>
      <c r="K201" t="s" s="216">
        <v>659</v>
      </c>
      <c r="L201" s="245">
        <v>364</v>
      </c>
      <c r="M201" s="245">
        <v>72</v>
      </c>
      <c r="N201" s="246">
        <v>0.1978021978021978</v>
      </c>
      <c r="O201" s="244">
        <f>H201-0.4*L201</f>
        <v>42770.4</v>
      </c>
      <c r="P201" s="239"/>
      <c r="Q201" s="268">
        <v>42770.4</v>
      </c>
      <c r="R201" s="269">
        <v>178</v>
      </c>
      <c r="S201" s="61"/>
      <c r="T201" s="237"/>
      <c r="U201" s="215"/>
    </row>
    <row r="202" ht="16" customHeight="1">
      <c r="A202" t="s" s="216">
        <v>295</v>
      </c>
      <c r="B202" t="s" s="216">
        <v>296</v>
      </c>
      <c r="C202" t="s" s="216">
        <v>666</v>
      </c>
      <c r="D202" s="245">
        <v>2000</v>
      </c>
      <c r="E202" t="s" s="216">
        <v>747</v>
      </c>
      <c r="F202" s="245">
        <v>1707310801</v>
      </c>
      <c r="G202" s="244">
        <v>42583</v>
      </c>
      <c r="H202" s="244">
        <v>42947</v>
      </c>
      <c r="I202" s="245">
        <v>199</v>
      </c>
      <c r="J202" s="245">
        <v>0</v>
      </c>
      <c r="K202" t="s" s="216">
        <v>659</v>
      </c>
      <c r="L202" s="245">
        <v>364</v>
      </c>
      <c r="M202" s="245">
        <v>103</v>
      </c>
      <c r="N202" s="246">
        <v>0.282967032967033</v>
      </c>
      <c r="O202" s="244">
        <f>H202-0.4*L202</f>
        <v>42801.4</v>
      </c>
      <c r="P202" s="239"/>
      <c r="Q202" s="268">
        <v>42801.4</v>
      </c>
      <c r="R202" s="273">
        <v>193</v>
      </c>
      <c r="S202" s="61"/>
      <c r="T202" s="237"/>
      <c r="U202" s="215"/>
    </row>
    <row r="203" ht="16" customHeight="1">
      <c r="A203" t="s" s="216">
        <v>295</v>
      </c>
      <c r="B203" t="s" s="216">
        <v>296</v>
      </c>
      <c r="C203" t="s" s="216">
        <v>667</v>
      </c>
      <c r="D203" s="245">
        <v>2000</v>
      </c>
      <c r="E203" t="s" s="216">
        <v>743</v>
      </c>
      <c r="F203" s="245">
        <v>1707310801</v>
      </c>
      <c r="G203" s="244">
        <v>42583</v>
      </c>
      <c r="H203" s="244">
        <v>42947</v>
      </c>
      <c r="I203" s="245">
        <v>20</v>
      </c>
      <c r="J203" s="245">
        <v>0</v>
      </c>
      <c r="K203" t="s" s="216">
        <v>659</v>
      </c>
      <c r="L203" s="245">
        <v>364</v>
      </c>
      <c r="M203" s="245">
        <v>103</v>
      </c>
      <c r="N203" s="246">
        <v>0.282967032967033</v>
      </c>
      <c r="O203" s="244">
        <f>H203-0.4*L203</f>
        <v>42801.4</v>
      </c>
      <c r="P203" s="215"/>
      <c r="Q203" t="s" s="266">
        <v>555</v>
      </c>
      <c r="R203" s="259">
        <v>11</v>
      </c>
      <c r="S203" s="61"/>
      <c r="T203" s="237"/>
      <c r="U203" s="215"/>
    </row>
    <row r="204" ht="16" customHeight="1">
      <c r="A204" t="s" s="216">
        <v>295</v>
      </c>
      <c r="B204" t="s" s="216">
        <v>296</v>
      </c>
      <c r="C204" t="s" s="216">
        <v>667</v>
      </c>
      <c r="D204" s="245">
        <v>2000</v>
      </c>
      <c r="E204" t="s" s="216">
        <v>743</v>
      </c>
      <c r="F204" s="245">
        <v>1708310901</v>
      </c>
      <c r="G204" s="244">
        <v>42614</v>
      </c>
      <c r="H204" s="244">
        <v>42978</v>
      </c>
      <c r="I204" s="245">
        <v>0</v>
      </c>
      <c r="J204" s="245">
        <v>0</v>
      </c>
      <c r="K204" t="s" s="216">
        <v>659</v>
      </c>
      <c r="L204" s="245">
        <v>364</v>
      </c>
      <c r="M204" s="245">
        <v>134</v>
      </c>
      <c r="N204" s="246">
        <v>0.3681318681318682</v>
      </c>
      <c r="O204" s="244">
        <f>H204-0.4*L204</f>
        <v>42832.4</v>
      </c>
      <c r="P204" s="239"/>
      <c r="Q204" s="268">
        <v>42709.4</v>
      </c>
      <c r="R204" s="269">
        <v>10</v>
      </c>
      <c r="S204" s="61"/>
      <c r="T204" s="237"/>
      <c r="U204" s="215"/>
    </row>
    <row r="205" ht="16" customHeight="1">
      <c r="A205" t="s" s="216">
        <v>295</v>
      </c>
      <c r="B205" t="s" s="216">
        <v>296</v>
      </c>
      <c r="C205" t="s" s="216">
        <v>668</v>
      </c>
      <c r="D205" s="245">
        <v>2000</v>
      </c>
      <c r="E205" t="s" s="216">
        <v>743</v>
      </c>
      <c r="F205" s="245">
        <v>1706300701</v>
      </c>
      <c r="G205" s="244">
        <v>42552</v>
      </c>
      <c r="H205" s="244">
        <v>42916</v>
      </c>
      <c r="I205" s="245">
        <v>116</v>
      </c>
      <c r="J205" s="245">
        <v>0</v>
      </c>
      <c r="K205" t="s" s="216">
        <v>659</v>
      </c>
      <c r="L205" s="245">
        <v>364</v>
      </c>
      <c r="M205" s="245">
        <v>72</v>
      </c>
      <c r="N205" s="246">
        <v>0.1978021978021978</v>
      </c>
      <c r="O205" s="244">
        <f>H205-0.4*L205</f>
        <v>42770.4</v>
      </c>
      <c r="P205" s="239"/>
      <c r="Q205" s="268">
        <v>42770.4</v>
      </c>
      <c r="R205" s="273">
        <v>1</v>
      </c>
      <c r="S205" s="61"/>
      <c r="T205" s="237"/>
      <c r="U205" s="215"/>
    </row>
    <row r="206" ht="16" customHeight="1">
      <c r="A206" t="s" s="216">
        <v>307</v>
      </c>
      <c r="B206" t="s" s="216">
        <v>308</v>
      </c>
      <c r="C206" t="s" s="216">
        <v>666</v>
      </c>
      <c r="D206" s="245">
        <v>2000</v>
      </c>
      <c r="E206" t="s" s="216">
        <v>747</v>
      </c>
      <c r="F206" s="245">
        <v>1708310901</v>
      </c>
      <c r="G206" s="244">
        <v>42614</v>
      </c>
      <c r="H206" s="244">
        <v>42978</v>
      </c>
      <c r="I206" s="245">
        <v>32</v>
      </c>
      <c r="J206" s="245">
        <v>0</v>
      </c>
      <c r="K206" t="s" s="216">
        <v>659</v>
      </c>
      <c r="L206" s="245">
        <v>364</v>
      </c>
      <c r="M206" s="245">
        <v>134</v>
      </c>
      <c r="N206" s="246">
        <v>0.3681318681318682</v>
      </c>
      <c r="O206" s="244">
        <f>H206-0.4*L206</f>
        <v>42832.4</v>
      </c>
      <c r="P206" s="215"/>
      <c r="Q206" t="s" s="266">
        <v>556</v>
      </c>
      <c r="R206" s="259">
        <v>6656</v>
      </c>
      <c r="S206" s="61"/>
      <c r="T206" s="237"/>
      <c r="U206" s="215"/>
    </row>
    <row r="207" ht="16" customHeight="1">
      <c r="A207" t="s" s="216">
        <v>307</v>
      </c>
      <c r="B207" t="s" s="216">
        <v>308</v>
      </c>
      <c r="C207" t="s" s="216">
        <v>668</v>
      </c>
      <c r="D207" s="245">
        <v>2000</v>
      </c>
      <c r="E207" t="s" s="216">
        <v>743</v>
      </c>
      <c r="F207" s="245">
        <v>1705310601</v>
      </c>
      <c r="G207" s="244">
        <v>42522</v>
      </c>
      <c r="H207" s="244">
        <v>42886</v>
      </c>
      <c r="I207" s="245">
        <v>83</v>
      </c>
      <c r="J207" s="245">
        <v>0</v>
      </c>
      <c r="K207" t="s" s="216">
        <v>659</v>
      </c>
      <c r="L207" s="245">
        <v>364</v>
      </c>
      <c r="M207" s="245">
        <v>42</v>
      </c>
      <c r="N207" s="246">
        <v>0.1153846153846154</v>
      </c>
      <c r="O207" s="244">
        <f>H207-0.4*L207</f>
        <v>42740.4</v>
      </c>
      <c r="P207" s="239"/>
      <c r="Q207" s="268">
        <v>42856.8</v>
      </c>
      <c r="R207" s="259">
        <v>6656</v>
      </c>
      <c r="S207" s="61"/>
      <c r="T207" s="237"/>
      <c r="U207" s="215"/>
    </row>
    <row r="208" ht="16" customHeight="1">
      <c r="A208" t="s" s="216">
        <v>307</v>
      </c>
      <c r="B208" t="s" s="216">
        <v>308</v>
      </c>
      <c r="C208" t="s" s="216">
        <v>668</v>
      </c>
      <c r="D208" s="245">
        <v>2000</v>
      </c>
      <c r="E208" t="s" s="216">
        <v>743</v>
      </c>
      <c r="F208" s="245">
        <v>1708310901</v>
      </c>
      <c r="G208" s="244">
        <v>42614</v>
      </c>
      <c r="H208" s="244">
        <v>42978</v>
      </c>
      <c r="I208" s="245">
        <v>675</v>
      </c>
      <c r="J208" s="245">
        <v>0</v>
      </c>
      <c r="K208" t="s" s="216">
        <v>659</v>
      </c>
      <c r="L208" s="245">
        <v>364</v>
      </c>
      <c r="M208" s="245">
        <v>134</v>
      </c>
      <c r="N208" s="246">
        <v>0.3681318681318682</v>
      </c>
      <c r="O208" s="244">
        <f>H208-0.4*L208</f>
        <v>42832.4</v>
      </c>
      <c r="P208" s="239"/>
      <c r="Q208" t="s" s="261">
        <v>570</v>
      </c>
      <c r="R208" s="262">
        <v>538026</v>
      </c>
      <c r="S208" s="61"/>
      <c r="T208" s="237"/>
      <c r="U208" s="215"/>
    </row>
    <row r="209" ht="16" customHeight="1">
      <c r="A209" t="s" s="216">
        <v>319</v>
      </c>
      <c r="B209" t="s" s="216">
        <v>320</v>
      </c>
      <c r="C209" t="s" s="216">
        <v>657</v>
      </c>
      <c r="D209" s="245">
        <v>1000</v>
      </c>
      <c r="E209" t="s" s="216">
        <v>743</v>
      </c>
      <c r="F209" s="245">
        <v>1707310801</v>
      </c>
      <c r="G209" s="244">
        <v>42583</v>
      </c>
      <c r="H209" s="244">
        <v>42947</v>
      </c>
      <c r="I209" s="245">
        <v>8</v>
      </c>
      <c r="J209" s="245">
        <v>0</v>
      </c>
      <c r="K209" t="s" s="216">
        <v>659</v>
      </c>
      <c r="L209" s="245">
        <v>364</v>
      </c>
      <c r="M209" s="245">
        <v>103</v>
      </c>
      <c r="N209" s="246">
        <v>0.282967032967033</v>
      </c>
      <c r="O209" s="244">
        <f>H209-0.4*L209</f>
        <v>42801.4</v>
      </c>
      <c r="P209" s="215"/>
      <c r="Q209" s="253"/>
      <c r="R209" s="235"/>
      <c r="S209" s="61"/>
      <c r="T209" s="237"/>
      <c r="U209" s="215"/>
    </row>
    <row r="210" ht="16" customHeight="1">
      <c r="A210" t="s" s="216">
        <v>319</v>
      </c>
      <c r="B210" t="s" s="216">
        <v>320</v>
      </c>
      <c r="C210" t="s" s="216">
        <v>666</v>
      </c>
      <c r="D210" s="245">
        <v>2000</v>
      </c>
      <c r="E210" t="s" s="216">
        <v>747</v>
      </c>
      <c r="F210" s="245">
        <v>1706300701</v>
      </c>
      <c r="G210" s="244">
        <v>42552</v>
      </c>
      <c r="H210" s="244">
        <v>42916</v>
      </c>
      <c r="I210" s="245">
        <v>16</v>
      </c>
      <c r="J210" s="245">
        <v>0</v>
      </c>
      <c r="K210" t="s" s="216">
        <v>659</v>
      </c>
      <c r="L210" s="245">
        <v>364</v>
      </c>
      <c r="M210" s="245">
        <v>72</v>
      </c>
      <c r="N210" s="246">
        <v>0.1978021978021978</v>
      </c>
      <c r="O210" s="244">
        <f>H210-0.4*L210</f>
        <v>42770.4</v>
      </c>
      <c r="P210" s="215"/>
      <c r="Q210" s="215"/>
      <c r="R210" s="239"/>
      <c r="S210" s="61"/>
      <c r="T210" s="237"/>
      <c r="U210" s="215"/>
    </row>
    <row r="211" ht="16" customHeight="1">
      <c r="A211" t="s" s="216">
        <v>319</v>
      </c>
      <c r="B211" t="s" s="216">
        <v>320</v>
      </c>
      <c r="C211" t="s" s="216">
        <v>668</v>
      </c>
      <c r="D211" s="245">
        <v>2000</v>
      </c>
      <c r="E211" t="s" s="216">
        <v>743</v>
      </c>
      <c r="F211" s="245">
        <v>1706300701</v>
      </c>
      <c r="G211" s="244">
        <v>42552</v>
      </c>
      <c r="H211" s="244">
        <v>42916</v>
      </c>
      <c r="I211" s="245">
        <v>47</v>
      </c>
      <c r="J211" s="245">
        <v>0</v>
      </c>
      <c r="K211" t="s" s="216">
        <v>659</v>
      </c>
      <c r="L211" s="245">
        <v>364</v>
      </c>
      <c r="M211" s="245">
        <v>72</v>
      </c>
      <c r="N211" s="246">
        <v>0.1978021978021978</v>
      </c>
      <c r="O211" s="244">
        <f>H211-0.4*L211</f>
        <v>42770.4</v>
      </c>
      <c r="P211" s="215"/>
      <c r="Q211" s="215"/>
      <c r="R211" s="239"/>
      <c r="S211" s="61"/>
      <c r="T211" s="237"/>
      <c r="U211" s="215"/>
    </row>
    <row r="212" ht="16" customHeight="1">
      <c r="A212" t="s" s="216">
        <v>319</v>
      </c>
      <c r="B212" t="s" s="216">
        <v>320</v>
      </c>
      <c r="C212" t="s" s="216">
        <v>668</v>
      </c>
      <c r="D212" s="245">
        <v>2000</v>
      </c>
      <c r="E212" t="s" s="216">
        <v>743</v>
      </c>
      <c r="F212" s="245">
        <v>1707310801</v>
      </c>
      <c r="G212" s="244">
        <v>42583</v>
      </c>
      <c r="H212" s="244">
        <v>42947</v>
      </c>
      <c r="I212" s="245">
        <v>343</v>
      </c>
      <c r="J212" s="245">
        <v>0</v>
      </c>
      <c r="K212" t="s" s="216">
        <v>659</v>
      </c>
      <c r="L212" s="245">
        <v>364</v>
      </c>
      <c r="M212" s="245">
        <v>103</v>
      </c>
      <c r="N212" s="246">
        <v>0.282967032967033</v>
      </c>
      <c r="O212" s="244">
        <f>H212-0.4*L212</f>
        <v>42801.4</v>
      </c>
      <c r="P212" s="215"/>
      <c r="Q212" s="215"/>
      <c r="R212" s="239"/>
      <c r="S212" s="61"/>
      <c r="T212" s="237"/>
      <c r="U212" s="215"/>
    </row>
    <row r="213" ht="16" customHeight="1">
      <c r="A213" t="s" s="216">
        <v>331</v>
      </c>
      <c r="B213" t="s" s="216">
        <v>749</v>
      </c>
      <c r="C213" t="s" s="216">
        <v>657</v>
      </c>
      <c r="D213" s="245">
        <v>1000</v>
      </c>
      <c r="E213" t="s" s="216">
        <v>743</v>
      </c>
      <c r="F213" s="245">
        <v>1708310901</v>
      </c>
      <c r="G213" s="244">
        <v>42614</v>
      </c>
      <c r="H213" s="244">
        <v>42978</v>
      </c>
      <c r="I213" s="245">
        <v>4444</v>
      </c>
      <c r="J213" s="245">
        <v>0</v>
      </c>
      <c r="K213" t="s" s="216">
        <v>659</v>
      </c>
      <c r="L213" s="245">
        <v>364</v>
      </c>
      <c r="M213" s="245">
        <v>134</v>
      </c>
      <c r="N213" s="246">
        <v>0.3681318681318682</v>
      </c>
      <c r="O213" s="244">
        <f>H213-0.4*L213</f>
        <v>42832.4</v>
      </c>
      <c r="P213" s="215"/>
      <c r="Q213" s="215"/>
      <c r="R213" s="239"/>
      <c r="S213" s="61"/>
      <c r="T213" s="237"/>
      <c r="U213" s="215"/>
    </row>
    <row r="214" ht="16" customHeight="1">
      <c r="A214" t="s" s="216">
        <v>331</v>
      </c>
      <c r="B214" t="s" s="216">
        <v>749</v>
      </c>
      <c r="C214" t="s" s="216">
        <v>657</v>
      </c>
      <c r="D214" s="245">
        <v>1000</v>
      </c>
      <c r="E214" t="s" s="216">
        <v>743</v>
      </c>
      <c r="F214" s="245">
        <v>1710311101</v>
      </c>
      <c r="G214" s="244">
        <v>42675</v>
      </c>
      <c r="H214" s="244">
        <v>43039</v>
      </c>
      <c r="I214" s="245">
        <v>2817</v>
      </c>
      <c r="J214" s="245">
        <v>0</v>
      </c>
      <c r="K214" t="s" s="216">
        <v>659</v>
      </c>
      <c r="L214" s="245">
        <v>364</v>
      </c>
      <c r="M214" s="245">
        <v>195</v>
      </c>
      <c r="N214" s="246">
        <v>0.5357142857142857</v>
      </c>
      <c r="O214" s="244">
        <f>H214-0.4*L214</f>
        <v>42893.4</v>
      </c>
      <c r="P214" s="215"/>
      <c r="Q214" s="215"/>
      <c r="R214" s="239"/>
      <c r="S214" s="61"/>
      <c r="T214" s="237"/>
      <c r="U214" s="215"/>
    </row>
    <row r="215" ht="16" customHeight="1">
      <c r="A215" t="s" s="216">
        <v>331</v>
      </c>
      <c r="B215" t="s" s="216">
        <v>749</v>
      </c>
      <c r="C215" t="s" s="216">
        <v>666</v>
      </c>
      <c r="D215" s="245">
        <v>2000</v>
      </c>
      <c r="E215" t="s" s="216">
        <v>747</v>
      </c>
      <c r="F215" s="245">
        <v>1707310801</v>
      </c>
      <c r="G215" s="244">
        <v>42583</v>
      </c>
      <c r="H215" s="244">
        <v>42947</v>
      </c>
      <c r="I215" s="245">
        <v>108</v>
      </c>
      <c r="J215" s="245">
        <v>0</v>
      </c>
      <c r="K215" t="s" s="216">
        <v>659</v>
      </c>
      <c r="L215" s="245">
        <v>364</v>
      </c>
      <c r="M215" s="245">
        <v>103</v>
      </c>
      <c r="N215" s="246">
        <v>0.282967032967033</v>
      </c>
      <c r="O215" s="244">
        <f>H215-0.4*L215</f>
        <v>42801.4</v>
      </c>
      <c r="P215" s="215"/>
      <c r="Q215" s="215"/>
      <c r="R215" s="239"/>
      <c r="S215" s="61"/>
      <c r="T215" s="237"/>
      <c r="U215" s="215"/>
    </row>
    <row r="216" ht="16" customHeight="1">
      <c r="A216" t="s" s="216">
        <v>331</v>
      </c>
      <c r="B216" t="s" s="216">
        <v>749</v>
      </c>
      <c r="C216" t="s" s="216">
        <v>666</v>
      </c>
      <c r="D216" s="245">
        <v>2000</v>
      </c>
      <c r="E216" t="s" s="216">
        <v>747</v>
      </c>
      <c r="F216" s="245">
        <v>1708310901</v>
      </c>
      <c r="G216" s="244">
        <v>42614</v>
      </c>
      <c r="H216" s="244">
        <v>42978</v>
      </c>
      <c r="I216" s="245">
        <v>568</v>
      </c>
      <c r="J216" s="245">
        <v>0</v>
      </c>
      <c r="K216" t="s" s="216">
        <v>659</v>
      </c>
      <c r="L216" s="245">
        <v>364</v>
      </c>
      <c r="M216" s="245">
        <v>134</v>
      </c>
      <c r="N216" s="246">
        <v>0.3681318681318682</v>
      </c>
      <c r="O216" s="244">
        <f>H216-0.4*L216</f>
        <v>42832.4</v>
      </c>
      <c r="P216" s="215"/>
      <c r="Q216" s="215"/>
      <c r="R216" s="239"/>
      <c r="S216" s="61"/>
      <c r="T216" s="237"/>
      <c r="U216" s="215"/>
    </row>
    <row r="217" ht="16" customHeight="1">
      <c r="A217" t="s" s="216">
        <v>331</v>
      </c>
      <c r="B217" t="s" s="216">
        <v>749</v>
      </c>
      <c r="C217" t="s" s="216">
        <v>667</v>
      </c>
      <c r="D217" s="245">
        <v>2000</v>
      </c>
      <c r="E217" t="s" s="216">
        <v>743</v>
      </c>
      <c r="F217" s="245">
        <v>1708310901</v>
      </c>
      <c r="G217" s="244">
        <v>42614</v>
      </c>
      <c r="H217" s="244">
        <v>42978</v>
      </c>
      <c r="I217" s="245">
        <v>2443</v>
      </c>
      <c r="J217" s="245">
        <v>0</v>
      </c>
      <c r="K217" t="s" s="216">
        <v>659</v>
      </c>
      <c r="L217" s="245">
        <v>364</v>
      </c>
      <c r="M217" s="245">
        <v>134</v>
      </c>
      <c r="N217" s="246">
        <v>0.3681318681318682</v>
      </c>
      <c r="O217" s="244">
        <f>H217-0.4*L217</f>
        <v>42832.4</v>
      </c>
      <c r="P217" s="215"/>
      <c r="Q217" s="215"/>
      <c r="R217" s="239"/>
      <c r="S217" s="61"/>
      <c r="T217" s="237"/>
      <c r="U217" s="215"/>
    </row>
    <row r="218" ht="16" customHeight="1">
      <c r="A218" t="s" s="216">
        <v>331</v>
      </c>
      <c r="B218" t="s" s="216">
        <v>749</v>
      </c>
      <c r="C218" t="s" s="216">
        <v>668</v>
      </c>
      <c r="D218" s="245">
        <v>2000</v>
      </c>
      <c r="E218" t="s" s="216">
        <v>743</v>
      </c>
      <c r="F218" s="245">
        <v>1707310801</v>
      </c>
      <c r="G218" s="244">
        <v>42583</v>
      </c>
      <c r="H218" s="244">
        <v>42947</v>
      </c>
      <c r="I218" s="245">
        <v>85</v>
      </c>
      <c r="J218" s="245">
        <v>0</v>
      </c>
      <c r="K218" t="s" s="216">
        <v>659</v>
      </c>
      <c r="L218" s="245">
        <v>364</v>
      </c>
      <c r="M218" s="245">
        <v>103</v>
      </c>
      <c r="N218" s="246">
        <v>0.282967032967033</v>
      </c>
      <c r="O218" s="244">
        <f>H218-0.4*L218</f>
        <v>42801.4</v>
      </c>
      <c r="P218" s="215"/>
      <c r="Q218" s="215"/>
      <c r="R218" s="239"/>
      <c r="S218" s="61"/>
      <c r="T218" s="237"/>
      <c r="U218" s="215"/>
    </row>
    <row r="219" ht="16" customHeight="1">
      <c r="A219" t="s" s="216">
        <v>564</v>
      </c>
      <c r="B219" t="s" s="216">
        <v>750</v>
      </c>
      <c r="C219" t="s" s="216">
        <v>666</v>
      </c>
      <c r="D219" s="245">
        <v>2000</v>
      </c>
      <c r="E219" t="s" s="216">
        <v>747</v>
      </c>
      <c r="F219" s="245">
        <v>1708310901</v>
      </c>
      <c r="G219" s="244">
        <v>42614</v>
      </c>
      <c r="H219" s="244">
        <v>42978</v>
      </c>
      <c r="I219" s="245">
        <v>62</v>
      </c>
      <c r="J219" s="245">
        <v>0</v>
      </c>
      <c r="K219" t="s" s="216">
        <v>659</v>
      </c>
      <c r="L219" s="245">
        <v>364</v>
      </c>
      <c r="M219" s="245">
        <v>134</v>
      </c>
      <c r="N219" s="246">
        <v>0.3681318681318682</v>
      </c>
      <c r="O219" s="244">
        <f>H219-0.4*L219</f>
        <v>42832.4</v>
      </c>
      <c r="P219" s="215"/>
      <c r="Q219" s="215"/>
      <c r="R219" s="239"/>
      <c r="S219" s="61"/>
      <c r="T219" s="237"/>
      <c r="U219" s="215"/>
    </row>
    <row r="220" ht="16" customHeight="1">
      <c r="A220" t="s" s="216">
        <v>564</v>
      </c>
      <c r="B220" t="s" s="216">
        <v>750</v>
      </c>
      <c r="C220" t="s" s="216">
        <v>667</v>
      </c>
      <c r="D220" s="245">
        <v>2000</v>
      </c>
      <c r="E220" t="s" s="216">
        <v>743</v>
      </c>
      <c r="F220" s="245">
        <v>1708310901</v>
      </c>
      <c r="G220" s="244">
        <v>42614</v>
      </c>
      <c r="H220" s="244">
        <v>42978</v>
      </c>
      <c r="I220" s="245">
        <v>10</v>
      </c>
      <c r="J220" s="245">
        <v>0</v>
      </c>
      <c r="K220" t="s" s="216">
        <v>659</v>
      </c>
      <c r="L220" s="245">
        <v>364</v>
      </c>
      <c r="M220" s="245">
        <v>134</v>
      </c>
      <c r="N220" s="246">
        <v>0.3681318681318682</v>
      </c>
      <c r="O220" s="244">
        <f>H220-0.4*L220</f>
        <v>42832.4</v>
      </c>
      <c r="P220" s="215"/>
      <c r="Q220" s="215"/>
      <c r="R220" s="239"/>
      <c r="S220" s="61"/>
      <c r="T220" s="237"/>
      <c r="U220" s="215"/>
    </row>
    <row r="221" ht="16" customHeight="1">
      <c r="A221" t="s" s="216">
        <v>564</v>
      </c>
      <c r="B221" t="s" s="216">
        <v>750</v>
      </c>
      <c r="C221" t="s" s="216">
        <v>668</v>
      </c>
      <c r="D221" s="245">
        <v>2000</v>
      </c>
      <c r="E221" t="s" s="216">
        <v>743</v>
      </c>
      <c r="F221" s="245">
        <v>1708310901</v>
      </c>
      <c r="G221" s="244">
        <v>42614</v>
      </c>
      <c r="H221" s="244">
        <v>42978</v>
      </c>
      <c r="I221" s="245">
        <v>138</v>
      </c>
      <c r="J221" s="245">
        <v>0</v>
      </c>
      <c r="K221" t="s" s="216">
        <v>659</v>
      </c>
      <c r="L221" s="245">
        <v>364</v>
      </c>
      <c r="M221" s="245">
        <v>134</v>
      </c>
      <c r="N221" s="246">
        <v>0.3681318681318682</v>
      </c>
      <c r="O221" s="244">
        <f>H221-0.4*L221</f>
        <v>42832.4</v>
      </c>
      <c r="P221" s="215"/>
      <c r="Q221" s="215"/>
      <c r="R221" s="239"/>
      <c r="S221" s="61"/>
      <c r="T221" s="237"/>
      <c r="U221" s="215"/>
    </row>
    <row r="222" ht="16" customHeight="1">
      <c r="A222" t="s" s="216">
        <v>343</v>
      </c>
      <c r="B222" t="s" s="216">
        <v>344</v>
      </c>
      <c r="C222" t="s" s="216">
        <v>657</v>
      </c>
      <c r="D222" s="245">
        <v>1000</v>
      </c>
      <c r="E222" t="s" s="216">
        <v>743</v>
      </c>
      <c r="F222" s="245">
        <v>1708310901</v>
      </c>
      <c r="G222" s="244">
        <v>42614</v>
      </c>
      <c r="H222" s="244">
        <v>42978</v>
      </c>
      <c r="I222" s="245">
        <v>546</v>
      </c>
      <c r="J222" s="245">
        <v>0</v>
      </c>
      <c r="K222" t="s" s="216">
        <v>659</v>
      </c>
      <c r="L222" s="245">
        <v>364</v>
      </c>
      <c r="M222" s="245">
        <v>134</v>
      </c>
      <c r="N222" s="246">
        <v>0.3681318681318682</v>
      </c>
      <c r="O222" s="244">
        <f>H222-0.4*L222</f>
        <v>42832.4</v>
      </c>
      <c r="P222" s="215"/>
      <c r="Q222" s="215"/>
      <c r="R222" s="239"/>
      <c r="S222" s="61"/>
      <c r="T222" s="237"/>
      <c r="U222" s="215"/>
    </row>
    <row r="223" ht="16" customHeight="1">
      <c r="A223" t="s" s="216">
        <v>343</v>
      </c>
      <c r="B223" t="s" s="216">
        <v>344</v>
      </c>
      <c r="C223" t="s" s="216">
        <v>666</v>
      </c>
      <c r="D223" s="245">
        <v>2000</v>
      </c>
      <c r="E223" t="s" s="216">
        <v>747</v>
      </c>
      <c r="F223" s="245">
        <v>1707310801</v>
      </c>
      <c r="G223" s="244">
        <v>42583</v>
      </c>
      <c r="H223" s="244">
        <v>42947</v>
      </c>
      <c r="I223" s="245">
        <v>80</v>
      </c>
      <c r="J223" s="245">
        <v>0</v>
      </c>
      <c r="K223" t="s" s="216">
        <v>659</v>
      </c>
      <c r="L223" s="245">
        <v>364</v>
      </c>
      <c r="M223" s="245">
        <v>103</v>
      </c>
      <c r="N223" s="246">
        <v>0.282967032967033</v>
      </c>
      <c r="O223" s="244">
        <f>H223-0.4*L223</f>
        <v>42801.4</v>
      </c>
      <c r="P223" s="215"/>
      <c r="Q223" s="215"/>
      <c r="R223" s="239"/>
      <c r="S223" s="61"/>
      <c r="T223" s="237"/>
      <c r="U223" s="215"/>
    </row>
    <row r="224" ht="16" customHeight="1">
      <c r="A224" t="s" s="216">
        <v>343</v>
      </c>
      <c r="B224" t="s" s="216">
        <v>344</v>
      </c>
      <c r="C224" t="s" s="216">
        <v>666</v>
      </c>
      <c r="D224" s="245">
        <v>2000</v>
      </c>
      <c r="E224" t="s" s="216">
        <v>747</v>
      </c>
      <c r="F224" s="245">
        <v>1708310901</v>
      </c>
      <c r="G224" s="244">
        <v>42614</v>
      </c>
      <c r="H224" s="244">
        <v>42978</v>
      </c>
      <c r="I224" s="245">
        <v>100</v>
      </c>
      <c r="J224" s="245">
        <v>0</v>
      </c>
      <c r="K224" t="s" s="216">
        <v>659</v>
      </c>
      <c r="L224" s="245">
        <v>364</v>
      </c>
      <c r="M224" s="245">
        <v>134</v>
      </c>
      <c r="N224" s="246">
        <v>0.3681318681318682</v>
      </c>
      <c r="O224" s="244">
        <f>H224-0.4*L224</f>
        <v>42832.4</v>
      </c>
      <c r="P224" s="215"/>
      <c r="Q224" s="215"/>
      <c r="R224" s="239"/>
      <c r="S224" s="61"/>
      <c r="T224" s="237"/>
      <c r="U224" s="215"/>
    </row>
    <row r="225" ht="16" customHeight="1">
      <c r="A225" t="s" s="216">
        <v>343</v>
      </c>
      <c r="B225" t="s" s="216">
        <v>344</v>
      </c>
      <c r="C225" t="s" s="216">
        <v>667</v>
      </c>
      <c r="D225" s="245">
        <v>2000</v>
      </c>
      <c r="E225" t="s" s="216">
        <v>743</v>
      </c>
      <c r="F225" s="245">
        <v>1708310901</v>
      </c>
      <c r="G225" s="244">
        <v>42614</v>
      </c>
      <c r="H225" s="244">
        <v>42978</v>
      </c>
      <c r="I225" s="245">
        <v>30</v>
      </c>
      <c r="J225" s="245">
        <v>0</v>
      </c>
      <c r="K225" t="s" s="216">
        <v>659</v>
      </c>
      <c r="L225" s="245">
        <v>364</v>
      </c>
      <c r="M225" s="245">
        <v>134</v>
      </c>
      <c r="N225" s="246">
        <v>0.3681318681318682</v>
      </c>
      <c r="O225" s="244">
        <f>H225-0.4*L225</f>
        <v>42832.4</v>
      </c>
      <c r="P225" s="215"/>
      <c r="Q225" s="215"/>
      <c r="R225" s="239"/>
      <c r="S225" s="61"/>
      <c r="T225" s="237"/>
      <c r="U225" s="215"/>
    </row>
    <row r="226" ht="16" customHeight="1">
      <c r="A226" t="s" s="216">
        <v>355</v>
      </c>
      <c r="B226" t="s" s="216">
        <v>356</v>
      </c>
      <c r="C226" t="s" s="216">
        <v>657</v>
      </c>
      <c r="D226" s="245">
        <v>1000</v>
      </c>
      <c r="E226" t="s" s="216">
        <v>743</v>
      </c>
      <c r="F226" s="245">
        <v>1706300701</v>
      </c>
      <c r="G226" s="244">
        <v>42552</v>
      </c>
      <c r="H226" s="244">
        <v>42916</v>
      </c>
      <c r="I226" s="245">
        <v>12</v>
      </c>
      <c r="J226" s="245">
        <v>0</v>
      </c>
      <c r="K226" t="s" s="216">
        <v>659</v>
      </c>
      <c r="L226" s="245">
        <v>364</v>
      </c>
      <c r="M226" s="245">
        <v>72</v>
      </c>
      <c r="N226" s="246">
        <v>0.1978021978021978</v>
      </c>
      <c r="O226" s="244">
        <f>H226-0.4*L226</f>
        <v>42770.4</v>
      </c>
      <c r="P226" s="215"/>
      <c r="Q226" s="215"/>
      <c r="R226" s="239"/>
      <c r="S226" s="61"/>
      <c r="T226" s="237"/>
      <c r="U226" s="215"/>
    </row>
    <row r="227" ht="16" customHeight="1">
      <c r="A227" t="s" s="216">
        <v>355</v>
      </c>
      <c r="B227" t="s" s="216">
        <v>356</v>
      </c>
      <c r="C227" t="s" s="216">
        <v>657</v>
      </c>
      <c r="D227" s="245">
        <v>1000</v>
      </c>
      <c r="E227" t="s" s="216">
        <v>743</v>
      </c>
      <c r="F227" s="245">
        <v>1707310801</v>
      </c>
      <c r="G227" s="244">
        <v>42583</v>
      </c>
      <c r="H227" s="244">
        <v>42947</v>
      </c>
      <c r="I227" s="245">
        <v>1338</v>
      </c>
      <c r="J227" s="245">
        <v>0</v>
      </c>
      <c r="K227" t="s" s="216">
        <v>659</v>
      </c>
      <c r="L227" s="245">
        <v>364</v>
      </c>
      <c r="M227" s="245">
        <v>103</v>
      </c>
      <c r="N227" s="246">
        <v>0.282967032967033</v>
      </c>
      <c r="O227" s="244">
        <f>H227-0.4*L227</f>
        <v>42801.4</v>
      </c>
      <c r="P227" s="215"/>
      <c r="Q227" s="215"/>
      <c r="R227" s="239"/>
      <c r="S227" s="61"/>
      <c r="T227" s="237"/>
      <c r="U227" s="215"/>
    </row>
    <row r="228" ht="16" customHeight="1">
      <c r="A228" t="s" s="216">
        <v>355</v>
      </c>
      <c r="B228" t="s" s="216">
        <v>356</v>
      </c>
      <c r="C228" t="s" s="216">
        <v>666</v>
      </c>
      <c r="D228" s="245">
        <v>2000</v>
      </c>
      <c r="E228" t="s" s="216">
        <v>747</v>
      </c>
      <c r="F228" s="245">
        <v>1705310601</v>
      </c>
      <c r="G228" s="244">
        <v>42522</v>
      </c>
      <c r="H228" s="244">
        <v>42886</v>
      </c>
      <c r="I228" s="245">
        <v>401</v>
      </c>
      <c r="J228" s="245">
        <v>0</v>
      </c>
      <c r="K228" t="s" s="216">
        <v>659</v>
      </c>
      <c r="L228" s="245">
        <v>364</v>
      </c>
      <c r="M228" s="245">
        <v>42</v>
      </c>
      <c r="N228" s="246">
        <v>0.1153846153846154</v>
      </c>
      <c r="O228" s="244">
        <f>H228-0.4*L228</f>
        <v>42740.4</v>
      </c>
      <c r="P228" s="215"/>
      <c r="Q228" s="215"/>
      <c r="R228" s="239"/>
      <c r="S228" s="61"/>
      <c r="T228" s="237"/>
      <c r="U228" s="215"/>
    </row>
    <row r="229" ht="16" customHeight="1">
      <c r="A229" t="s" s="216">
        <v>355</v>
      </c>
      <c r="B229" t="s" s="216">
        <v>356</v>
      </c>
      <c r="C229" t="s" s="216">
        <v>666</v>
      </c>
      <c r="D229" s="245">
        <v>2000</v>
      </c>
      <c r="E229" t="s" s="216">
        <v>747</v>
      </c>
      <c r="F229" s="245">
        <v>1706300701</v>
      </c>
      <c r="G229" s="244">
        <v>42552</v>
      </c>
      <c r="H229" s="244">
        <v>42916</v>
      </c>
      <c r="I229" s="245">
        <v>38</v>
      </c>
      <c r="J229" s="245">
        <v>0</v>
      </c>
      <c r="K229" t="s" s="216">
        <v>659</v>
      </c>
      <c r="L229" s="245">
        <v>364</v>
      </c>
      <c r="M229" s="245">
        <v>72</v>
      </c>
      <c r="N229" s="246">
        <v>0.1978021978021978</v>
      </c>
      <c r="O229" s="244">
        <f>H229-0.4*L229</f>
        <v>42770.4</v>
      </c>
      <c r="P229" s="215"/>
      <c r="Q229" s="215"/>
      <c r="R229" s="239"/>
      <c r="S229" s="61"/>
      <c r="T229" s="237"/>
      <c r="U229" s="215"/>
    </row>
    <row r="230" ht="16" customHeight="1">
      <c r="A230" t="s" s="216">
        <v>355</v>
      </c>
      <c r="B230" t="s" s="216">
        <v>356</v>
      </c>
      <c r="C230" t="s" s="216">
        <v>666</v>
      </c>
      <c r="D230" s="245">
        <v>2000</v>
      </c>
      <c r="E230" t="s" s="216">
        <v>747</v>
      </c>
      <c r="F230" s="245">
        <v>1707310801</v>
      </c>
      <c r="G230" s="244">
        <v>42583</v>
      </c>
      <c r="H230" s="244">
        <v>42947</v>
      </c>
      <c r="I230" s="245">
        <v>892</v>
      </c>
      <c r="J230" s="245">
        <v>0</v>
      </c>
      <c r="K230" t="s" s="216">
        <v>659</v>
      </c>
      <c r="L230" s="245">
        <v>364</v>
      </c>
      <c r="M230" s="245">
        <v>103</v>
      </c>
      <c r="N230" s="246">
        <v>0.282967032967033</v>
      </c>
      <c r="O230" s="244">
        <f>H230-0.4*L230</f>
        <v>42801.4</v>
      </c>
      <c r="P230" s="215"/>
      <c r="Q230" s="215"/>
      <c r="R230" s="239"/>
      <c r="S230" s="61"/>
      <c r="T230" s="237"/>
      <c r="U230" s="215"/>
    </row>
    <row r="231" ht="16" customHeight="1">
      <c r="A231" t="s" s="216">
        <v>355</v>
      </c>
      <c r="B231" t="s" s="216">
        <v>356</v>
      </c>
      <c r="C231" t="s" s="216">
        <v>667</v>
      </c>
      <c r="D231" s="245">
        <v>2000</v>
      </c>
      <c r="E231" t="s" s="216">
        <v>743</v>
      </c>
      <c r="F231" s="245">
        <v>1707310801</v>
      </c>
      <c r="G231" s="244">
        <v>42583</v>
      </c>
      <c r="H231" s="244">
        <v>42947</v>
      </c>
      <c r="I231" s="245">
        <v>155</v>
      </c>
      <c r="J231" s="245">
        <v>0</v>
      </c>
      <c r="K231" t="s" s="216">
        <v>659</v>
      </c>
      <c r="L231" s="245">
        <v>364</v>
      </c>
      <c r="M231" s="245">
        <v>103</v>
      </c>
      <c r="N231" s="246">
        <v>0.282967032967033</v>
      </c>
      <c r="O231" s="244">
        <f>H231-0.4*L231</f>
        <v>42801.4</v>
      </c>
      <c r="P231" s="215"/>
      <c r="Q231" s="215"/>
      <c r="R231" s="239"/>
      <c r="S231" s="61"/>
      <c r="T231" s="237"/>
      <c r="U231" s="215"/>
    </row>
    <row r="232" ht="16" customHeight="1">
      <c r="A232" t="s" s="216">
        <v>355</v>
      </c>
      <c r="B232" t="s" s="216">
        <v>356</v>
      </c>
      <c r="C232" t="s" s="216">
        <v>668</v>
      </c>
      <c r="D232" s="245">
        <v>2000</v>
      </c>
      <c r="E232" t="s" s="216">
        <v>743</v>
      </c>
      <c r="F232" s="245">
        <v>1706300701</v>
      </c>
      <c r="G232" s="244">
        <v>42552</v>
      </c>
      <c r="H232" s="244">
        <v>42916</v>
      </c>
      <c r="I232" s="245">
        <v>264</v>
      </c>
      <c r="J232" s="245">
        <v>0</v>
      </c>
      <c r="K232" t="s" s="216">
        <v>659</v>
      </c>
      <c r="L232" s="245">
        <v>364</v>
      </c>
      <c r="M232" s="245">
        <v>72</v>
      </c>
      <c r="N232" s="246">
        <v>0.1978021978021978</v>
      </c>
      <c r="O232" s="244">
        <f>H232-0.4*L232</f>
        <v>42770.4</v>
      </c>
      <c r="P232" s="215"/>
      <c r="Q232" s="215"/>
      <c r="R232" s="239"/>
      <c r="S232" s="61"/>
      <c r="T232" s="237"/>
      <c r="U232" s="215"/>
    </row>
    <row r="233" ht="16" customHeight="1">
      <c r="A233" t="s" s="216">
        <v>565</v>
      </c>
      <c r="B233" t="s" s="216">
        <v>751</v>
      </c>
      <c r="C233" t="s" s="216">
        <v>657</v>
      </c>
      <c r="D233" s="245">
        <v>1000</v>
      </c>
      <c r="E233" t="s" s="216">
        <v>743</v>
      </c>
      <c r="F233" s="245">
        <v>1706300701</v>
      </c>
      <c r="G233" s="244">
        <v>42552</v>
      </c>
      <c r="H233" s="244">
        <v>42916</v>
      </c>
      <c r="I233" s="245">
        <v>59</v>
      </c>
      <c r="J233" s="245">
        <v>0</v>
      </c>
      <c r="K233" t="s" s="216">
        <v>659</v>
      </c>
      <c r="L233" s="245">
        <v>364</v>
      </c>
      <c r="M233" s="245">
        <v>72</v>
      </c>
      <c r="N233" s="246">
        <v>0.1978021978021978</v>
      </c>
      <c r="O233" s="244">
        <f>H233-0.4*L233</f>
        <v>42770.4</v>
      </c>
      <c r="P233" s="215"/>
      <c r="Q233" s="215"/>
      <c r="R233" s="239"/>
      <c r="S233" s="61"/>
      <c r="T233" s="237"/>
      <c r="U233" s="215"/>
    </row>
    <row r="234" ht="16" customHeight="1">
      <c r="A234" t="s" s="216">
        <v>565</v>
      </c>
      <c r="B234" t="s" s="216">
        <v>751</v>
      </c>
      <c r="C234" t="s" s="216">
        <v>657</v>
      </c>
      <c r="D234" s="245">
        <v>1000</v>
      </c>
      <c r="E234" t="s" s="216">
        <v>743</v>
      </c>
      <c r="F234" s="245">
        <v>1707310801</v>
      </c>
      <c r="G234" s="244">
        <v>42583</v>
      </c>
      <c r="H234" s="244">
        <v>42947</v>
      </c>
      <c r="I234" s="245">
        <v>6</v>
      </c>
      <c r="J234" s="245">
        <v>0</v>
      </c>
      <c r="K234" t="s" s="216">
        <v>659</v>
      </c>
      <c r="L234" s="245">
        <v>364</v>
      </c>
      <c r="M234" s="245">
        <v>103</v>
      </c>
      <c r="N234" s="246">
        <v>0.282967032967033</v>
      </c>
      <c r="O234" s="244">
        <f>H234-0.4*L234</f>
        <v>42801.4</v>
      </c>
      <c r="P234" s="215"/>
      <c r="Q234" s="215"/>
      <c r="R234" s="239"/>
      <c r="S234" s="61"/>
      <c r="T234" s="237"/>
      <c r="U234" s="215"/>
    </row>
    <row r="235" ht="16" customHeight="1">
      <c r="A235" t="s" s="216">
        <v>565</v>
      </c>
      <c r="B235" t="s" s="216">
        <v>751</v>
      </c>
      <c r="C235" t="s" s="216">
        <v>666</v>
      </c>
      <c r="D235" s="245">
        <v>2000</v>
      </c>
      <c r="E235" t="s" s="216">
        <v>747</v>
      </c>
      <c r="F235" s="245">
        <v>1707310801</v>
      </c>
      <c r="G235" s="244">
        <v>42583</v>
      </c>
      <c r="H235" s="244">
        <v>42947</v>
      </c>
      <c r="I235" s="245">
        <v>3236</v>
      </c>
      <c r="J235" s="245">
        <v>0</v>
      </c>
      <c r="K235" t="s" s="216">
        <v>659</v>
      </c>
      <c r="L235" s="245">
        <v>364</v>
      </c>
      <c r="M235" s="245">
        <v>103</v>
      </c>
      <c r="N235" s="246">
        <v>0.282967032967033</v>
      </c>
      <c r="O235" s="244">
        <f>H235-0.4*L235</f>
        <v>42801.4</v>
      </c>
      <c r="P235" s="215"/>
      <c r="Q235" s="215"/>
      <c r="R235" s="239"/>
      <c r="S235" s="61"/>
      <c r="T235" s="237"/>
      <c r="U235" s="215"/>
    </row>
    <row r="236" ht="16" customHeight="1">
      <c r="A236" t="s" s="216">
        <v>565</v>
      </c>
      <c r="B236" t="s" s="216">
        <v>751</v>
      </c>
      <c r="C236" t="s" s="216">
        <v>666</v>
      </c>
      <c r="D236" s="245">
        <v>2000</v>
      </c>
      <c r="E236" t="s" s="216">
        <v>747</v>
      </c>
      <c r="F236" s="245">
        <v>1708310901</v>
      </c>
      <c r="G236" s="244">
        <v>42614</v>
      </c>
      <c r="H236" s="244">
        <v>42978</v>
      </c>
      <c r="I236" s="245">
        <v>2</v>
      </c>
      <c r="J236" s="245">
        <v>0</v>
      </c>
      <c r="K236" t="s" s="216">
        <v>659</v>
      </c>
      <c r="L236" s="245">
        <v>364</v>
      </c>
      <c r="M236" s="245">
        <v>134</v>
      </c>
      <c r="N236" s="246">
        <v>0.3681318681318682</v>
      </c>
      <c r="O236" s="244">
        <f>H236-0.4*L236</f>
        <v>42832.4</v>
      </c>
      <c r="P236" s="215"/>
      <c r="Q236" s="215"/>
      <c r="R236" s="239"/>
      <c r="S236" s="61"/>
      <c r="T236" s="237"/>
      <c r="U236" s="215"/>
    </row>
    <row r="237" ht="16" customHeight="1">
      <c r="A237" t="s" s="216">
        <v>565</v>
      </c>
      <c r="B237" t="s" s="216">
        <v>751</v>
      </c>
      <c r="C237" t="s" s="216">
        <v>667</v>
      </c>
      <c r="D237" s="245">
        <v>2000</v>
      </c>
      <c r="E237" t="s" s="216">
        <v>743</v>
      </c>
      <c r="F237" s="245">
        <v>1707310801</v>
      </c>
      <c r="G237" s="244">
        <v>42583</v>
      </c>
      <c r="H237" s="244">
        <v>42947</v>
      </c>
      <c r="I237" s="245">
        <v>298</v>
      </c>
      <c r="J237" s="245">
        <v>0</v>
      </c>
      <c r="K237" t="s" s="216">
        <v>659</v>
      </c>
      <c r="L237" s="245">
        <v>364</v>
      </c>
      <c r="M237" s="245">
        <v>103</v>
      </c>
      <c r="N237" s="246">
        <v>0.282967032967033</v>
      </c>
      <c r="O237" s="244">
        <f>H237-0.4*L237</f>
        <v>42801.4</v>
      </c>
      <c r="P237" s="215"/>
      <c r="Q237" s="215"/>
      <c r="R237" s="239"/>
      <c r="S237" s="61"/>
      <c r="T237" s="237"/>
      <c r="U237" s="215"/>
    </row>
    <row r="238" ht="16" customHeight="1">
      <c r="A238" t="s" s="216">
        <v>565</v>
      </c>
      <c r="B238" t="s" s="216">
        <v>751</v>
      </c>
      <c r="C238" t="s" s="216">
        <v>667</v>
      </c>
      <c r="D238" s="245">
        <v>2000</v>
      </c>
      <c r="E238" t="s" s="216">
        <v>743</v>
      </c>
      <c r="F238" s="245">
        <v>1708310901</v>
      </c>
      <c r="G238" s="244">
        <v>42614</v>
      </c>
      <c r="H238" s="244">
        <v>42978</v>
      </c>
      <c r="I238" s="245">
        <v>79</v>
      </c>
      <c r="J238" s="245">
        <v>0</v>
      </c>
      <c r="K238" t="s" s="216">
        <v>659</v>
      </c>
      <c r="L238" s="245">
        <v>364</v>
      </c>
      <c r="M238" s="245">
        <v>134</v>
      </c>
      <c r="N238" s="246">
        <v>0.3681318681318682</v>
      </c>
      <c r="O238" s="244">
        <f>H238-0.4*L238</f>
        <v>42832.4</v>
      </c>
      <c r="P238" s="215"/>
      <c r="Q238" s="215"/>
      <c r="R238" s="239"/>
      <c r="S238" s="61"/>
      <c r="T238" s="237"/>
      <c r="U238" s="215"/>
    </row>
    <row r="239" ht="16" customHeight="1">
      <c r="A239" t="s" s="216">
        <v>566</v>
      </c>
      <c r="B239" t="s" s="216">
        <v>752</v>
      </c>
      <c r="C239" t="s" s="216">
        <v>657</v>
      </c>
      <c r="D239" s="245">
        <v>1000</v>
      </c>
      <c r="E239" t="s" s="216">
        <v>743</v>
      </c>
      <c r="F239" s="245">
        <v>1707310801</v>
      </c>
      <c r="G239" s="244">
        <v>42583</v>
      </c>
      <c r="H239" s="244">
        <v>42947</v>
      </c>
      <c r="I239" s="245">
        <v>5</v>
      </c>
      <c r="J239" s="245">
        <v>0</v>
      </c>
      <c r="K239" t="s" s="216">
        <v>659</v>
      </c>
      <c r="L239" s="245">
        <v>364</v>
      </c>
      <c r="M239" s="245">
        <v>103</v>
      </c>
      <c r="N239" s="246">
        <v>0.282967032967033</v>
      </c>
      <c r="O239" s="244">
        <f>H239-0.4*L239</f>
        <v>42801.4</v>
      </c>
      <c r="P239" s="215"/>
      <c r="Q239" s="215"/>
      <c r="R239" s="239"/>
      <c r="S239" s="61"/>
      <c r="T239" s="237"/>
      <c r="U239" s="215"/>
    </row>
    <row r="240" ht="16" customHeight="1">
      <c r="A240" t="s" s="216">
        <v>566</v>
      </c>
      <c r="B240" t="s" s="216">
        <v>752</v>
      </c>
      <c r="C240" t="s" s="216">
        <v>657</v>
      </c>
      <c r="D240" s="245">
        <v>1000</v>
      </c>
      <c r="E240" t="s" s="216">
        <v>743</v>
      </c>
      <c r="F240" s="245">
        <v>1708310901</v>
      </c>
      <c r="G240" s="244">
        <v>42614</v>
      </c>
      <c r="H240" s="244">
        <v>42978</v>
      </c>
      <c r="I240" s="245">
        <v>3</v>
      </c>
      <c r="J240" s="245">
        <v>0</v>
      </c>
      <c r="K240" t="s" s="216">
        <v>659</v>
      </c>
      <c r="L240" s="245">
        <v>364</v>
      </c>
      <c r="M240" s="245">
        <v>134</v>
      </c>
      <c r="N240" s="246">
        <v>0.3681318681318682</v>
      </c>
      <c r="O240" s="244">
        <f>H240-0.4*L240</f>
        <v>42832.4</v>
      </c>
      <c r="P240" s="215"/>
      <c r="Q240" s="215"/>
      <c r="R240" s="239"/>
      <c r="S240" s="61"/>
      <c r="T240" s="237"/>
      <c r="U240" s="215"/>
    </row>
    <row r="241" ht="16" customHeight="1">
      <c r="A241" t="s" s="216">
        <v>566</v>
      </c>
      <c r="B241" t="s" s="216">
        <v>752</v>
      </c>
      <c r="C241" t="s" s="216">
        <v>666</v>
      </c>
      <c r="D241" s="245">
        <v>2000</v>
      </c>
      <c r="E241" t="s" s="216">
        <v>747</v>
      </c>
      <c r="F241" s="245">
        <v>1708310901</v>
      </c>
      <c r="G241" s="244">
        <v>42614</v>
      </c>
      <c r="H241" s="244">
        <v>42978</v>
      </c>
      <c r="I241" s="245">
        <v>24</v>
      </c>
      <c r="J241" s="245">
        <v>0</v>
      </c>
      <c r="K241" t="s" s="216">
        <v>659</v>
      </c>
      <c r="L241" s="245">
        <v>364</v>
      </c>
      <c r="M241" s="245">
        <v>134</v>
      </c>
      <c r="N241" s="246">
        <v>0.3681318681318682</v>
      </c>
      <c r="O241" s="244">
        <f>H241-0.4*L241</f>
        <v>42832.4</v>
      </c>
      <c r="P241" s="215"/>
      <c r="Q241" s="215"/>
      <c r="R241" s="239"/>
      <c r="S241" s="61"/>
      <c r="T241" s="237"/>
      <c r="U241" s="215"/>
    </row>
    <row r="242" ht="16" customHeight="1">
      <c r="A242" t="s" s="216">
        <v>566</v>
      </c>
      <c r="B242" t="s" s="216">
        <v>752</v>
      </c>
      <c r="C242" t="s" s="216">
        <v>667</v>
      </c>
      <c r="D242" s="245">
        <v>2000</v>
      </c>
      <c r="E242" t="s" s="216">
        <v>743</v>
      </c>
      <c r="F242" s="245">
        <v>1707310801</v>
      </c>
      <c r="G242" s="244">
        <v>42583</v>
      </c>
      <c r="H242" s="244">
        <v>42947</v>
      </c>
      <c r="I242" s="245">
        <v>11</v>
      </c>
      <c r="J242" s="245">
        <v>0</v>
      </c>
      <c r="K242" t="s" s="216">
        <v>659</v>
      </c>
      <c r="L242" s="245">
        <v>364</v>
      </c>
      <c r="M242" s="245">
        <v>103</v>
      </c>
      <c r="N242" s="246">
        <v>0.282967032967033</v>
      </c>
      <c r="O242" s="244">
        <f>H242-0.4*L242</f>
        <v>42801.4</v>
      </c>
      <c r="P242" s="215"/>
      <c r="Q242" s="215"/>
      <c r="R242" s="239"/>
      <c r="S242" s="61"/>
      <c r="T242" s="237"/>
      <c r="U242" s="215"/>
    </row>
    <row r="243" ht="16" customHeight="1">
      <c r="A243" t="s" s="216">
        <v>566</v>
      </c>
      <c r="B243" t="s" s="216">
        <v>752</v>
      </c>
      <c r="C243" t="s" s="216">
        <v>667</v>
      </c>
      <c r="D243" s="245">
        <v>2000</v>
      </c>
      <c r="E243" t="s" s="216">
        <v>743</v>
      </c>
      <c r="F243" s="245">
        <v>1708310901</v>
      </c>
      <c r="G243" s="244">
        <v>42614</v>
      </c>
      <c r="H243" s="244">
        <v>42978</v>
      </c>
      <c r="I243" s="245">
        <v>14</v>
      </c>
      <c r="J243" s="245">
        <v>0</v>
      </c>
      <c r="K243" t="s" s="216">
        <v>659</v>
      </c>
      <c r="L243" s="245">
        <v>364</v>
      </c>
      <c r="M243" s="245">
        <v>134</v>
      </c>
      <c r="N243" s="246">
        <v>0.3681318681318682</v>
      </c>
      <c r="O243" s="244">
        <f>H243-0.4*L243</f>
        <v>42832.4</v>
      </c>
      <c r="P243" s="215"/>
      <c r="Q243" s="215"/>
      <c r="R243" s="239"/>
      <c r="S243" s="61"/>
      <c r="T243" s="237"/>
      <c r="U243" s="215"/>
    </row>
    <row r="244" ht="16" customHeight="1">
      <c r="A244" t="s" s="216">
        <v>567</v>
      </c>
      <c r="B244" t="s" s="216">
        <v>753</v>
      </c>
      <c r="C244" t="s" s="216">
        <v>657</v>
      </c>
      <c r="D244" s="245">
        <v>1000</v>
      </c>
      <c r="E244" t="s" s="216">
        <v>743</v>
      </c>
      <c r="F244" s="245">
        <v>1706160617</v>
      </c>
      <c r="G244" s="244">
        <v>42538</v>
      </c>
      <c r="H244" s="244">
        <v>42902</v>
      </c>
      <c r="I244" s="245">
        <v>2</v>
      </c>
      <c r="J244" s="245">
        <v>0</v>
      </c>
      <c r="K244" t="s" s="216">
        <v>659</v>
      </c>
      <c r="L244" s="245">
        <v>364</v>
      </c>
      <c r="M244" s="245">
        <v>58</v>
      </c>
      <c r="N244" s="246">
        <v>0.1593406593406593</v>
      </c>
      <c r="O244" s="244">
        <f>H244-0.4*L244</f>
        <v>42756.4</v>
      </c>
      <c r="P244" s="215"/>
      <c r="Q244" s="215"/>
      <c r="R244" s="239"/>
      <c r="S244" s="61"/>
      <c r="T244" s="237"/>
      <c r="U244" s="215"/>
    </row>
    <row r="245" ht="16" customHeight="1">
      <c r="A245" t="s" s="216">
        <v>567</v>
      </c>
      <c r="B245" t="s" s="216">
        <v>753</v>
      </c>
      <c r="C245" t="s" s="216">
        <v>666</v>
      </c>
      <c r="D245" s="245">
        <v>2000</v>
      </c>
      <c r="E245" t="s" s="216">
        <v>747</v>
      </c>
      <c r="F245" s="245">
        <v>1705260527</v>
      </c>
      <c r="G245" s="244">
        <v>42517</v>
      </c>
      <c r="H245" s="244">
        <v>42881</v>
      </c>
      <c r="I245" s="245">
        <v>7</v>
      </c>
      <c r="J245" s="245">
        <v>0</v>
      </c>
      <c r="K245" t="s" s="216">
        <v>659</v>
      </c>
      <c r="L245" s="245">
        <v>364</v>
      </c>
      <c r="M245" s="245">
        <v>37</v>
      </c>
      <c r="N245" s="246">
        <v>0.1016483516483516</v>
      </c>
      <c r="O245" s="244">
        <f>H245-0.4*L245</f>
        <v>42735.4</v>
      </c>
      <c r="P245" s="215"/>
      <c r="Q245" s="215"/>
      <c r="R245" s="239"/>
      <c r="S245" s="61"/>
      <c r="T245" s="237"/>
      <c r="U245" s="215"/>
    </row>
    <row r="246" ht="16" customHeight="1">
      <c r="A246" t="s" s="216">
        <v>567</v>
      </c>
      <c r="B246" t="s" s="216">
        <v>753</v>
      </c>
      <c r="C246" t="s" s="216">
        <v>666</v>
      </c>
      <c r="D246" s="245">
        <v>2000</v>
      </c>
      <c r="E246" t="s" s="216">
        <v>747</v>
      </c>
      <c r="F246" s="245">
        <v>1706160617</v>
      </c>
      <c r="G246" s="244">
        <v>42538</v>
      </c>
      <c r="H246" s="244">
        <v>42902</v>
      </c>
      <c r="I246" s="245">
        <v>105</v>
      </c>
      <c r="J246" s="245">
        <v>0</v>
      </c>
      <c r="K246" t="s" s="216">
        <v>659</v>
      </c>
      <c r="L246" s="245">
        <v>364</v>
      </c>
      <c r="M246" s="245">
        <v>58</v>
      </c>
      <c r="N246" s="246">
        <v>0.1593406593406593</v>
      </c>
      <c r="O246" s="244">
        <f>H246-0.4*L246</f>
        <v>42756.4</v>
      </c>
      <c r="P246" s="215"/>
      <c r="Q246" s="215"/>
      <c r="R246" s="239"/>
      <c r="S246" s="61"/>
      <c r="T246" s="237"/>
      <c r="U246" s="215"/>
    </row>
    <row r="247" ht="16" customHeight="1">
      <c r="A247" t="s" s="216">
        <v>567</v>
      </c>
      <c r="B247" t="s" s="216">
        <v>753</v>
      </c>
      <c r="C247" t="s" s="216">
        <v>666</v>
      </c>
      <c r="D247" s="245">
        <v>2000</v>
      </c>
      <c r="E247" t="s" s="216">
        <v>747</v>
      </c>
      <c r="F247" s="245">
        <v>1707200721</v>
      </c>
      <c r="G247" s="244">
        <v>42572</v>
      </c>
      <c r="H247" s="244">
        <v>42936</v>
      </c>
      <c r="I247" s="245">
        <v>92</v>
      </c>
      <c r="J247" s="245">
        <v>0</v>
      </c>
      <c r="K247" t="s" s="216">
        <v>659</v>
      </c>
      <c r="L247" s="245">
        <v>364</v>
      </c>
      <c r="M247" s="245">
        <v>92</v>
      </c>
      <c r="N247" s="246">
        <v>0.2527472527472527</v>
      </c>
      <c r="O247" s="244">
        <f>H247-0.4*L247</f>
        <v>42790.4</v>
      </c>
      <c r="P247" s="215"/>
      <c r="Q247" s="215"/>
      <c r="R247" s="239"/>
      <c r="S247" s="61"/>
      <c r="T247" s="237"/>
      <c r="U247" s="215"/>
    </row>
    <row r="248" ht="16" customHeight="1">
      <c r="A248" t="s" s="216">
        <v>567</v>
      </c>
      <c r="B248" t="s" s="216">
        <v>753</v>
      </c>
      <c r="C248" t="s" s="216">
        <v>666</v>
      </c>
      <c r="D248" s="245">
        <v>2000</v>
      </c>
      <c r="E248" t="s" s="216">
        <v>747</v>
      </c>
      <c r="F248" s="245">
        <v>1708100811</v>
      </c>
      <c r="G248" s="244">
        <v>42593</v>
      </c>
      <c r="H248" s="244">
        <v>42957</v>
      </c>
      <c r="I248" s="245">
        <v>337</v>
      </c>
      <c r="J248" s="245">
        <v>0</v>
      </c>
      <c r="K248" t="s" s="216">
        <v>659</v>
      </c>
      <c r="L248" s="245">
        <v>364</v>
      </c>
      <c r="M248" s="245">
        <v>113</v>
      </c>
      <c r="N248" s="246">
        <v>0.3104395604395604</v>
      </c>
      <c r="O248" s="244">
        <f>H248-0.4*L248</f>
        <v>42811.4</v>
      </c>
      <c r="P248" s="215"/>
      <c r="Q248" s="215"/>
      <c r="R248" s="239"/>
      <c r="S248" s="61"/>
      <c r="T248" s="237"/>
      <c r="U248" s="215"/>
    </row>
    <row r="249" ht="16" customHeight="1">
      <c r="A249" t="s" s="216">
        <v>567</v>
      </c>
      <c r="B249" t="s" s="216">
        <v>753</v>
      </c>
      <c r="C249" t="s" s="216">
        <v>667</v>
      </c>
      <c r="D249" s="245">
        <v>2000</v>
      </c>
      <c r="E249" t="s" s="216">
        <v>743</v>
      </c>
      <c r="F249" s="245">
        <v>1706160617</v>
      </c>
      <c r="G249" s="244">
        <v>42538</v>
      </c>
      <c r="H249" s="244">
        <v>42902</v>
      </c>
      <c r="I249" s="245">
        <v>10</v>
      </c>
      <c r="J249" s="245">
        <v>0</v>
      </c>
      <c r="K249" t="s" s="216">
        <v>659</v>
      </c>
      <c r="L249" s="245">
        <v>364</v>
      </c>
      <c r="M249" s="245">
        <v>58</v>
      </c>
      <c r="N249" s="246">
        <v>0.1593406593406593</v>
      </c>
      <c r="O249" s="244">
        <f>H249-0.4*L249</f>
        <v>42756.4</v>
      </c>
      <c r="P249" s="215"/>
      <c r="Q249" s="215"/>
      <c r="R249" s="239"/>
      <c r="S249" s="61"/>
      <c r="T249" s="237"/>
      <c r="U249" s="215"/>
    </row>
    <row r="250" ht="16" customHeight="1">
      <c r="A250" t="s" s="216">
        <v>567</v>
      </c>
      <c r="B250" t="s" s="216">
        <v>753</v>
      </c>
      <c r="C250" t="s" s="216">
        <v>667</v>
      </c>
      <c r="D250" s="245">
        <v>2000</v>
      </c>
      <c r="E250" t="s" s="216">
        <v>743</v>
      </c>
      <c r="F250" s="245">
        <v>1707200721</v>
      </c>
      <c r="G250" s="244">
        <v>42572</v>
      </c>
      <c r="H250" s="244">
        <v>42936</v>
      </c>
      <c r="I250" s="245">
        <v>509</v>
      </c>
      <c r="J250" s="245">
        <v>0</v>
      </c>
      <c r="K250" t="s" s="216">
        <v>659</v>
      </c>
      <c r="L250" s="245">
        <v>364</v>
      </c>
      <c r="M250" s="245">
        <v>92</v>
      </c>
      <c r="N250" s="246">
        <v>0.2527472527472527</v>
      </c>
      <c r="O250" s="244">
        <f>H250-0.4*L250</f>
        <v>42790.4</v>
      </c>
      <c r="P250" s="215"/>
      <c r="Q250" s="215"/>
      <c r="R250" s="239"/>
      <c r="S250" s="61"/>
      <c r="T250" s="237"/>
      <c r="U250" s="215"/>
    </row>
    <row r="251" ht="16" customHeight="1">
      <c r="A251" t="s" s="216">
        <v>567</v>
      </c>
      <c r="B251" t="s" s="216">
        <v>753</v>
      </c>
      <c r="C251" t="s" s="216">
        <v>668</v>
      </c>
      <c r="D251" s="245">
        <v>2000</v>
      </c>
      <c r="E251" t="s" s="216">
        <v>743</v>
      </c>
      <c r="F251" s="245">
        <v>1706160617</v>
      </c>
      <c r="G251" s="244">
        <v>42538</v>
      </c>
      <c r="H251" s="244">
        <v>42902</v>
      </c>
      <c r="I251" s="245">
        <v>20</v>
      </c>
      <c r="J251" s="245">
        <v>0</v>
      </c>
      <c r="K251" t="s" s="216">
        <v>659</v>
      </c>
      <c r="L251" s="245">
        <v>364</v>
      </c>
      <c r="M251" s="245">
        <v>58</v>
      </c>
      <c r="N251" s="246">
        <v>0.1593406593406593</v>
      </c>
      <c r="O251" s="244">
        <f>H251-0.4*L251</f>
        <v>42756.4</v>
      </c>
      <c r="P251" s="215"/>
      <c r="Q251" s="215"/>
      <c r="R251" s="239"/>
      <c r="S251" s="61"/>
      <c r="T251" s="237"/>
      <c r="U251" s="215"/>
    </row>
    <row r="252" ht="16" customHeight="1">
      <c r="A252" t="s" s="216">
        <v>367</v>
      </c>
      <c r="B252" t="s" s="216">
        <v>368</v>
      </c>
      <c r="C252" t="s" s="216">
        <v>657</v>
      </c>
      <c r="D252" s="245">
        <v>1000</v>
      </c>
      <c r="E252" t="s" s="216">
        <v>743</v>
      </c>
      <c r="F252" s="245">
        <v>1708310901</v>
      </c>
      <c r="G252" s="244">
        <v>42614</v>
      </c>
      <c r="H252" s="244">
        <v>42978</v>
      </c>
      <c r="I252" s="245">
        <v>43</v>
      </c>
      <c r="J252" s="245">
        <v>0</v>
      </c>
      <c r="K252" t="s" s="216">
        <v>659</v>
      </c>
      <c r="L252" s="245">
        <v>364</v>
      </c>
      <c r="M252" s="245">
        <v>134</v>
      </c>
      <c r="N252" s="246">
        <v>0.3681318681318682</v>
      </c>
      <c r="O252" s="244">
        <f>H252-0.4*L252</f>
        <v>42832.4</v>
      </c>
      <c r="P252" s="215"/>
      <c r="Q252" s="215"/>
      <c r="R252" s="239"/>
      <c r="S252" s="61"/>
      <c r="T252" s="237"/>
      <c r="U252" s="215"/>
    </row>
    <row r="253" ht="16" customHeight="1">
      <c r="A253" t="s" s="216">
        <v>367</v>
      </c>
      <c r="B253" t="s" s="216">
        <v>368</v>
      </c>
      <c r="C253" t="s" s="216">
        <v>666</v>
      </c>
      <c r="D253" s="245">
        <v>2000</v>
      </c>
      <c r="E253" t="s" s="216">
        <v>747</v>
      </c>
      <c r="F253" s="245">
        <v>1704300501</v>
      </c>
      <c r="G253" s="244">
        <v>42491</v>
      </c>
      <c r="H253" s="244">
        <v>42855</v>
      </c>
      <c r="I253" s="245">
        <v>0</v>
      </c>
      <c r="J253" s="245">
        <v>0</v>
      </c>
      <c r="K253" t="s" s="216">
        <v>659</v>
      </c>
      <c r="L253" s="245">
        <v>364</v>
      </c>
      <c r="M253" s="245">
        <v>11</v>
      </c>
      <c r="N253" s="246">
        <v>0.03021978021978022</v>
      </c>
      <c r="O253" s="244">
        <f>H253-0.4*L253</f>
        <v>42709.4</v>
      </c>
      <c r="P253" s="215"/>
      <c r="Q253" s="215"/>
      <c r="R253" s="239"/>
      <c r="S253" s="61"/>
      <c r="T253" s="237"/>
      <c r="U253" s="215"/>
    </row>
    <row r="254" ht="16" customHeight="1">
      <c r="A254" t="s" s="216">
        <v>367</v>
      </c>
      <c r="B254" t="s" s="216">
        <v>368</v>
      </c>
      <c r="C254" t="s" s="216">
        <v>666</v>
      </c>
      <c r="D254" s="245">
        <v>2000</v>
      </c>
      <c r="E254" t="s" s="216">
        <v>747</v>
      </c>
      <c r="F254" s="245">
        <v>1706300701</v>
      </c>
      <c r="G254" s="244">
        <v>42552</v>
      </c>
      <c r="H254" s="244">
        <v>42916</v>
      </c>
      <c r="I254" s="245">
        <v>10</v>
      </c>
      <c r="J254" s="245">
        <v>0</v>
      </c>
      <c r="K254" t="s" s="216">
        <v>659</v>
      </c>
      <c r="L254" s="245">
        <v>364</v>
      </c>
      <c r="M254" s="245">
        <v>72</v>
      </c>
      <c r="N254" s="246">
        <v>0.1978021978021978</v>
      </c>
      <c r="O254" s="244">
        <f>H254-0.4*L254</f>
        <v>42770.4</v>
      </c>
      <c r="P254" s="215"/>
      <c r="Q254" s="215"/>
      <c r="R254" s="239"/>
      <c r="S254" s="61"/>
      <c r="T254" s="237"/>
      <c r="U254" s="215"/>
    </row>
    <row r="255" ht="16" customHeight="1">
      <c r="A255" t="s" s="216">
        <v>367</v>
      </c>
      <c r="B255" t="s" s="216">
        <v>368</v>
      </c>
      <c r="C255" t="s" s="216">
        <v>666</v>
      </c>
      <c r="D255" s="245">
        <v>2000</v>
      </c>
      <c r="E255" t="s" s="216">
        <v>747</v>
      </c>
      <c r="F255" s="245">
        <v>1708310901</v>
      </c>
      <c r="G255" s="244">
        <v>42614</v>
      </c>
      <c r="H255" s="244">
        <v>42978</v>
      </c>
      <c r="I255" s="245">
        <v>130</v>
      </c>
      <c r="J255" s="245">
        <v>0</v>
      </c>
      <c r="K255" t="s" s="216">
        <v>659</v>
      </c>
      <c r="L255" s="245">
        <v>364</v>
      </c>
      <c r="M255" s="245">
        <v>134</v>
      </c>
      <c r="N255" s="246">
        <v>0.3681318681318682</v>
      </c>
      <c r="O255" s="244">
        <f>H255-0.4*L255</f>
        <v>42832.4</v>
      </c>
      <c r="P255" s="215"/>
      <c r="Q255" s="215"/>
      <c r="R255" s="239"/>
      <c r="S255" s="61"/>
      <c r="T255" s="237"/>
      <c r="U255" s="215"/>
    </row>
    <row r="256" ht="16" customHeight="1">
      <c r="A256" t="s" s="216">
        <v>367</v>
      </c>
      <c r="B256" t="s" s="216">
        <v>368</v>
      </c>
      <c r="C256" t="s" s="216">
        <v>667</v>
      </c>
      <c r="D256" s="245">
        <v>2000</v>
      </c>
      <c r="E256" t="s" s="216">
        <v>743</v>
      </c>
      <c r="F256" s="245">
        <v>1708310901</v>
      </c>
      <c r="G256" s="244">
        <v>42614</v>
      </c>
      <c r="H256" s="244">
        <v>42978</v>
      </c>
      <c r="I256" s="245">
        <v>64</v>
      </c>
      <c r="J256" s="245">
        <v>0</v>
      </c>
      <c r="K256" t="s" s="216">
        <v>659</v>
      </c>
      <c r="L256" s="245">
        <v>364</v>
      </c>
      <c r="M256" s="245">
        <v>134</v>
      </c>
      <c r="N256" s="246">
        <v>0.3681318681318682</v>
      </c>
      <c r="O256" s="244">
        <f>H256-0.4*L256</f>
        <v>42832.4</v>
      </c>
      <c r="P256" s="215"/>
      <c r="Q256" s="215"/>
      <c r="R256" s="239"/>
      <c r="S256" s="61"/>
      <c r="T256" s="237"/>
      <c r="U256" s="215"/>
    </row>
    <row r="257" ht="16" customHeight="1">
      <c r="A257" t="s" s="216">
        <v>367</v>
      </c>
      <c r="B257" t="s" s="216">
        <v>368</v>
      </c>
      <c r="C257" t="s" s="216">
        <v>668</v>
      </c>
      <c r="D257" s="245">
        <v>2000</v>
      </c>
      <c r="E257" t="s" s="216">
        <v>743</v>
      </c>
      <c r="F257" s="245">
        <v>1706300701</v>
      </c>
      <c r="G257" s="244">
        <v>42552</v>
      </c>
      <c r="H257" s="244">
        <v>42916</v>
      </c>
      <c r="I257" s="245">
        <v>130</v>
      </c>
      <c r="J257" s="245">
        <v>0</v>
      </c>
      <c r="K257" t="s" s="216">
        <v>659</v>
      </c>
      <c r="L257" s="245">
        <v>364</v>
      </c>
      <c r="M257" s="245">
        <v>72</v>
      </c>
      <c r="N257" s="246">
        <v>0.1978021978021978</v>
      </c>
      <c r="O257" s="244">
        <f>H257-0.4*L257</f>
        <v>42770.4</v>
      </c>
      <c r="P257" s="215"/>
      <c r="Q257" s="215"/>
      <c r="R257" s="239"/>
      <c r="S257" s="61"/>
      <c r="T257" s="237"/>
      <c r="U257" s="215"/>
    </row>
    <row r="258" ht="16" customHeight="1">
      <c r="A258" t="s" s="216">
        <v>367</v>
      </c>
      <c r="B258" t="s" s="216">
        <v>368</v>
      </c>
      <c r="C258" t="s" s="216">
        <v>668</v>
      </c>
      <c r="D258" s="245">
        <v>2000</v>
      </c>
      <c r="E258" t="s" s="216">
        <v>743</v>
      </c>
      <c r="F258" s="245">
        <v>1708310901</v>
      </c>
      <c r="G258" s="244">
        <v>42614</v>
      </c>
      <c r="H258" s="244">
        <v>42978</v>
      </c>
      <c r="I258" s="245">
        <v>169</v>
      </c>
      <c r="J258" s="245">
        <v>0</v>
      </c>
      <c r="K258" t="s" s="216">
        <v>659</v>
      </c>
      <c r="L258" s="245">
        <v>364</v>
      </c>
      <c r="M258" s="245">
        <v>134</v>
      </c>
      <c r="N258" s="246">
        <v>0.3681318681318682</v>
      </c>
      <c r="O258" s="244">
        <f>H258-0.4*L258</f>
        <v>42832.4</v>
      </c>
      <c r="P258" s="215"/>
      <c r="Q258" s="215"/>
      <c r="R258" s="239"/>
      <c r="S258" s="61"/>
      <c r="T258" s="237"/>
      <c r="U258" s="215"/>
    </row>
    <row r="259" ht="16" customHeight="1">
      <c r="A259" t="s" s="216">
        <v>711</v>
      </c>
      <c r="B259" t="s" s="216">
        <v>754</v>
      </c>
      <c r="C259" t="s" s="216">
        <v>667</v>
      </c>
      <c r="D259" s="245">
        <v>2000</v>
      </c>
      <c r="E259" t="s" s="216">
        <v>743</v>
      </c>
      <c r="F259" s="245">
        <v>1708310901</v>
      </c>
      <c r="G259" s="244">
        <v>42614</v>
      </c>
      <c r="H259" s="244">
        <v>42978</v>
      </c>
      <c r="I259" s="245">
        <v>179</v>
      </c>
      <c r="J259" s="245">
        <v>0</v>
      </c>
      <c r="K259" t="s" s="216">
        <v>659</v>
      </c>
      <c r="L259" s="245">
        <v>364</v>
      </c>
      <c r="M259" s="245">
        <v>134</v>
      </c>
      <c r="N259" s="246">
        <v>0.3681318681318682</v>
      </c>
      <c r="O259" s="244">
        <f>H259-0.4*L259</f>
        <v>42832.4</v>
      </c>
      <c r="P259" s="215"/>
      <c r="Q259" s="215"/>
      <c r="R259" s="239"/>
      <c r="S259" s="61"/>
      <c r="T259" s="237"/>
      <c r="U259" s="215"/>
    </row>
    <row r="260" ht="16" customHeight="1">
      <c r="A260" t="s" s="216">
        <v>711</v>
      </c>
      <c r="B260" t="s" s="216">
        <v>754</v>
      </c>
      <c r="C260" t="s" s="216">
        <v>668</v>
      </c>
      <c r="D260" s="245">
        <v>2000</v>
      </c>
      <c r="E260" t="s" s="216">
        <v>743</v>
      </c>
      <c r="F260" s="245">
        <v>1706300701</v>
      </c>
      <c r="G260" s="244">
        <v>42552</v>
      </c>
      <c r="H260" s="244">
        <v>42916</v>
      </c>
      <c r="I260" s="245">
        <v>16</v>
      </c>
      <c r="J260" s="245">
        <v>0</v>
      </c>
      <c r="K260" t="s" s="216">
        <v>659</v>
      </c>
      <c r="L260" s="245">
        <v>364</v>
      </c>
      <c r="M260" s="245">
        <v>72</v>
      </c>
      <c r="N260" s="246">
        <v>0.1978021978021978</v>
      </c>
      <c r="O260" s="244">
        <f>H260-0.4*L260</f>
        <v>42770.4</v>
      </c>
      <c r="P260" s="215"/>
      <c r="Q260" s="215"/>
      <c r="R260" s="239"/>
      <c r="S260" s="61"/>
      <c r="T260" s="237"/>
      <c r="U260" s="215"/>
    </row>
    <row r="261" ht="16" customHeight="1">
      <c r="A261" t="s" s="216">
        <v>379</v>
      </c>
      <c r="B261" t="s" s="216">
        <v>380</v>
      </c>
      <c r="C261" t="s" s="216">
        <v>657</v>
      </c>
      <c r="D261" s="245">
        <v>1000</v>
      </c>
      <c r="E261" t="s" s="216">
        <v>743</v>
      </c>
      <c r="F261" s="245">
        <v>1705310601</v>
      </c>
      <c r="G261" s="244">
        <v>42522</v>
      </c>
      <c r="H261" s="244">
        <v>42886</v>
      </c>
      <c r="I261" s="245">
        <v>7</v>
      </c>
      <c r="J261" s="245">
        <v>0</v>
      </c>
      <c r="K261" t="s" s="216">
        <v>659</v>
      </c>
      <c r="L261" s="245">
        <v>364</v>
      </c>
      <c r="M261" s="245">
        <v>42</v>
      </c>
      <c r="N261" s="246">
        <v>0.1153846153846154</v>
      </c>
      <c r="O261" s="244">
        <f>H261-0.4*L261</f>
        <v>42740.4</v>
      </c>
      <c r="P261" s="215"/>
      <c r="Q261" s="215"/>
      <c r="R261" s="239"/>
      <c r="S261" s="61"/>
      <c r="T261" s="237"/>
      <c r="U261" s="215"/>
    </row>
    <row r="262" ht="16" customHeight="1">
      <c r="A262" t="s" s="216">
        <v>379</v>
      </c>
      <c r="B262" t="s" s="216">
        <v>380</v>
      </c>
      <c r="C262" t="s" s="216">
        <v>657</v>
      </c>
      <c r="D262" s="245">
        <v>1000</v>
      </c>
      <c r="E262" t="s" s="216">
        <v>743</v>
      </c>
      <c r="F262" s="245">
        <v>1707310801</v>
      </c>
      <c r="G262" s="244">
        <v>42583</v>
      </c>
      <c r="H262" s="244">
        <v>42947</v>
      </c>
      <c r="I262" s="245">
        <v>172</v>
      </c>
      <c r="J262" s="245">
        <v>0</v>
      </c>
      <c r="K262" t="s" s="216">
        <v>659</v>
      </c>
      <c r="L262" s="245">
        <v>364</v>
      </c>
      <c r="M262" s="245">
        <v>103</v>
      </c>
      <c r="N262" s="246">
        <v>0.282967032967033</v>
      </c>
      <c r="O262" s="244">
        <f>H262-0.4*L262</f>
        <v>42801.4</v>
      </c>
      <c r="P262" s="215"/>
      <c r="Q262" s="215"/>
      <c r="R262" s="239"/>
      <c r="S262" s="61"/>
      <c r="T262" s="237"/>
      <c r="U262" s="215"/>
    </row>
    <row r="263" ht="16" customHeight="1">
      <c r="A263" t="s" s="216">
        <v>379</v>
      </c>
      <c r="B263" t="s" s="216">
        <v>380</v>
      </c>
      <c r="C263" t="s" s="216">
        <v>666</v>
      </c>
      <c r="D263" s="245">
        <v>2000</v>
      </c>
      <c r="E263" t="s" s="216">
        <v>747</v>
      </c>
      <c r="F263" s="245">
        <v>1706300701</v>
      </c>
      <c r="G263" s="244">
        <v>42552</v>
      </c>
      <c r="H263" s="244">
        <v>42916</v>
      </c>
      <c r="I263" s="245">
        <v>276</v>
      </c>
      <c r="J263" s="245">
        <v>0</v>
      </c>
      <c r="K263" t="s" s="216">
        <v>659</v>
      </c>
      <c r="L263" s="245">
        <v>364</v>
      </c>
      <c r="M263" s="245">
        <v>72</v>
      </c>
      <c r="N263" s="246">
        <v>0.1978021978021978</v>
      </c>
      <c r="O263" s="244">
        <f>H263-0.4*L263</f>
        <v>42770.4</v>
      </c>
      <c r="P263" s="215"/>
      <c r="Q263" s="215"/>
      <c r="R263" s="239"/>
      <c r="S263" s="61"/>
      <c r="T263" s="237"/>
      <c r="U263" s="215"/>
    </row>
    <row r="264" ht="16" customHeight="1">
      <c r="A264" t="s" s="216">
        <v>379</v>
      </c>
      <c r="B264" t="s" s="216">
        <v>380</v>
      </c>
      <c r="C264" t="s" s="216">
        <v>666</v>
      </c>
      <c r="D264" s="245">
        <v>2000</v>
      </c>
      <c r="E264" t="s" s="216">
        <v>747</v>
      </c>
      <c r="F264" s="245">
        <v>1707310801</v>
      </c>
      <c r="G264" s="244">
        <v>42583</v>
      </c>
      <c r="H264" s="244">
        <v>42947</v>
      </c>
      <c r="I264" s="245">
        <v>61</v>
      </c>
      <c r="J264" s="245">
        <v>0</v>
      </c>
      <c r="K264" t="s" s="216">
        <v>659</v>
      </c>
      <c r="L264" s="245">
        <v>364</v>
      </c>
      <c r="M264" s="245">
        <v>103</v>
      </c>
      <c r="N264" s="246">
        <v>0.282967032967033</v>
      </c>
      <c r="O264" s="244">
        <f>H264-0.4*L264</f>
        <v>42801.4</v>
      </c>
      <c r="P264" s="215"/>
      <c r="Q264" s="215"/>
      <c r="R264" s="239"/>
      <c r="S264" s="61"/>
      <c r="T264" s="237"/>
      <c r="U264" s="215"/>
    </row>
    <row r="265" ht="16" customHeight="1">
      <c r="A265" t="s" s="216">
        <v>379</v>
      </c>
      <c r="B265" t="s" s="216">
        <v>380</v>
      </c>
      <c r="C265" t="s" s="216">
        <v>667</v>
      </c>
      <c r="D265" s="245">
        <v>2000</v>
      </c>
      <c r="E265" t="s" s="216">
        <v>743</v>
      </c>
      <c r="F265" s="245">
        <v>1707310801</v>
      </c>
      <c r="G265" s="244">
        <v>42583</v>
      </c>
      <c r="H265" s="244">
        <v>42947</v>
      </c>
      <c r="I265" s="245">
        <v>4</v>
      </c>
      <c r="J265" s="245">
        <v>0</v>
      </c>
      <c r="K265" t="s" s="216">
        <v>659</v>
      </c>
      <c r="L265" s="245">
        <v>364</v>
      </c>
      <c r="M265" s="245">
        <v>103</v>
      </c>
      <c r="N265" s="246">
        <v>0.282967032967033</v>
      </c>
      <c r="O265" s="244">
        <f>H265-0.4*L265</f>
        <v>42801.4</v>
      </c>
      <c r="P265" s="215"/>
      <c r="Q265" s="215"/>
      <c r="R265" s="239"/>
      <c r="S265" s="61"/>
      <c r="T265" s="237"/>
      <c r="U265" s="215"/>
    </row>
    <row r="266" ht="16" customHeight="1">
      <c r="A266" t="s" s="216">
        <v>379</v>
      </c>
      <c r="B266" t="s" s="216">
        <v>380</v>
      </c>
      <c r="C266" t="s" s="216">
        <v>668</v>
      </c>
      <c r="D266" s="245">
        <v>2000</v>
      </c>
      <c r="E266" t="s" s="216">
        <v>743</v>
      </c>
      <c r="F266" s="245">
        <v>1705310601</v>
      </c>
      <c r="G266" s="244">
        <v>42522</v>
      </c>
      <c r="H266" s="244">
        <v>42886</v>
      </c>
      <c r="I266" s="245">
        <v>8</v>
      </c>
      <c r="J266" s="245">
        <v>0</v>
      </c>
      <c r="K266" t="s" s="216">
        <v>659</v>
      </c>
      <c r="L266" s="245">
        <v>364</v>
      </c>
      <c r="M266" s="245">
        <v>42</v>
      </c>
      <c r="N266" s="246">
        <v>0.1153846153846154</v>
      </c>
      <c r="O266" s="244">
        <f>H266-0.4*L266</f>
        <v>42740.4</v>
      </c>
      <c r="P266" s="215"/>
      <c r="Q266" s="215"/>
      <c r="R266" s="239"/>
      <c r="S266" s="61"/>
      <c r="T266" s="237"/>
      <c r="U266" s="215"/>
    </row>
    <row r="267" ht="16" customHeight="1">
      <c r="A267" t="s" s="216">
        <v>379</v>
      </c>
      <c r="B267" t="s" s="216">
        <v>380</v>
      </c>
      <c r="C267" t="s" s="216">
        <v>668</v>
      </c>
      <c r="D267" s="245">
        <v>2000</v>
      </c>
      <c r="E267" t="s" s="216">
        <v>743</v>
      </c>
      <c r="F267" s="245">
        <v>1707310801</v>
      </c>
      <c r="G267" s="244">
        <v>42583</v>
      </c>
      <c r="H267" s="244">
        <v>42947</v>
      </c>
      <c r="I267" s="245">
        <v>8</v>
      </c>
      <c r="J267" s="245">
        <v>0</v>
      </c>
      <c r="K267" t="s" s="216">
        <v>659</v>
      </c>
      <c r="L267" s="245">
        <v>364</v>
      </c>
      <c r="M267" s="245">
        <v>103</v>
      </c>
      <c r="N267" s="246">
        <v>0.282967032967033</v>
      </c>
      <c r="O267" s="244">
        <f>H267-0.4*L267</f>
        <v>42801.4</v>
      </c>
      <c r="P267" s="215"/>
      <c r="Q267" s="215"/>
      <c r="R267" s="239"/>
      <c r="S267" s="61"/>
      <c r="T267" s="237"/>
      <c r="U267" s="215"/>
    </row>
    <row r="268" ht="16" customHeight="1">
      <c r="A268" t="s" s="216">
        <v>391</v>
      </c>
      <c r="B268" t="s" s="216">
        <v>392</v>
      </c>
      <c r="C268" t="s" s="216">
        <v>657</v>
      </c>
      <c r="D268" s="245">
        <v>1000</v>
      </c>
      <c r="E268" t="s" s="216">
        <v>743</v>
      </c>
      <c r="F268" s="245">
        <v>1707310801</v>
      </c>
      <c r="G268" s="244">
        <v>42583</v>
      </c>
      <c r="H268" s="244">
        <v>42947</v>
      </c>
      <c r="I268" s="245">
        <v>140</v>
      </c>
      <c r="J268" s="245">
        <v>0</v>
      </c>
      <c r="K268" t="s" s="216">
        <v>659</v>
      </c>
      <c r="L268" s="245">
        <v>364</v>
      </c>
      <c r="M268" s="245">
        <v>103</v>
      </c>
      <c r="N268" s="246">
        <v>0.282967032967033</v>
      </c>
      <c r="O268" s="244">
        <f>H268-0.4*L268</f>
        <v>42801.4</v>
      </c>
      <c r="P268" s="215"/>
      <c r="Q268" s="215"/>
      <c r="R268" s="239"/>
      <c r="S268" s="61"/>
      <c r="T268" s="237"/>
      <c r="U268" s="215"/>
    </row>
    <row r="269" ht="16" customHeight="1">
      <c r="A269" t="s" s="216">
        <v>391</v>
      </c>
      <c r="B269" t="s" s="216">
        <v>392</v>
      </c>
      <c r="C269" t="s" s="216">
        <v>666</v>
      </c>
      <c r="D269" s="245">
        <v>2000</v>
      </c>
      <c r="E269" t="s" s="216">
        <v>747</v>
      </c>
      <c r="F269" s="245">
        <v>1706300701</v>
      </c>
      <c r="G269" s="244">
        <v>42552</v>
      </c>
      <c r="H269" s="244">
        <v>42916</v>
      </c>
      <c r="I269" s="245">
        <v>4</v>
      </c>
      <c r="J269" s="245">
        <v>0</v>
      </c>
      <c r="K269" t="s" s="216">
        <v>659</v>
      </c>
      <c r="L269" s="245">
        <v>364</v>
      </c>
      <c r="M269" s="245">
        <v>72</v>
      </c>
      <c r="N269" s="246">
        <v>0.1978021978021978</v>
      </c>
      <c r="O269" s="244">
        <f>H269-0.4*L269</f>
        <v>42770.4</v>
      </c>
      <c r="P269" s="215"/>
      <c r="Q269" s="215"/>
      <c r="R269" s="239"/>
      <c r="S269" s="61"/>
      <c r="T269" s="237"/>
      <c r="U269" s="215"/>
    </row>
    <row r="270" ht="16" customHeight="1">
      <c r="A270" t="s" s="216">
        <v>391</v>
      </c>
      <c r="B270" t="s" s="216">
        <v>392</v>
      </c>
      <c r="C270" t="s" s="216">
        <v>666</v>
      </c>
      <c r="D270" s="245">
        <v>2000</v>
      </c>
      <c r="E270" t="s" s="216">
        <v>747</v>
      </c>
      <c r="F270" s="245">
        <v>1707310801</v>
      </c>
      <c r="G270" s="244">
        <v>42583</v>
      </c>
      <c r="H270" s="244">
        <v>42947</v>
      </c>
      <c r="I270" s="245">
        <v>36</v>
      </c>
      <c r="J270" s="245">
        <v>0</v>
      </c>
      <c r="K270" t="s" s="216">
        <v>659</v>
      </c>
      <c r="L270" s="245">
        <v>364</v>
      </c>
      <c r="M270" s="245">
        <v>103</v>
      </c>
      <c r="N270" s="246">
        <v>0.282967032967033</v>
      </c>
      <c r="O270" s="244">
        <f>H270-0.4*L270</f>
        <v>42801.4</v>
      </c>
      <c r="P270" s="215"/>
      <c r="Q270" s="215"/>
      <c r="R270" s="239"/>
      <c r="S270" s="61"/>
      <c r="T270" s="237"/>
      <c r="U270" s="215"/>
    </row>
    <row r="271" ht="16" customHeight="1">
      <c r="A271" t="s" s="216">
        <v>391</v>
      </c>
      <c r="B271" t="s" s="216">
        <v>392</v>
      </c>
      <c r="C271" t="s" s="216">
        <v>667</v>
      </c>
      <c r="D271" s="245">
        <v>2000</v>
      </c>
      <c r="E271" t="s" s="216">
        <v>743</v>
      </c>
      <c r="F271" s="245">
        <v>1711301201</v>
      </c>
      <c r="G271" s="244">
        <v>42705</v>
      </c>
      <c r="H271" s="244">
        <v>43069</v>
      </c>
      <c r="I271" s="245">
        <v>5</v>
      </c>
      <c r="J271" s="245">
        <v>0</v>
      </c>
      <c r="K271" t="s" s="216">
        <v>659</v>
      </c>
      <c r="L271" s="245">
        <v>364</v>
      </c>
      <c r="M271" s="245">
        <v>225</v>
      </c>
      <c r="N271" s="246">
        <v>0.6181318681318682</v>
      </c>
      <c r="O271" s="244">
        <f>H271-0.4*L271</f>
        <v>42923.4</v>
      </c>
      <c r="P271" s="215"/>
      <c r="Q271" s="215"/>
      <c r="R271" s="239"/>
      <c r="S271" s="61"/>
      <c r="T271" s="237"/>
      <c r="U271" s="215"/>
    </row>
    <row r="272" ht="16" customHeight="1">
      <c r="A272" t="s" s="216">
        <v>391</v>
      </c>
      <c r="B272" t="s" s="216">
        <v>392</v>
      </c>
      <c r="C272" t="s" s="216">
        <v>668</v>
      </c>
      <c r="D272" s="245">
        <v>2000</v>
      </c>
      <c r="E272" t="s" s="216">
        <v>743</v>
      </c>
      <c r="F272" s="245">
        <v>1706300701</v>
      </c>
      <c r="G272" s="244">
        <v>42552</v>
      </c>
      <c r="H272" s="244">
        <v>42916</v>
      </c>
      <c r="I272" s="245">
        <v>30</v>
      </c>
      <c r="J272" s="245">
        <v>0</v>
      </c>
      <c r="K272" t="s" s="216">
        <v>659</v>
      </c>
      <c r="L272" s="245">
        <v>364</v>
      </c>
      <c r="M272" s="245">
        <v>72</v>
      </c>
      <c r="N272" s="246">
        <v>0.1978021978021978</v>
      </c>
      <c r="O272" s="244">
        <f>H272-0.4*L272</f>
        <v>42770.4</v>
      </c>
      <c r="P272" s="215"/>
      <c r="Q272" s="215"/>
      <c r="R272" s="239"/>
      <c r="S272" s="61"/>
      <c r="T272" s="237"/>
      <c r="U272" s="215"/>
    </row>
    <row r="273" ht="16" customHeight="1">
      <c r="A273" t="s" s="216">
        <v>391</v>
      </c>
      <c r="B273" t="s" s="216">
        <v>392</v>
      </c>
      <c r="C273" t="s" s="216">
        <v>668</v>
      </c>
      <c r="D273" s="245">
        <v>2000</v>
      </c>
      <c r="E273" t="s" s="216">
        <v>743</v>
      </c>
      <c r="F273" s="245">
        <v>1707310801</v>
      </c>
      <c r="G273" s="244">
        <v>42583</v>
      </c>
      <c r="H273" s="244">
        <v>42947</v>
      </c>
      <c r="I273" s="245">
        <v>52</v>
      </c>
      <c r="J273" s="245">
        <v>0</v>
      </c>
      <c r="K273" t="s" s="216">
        <v>659</v>
      </c>
      <c r="L273" s="245">
        <v>364</v>
      </c>
      <c r="M273" s="245">
        <v>103</v>
      </c>
      <c r="N273" s="246">
        <v>0.282967032967033</v>
      </c>
      <c r="O273" s="244">
        <f>H273-0.4*L273</f>
        <v>42801.4</v>
      </c>
      <c r="P273" s="215"/>
      <c r="Q273" s="215"/>
      <c r="R273" s="239"/>
      <c r="S273" s="61"/>
      <c r="T273" s="237"/>
      <c r="U273" s="215"/>
    </row>
    <row r="274" ht="16" customHeight="1">
      <c r="A274" t="s" s="216">
        <v>403</v>
      </c>
      <c r="B274" t="s" s="216">
        <v>404</v>
      </c>
      <c r="C274" t="s" s="216">
        <v>668</v>
      </c>
      <c r="D274" s="245">
        <v>2000</v>
      </c>
      <c r="E274" t="s" s="216">
        <v>743</v>
      </c>
      <c r="F274" s="245">
        <v>1705310601</v>
      </c>
      <c r="G274" s="244">
        <v>42522</v>
      </c>
      <c r="H274" s="244">
        <v>42886</v>
      </c>
      <c r="I274" s="245">
        <v>70</v>
      </c>
      <c r="J274" s="245">
        <v>0</v>
      </c>
      <c r="K274" t="s" s="216">
        <v>659</v>
      </c>
      <c r="L274" s="245">
        <v>364</v>
      </c>
      <c r="M274" s="245">
        <v>42</v>
      </c>
      <c r="N274" s="246">
        <v>0.1153846153846154</v>
      </c>
      <c r="O274" s="244">
        <f>H274-0.4*L274</f>
        <v>42740.4</v>
      </c>
      <c r="P274" s="215"/>
      <c r="Q274" s="215"/>
      <c r="R274" s="239"/>
      <c r="S274" s="61"/>
      <c r="T274" s="237"/>
      <c r="U274" s="215"/>
    </row>
    <row r="275" ht="16" customHeight="1">
      <c r="A275" t="s" s="216">
        <v>403</v>
      </c>
      <c r="B275" t="s" s="216">
        <v>404</v>
      </c>
      <c r="C275" t="s" s="216">
        <v>668</v>
      </c>
      <c r="D275" s="245">
        <v>2000</v>
      </c>
      <c r="E275" t="s" s="216">
        <v>743</v>
      </c>
      <c r="F275" s="245">
        <v>1706300701</v>
      </c>
      <c r="G275" s="244">
        <v>42552</v>
      </c>
      <c r="H275" s="244">
        <v>42916</v>
      </c>
      <c r="I275" s="245">
        <v>130</v>
      </c>
      <c r="J275" s="245">
        <v>0</v>
      </c>
      <c r="K275" t="s" s="216">
        <v>659</v>
      </c>
      <c r="L275" s="245">
        <v>364</v>
      </c>
      <c r="M275" s="245">
        <v>72</v>
      </c>
      <c r="N275" s="246">
        <v>0.1978021978021978</v>
      </c>
      <c r="O275" s="244">
        <f>H275-0.4*L275</f>
        <v>42770.4</v>
      </c>
      <c r="P275" s="215"/>
      <c r="Q275" s="215"/>
      <c r="R275" s="239"/>
      <c r="S275" s="61"/>
      <c r="T275" s="237"/>
      <c r="U275" s="215"/>
    </row>
    <row r="276" ht="16" customHeight="1">
      <c r="A276" t="s" s="216">
        <v>568</v>
      </c>
      <c r="B276" t="s" s="216">
        <v>755</v>
      </c>
      <c r="C276" t="s" s="216">
        <v>666</v>
      </c>
      <c r="D276" s="245">
        <v>2000</v>
      </c>
      <c r="E276" t="s" s="216">
        <v>747</v>
      </c>
      <c r="F276" s="245">
        <v>1707310801</v>
      </c>
      <c r="G276" s="244">
        <v>42583</v>
      </c>
      <c r="H276" s="244">
        <v>42947</v>
      </c>
      <c r="I276" s="245">
        <v>3</v>
      </c>
      <c r="J276" s="245">
        <v>0</v>
      </c>
      <c r="K276" t="s" s="216">
        <v>659</v>
      </c>
      <c r="L276" s="245">
        <v>364</v>
      </c>
      <c r="M276" s="245">
        <v>103</v>
      </c>
      <c r="N276" s="246">
        <v>0.282967032967033</v>
      </c>
      <c r="O276" s="244">
        <f>H276-0.4*L276</f>
        <v>42801.4</v>
      </c>
      <c r="P276" s="215"/>
      <c r="Q276" s="215"/>
      <c r="R276" s="239"/>
      <c r="S276" s="61"/>
      <c r="T276" s="237"/>
      <c r="U276" s="215"/>
    </row>
    <row r="277" ht="16" customHeight="1">
      <c r="A277" t="s" s="216">
        <v>568</v>
      </c>
      <c r="B277" t="s" s="216">
        <v>755</v>
      </c>
      <c r="C277" t="s" s="216">
        <v>667</v>
      </c>
      <c r="D277" s="245">
        <v>2000</v>
      </c>
      <c r="E277" t="s" s="216">
        <v>743</v>
      </c>
      <c r="F277" s="245">
        <v>1708310901</v>
      </c>
      <c r="G277" s="244">
        <v>42614</v>
      </c>
      <c r="H277" s="244">
        <v>42978</v>
      </c>
      <c r="I277" s="245">
        <v>80</v>
      </c>
      <c r="J277" s="245">
        <v>0</v>
      </c>
      <c r="K277" t="s" s="216">
        <v>659</v>
      </c>
      <c r="L277" s="245">
        <v>364</v>
      </c>
      <c r="M277" s="245">
        <v>134</v>
      </c>
      <c r="N277" s="246">
        <v>0.3681318681318682</v>
      </c>
      <c r="O277" s="244">
        <f>H277-0.4*L277</f>
        <v>42832.4</v>
      </c>
      <c r="P277" s="215"/>
      <c r="Q277" s="215"/>
      <c r="R277" s="239"/>
      <c r="S277" s="61"/>
      <c r="T277" s="237"/>
      <c r="U277" s="215"/>
    </row>
    <row r="278" ht="16" customHeight="1">
      <c r="A278" t="s" s="216">
        <v>568</v>
      </c>
      <c r="B278" t="s" s="216">
        <v>755</v>
      </c>
      <c r="C278" t="s" s="216">
        <v>668</v>
      </c>
      <c r="D278" s="245">
        <v>2000</v>
      </c>
      <c r="E278" t="s" s="216">
        <v>743</v>
      </c>
      <c r="F278" s="245">
        <v>1705310601</v>
      </c>
      <c r="G278" s="244">
        <v>42522</v>
      </c>
      <c r="H278" s="244">
        <v>42886</v>
      </c>
      <c r="I278" s="245">
        <v>80</v>
      </c>
      <c r="J278" s="245">
        <v>0</v>
      </c>
      <c r="K278" t="s" s="216">
        <v>659</v>
      </c>
      <c r="L278" s="245">
        <v>364</v>
      </c>
      <c r="M278" s="245">
        <v>42</v>
      </c>
      <c r="N278" s="246">
        <v>0.1153846153846154</v>
      </c>
      <c r="O278" s="244">
        <f>H278-0.4*L278</f>
        <v>42740.4</v>
      </c>
      <c r="P278" s="215"/>
      <c r="Q278" s="215"/>
      <c r="R278" s="239"/>
      <c r="S278" s="61"/>
      <c r="T278" s="237"/>
      <c r="U278" s="215"/>
    </row>
    <row r="279" ht="16" customHeight="1">
      <c r="A279" t="s" s="216">
        <v>568</v>
      </c>
      <c r="B279" t="s" s="216">
        <v>755</v>
      </c>
      <c r="C279" t="s" s="216">
        <v>668</v>
      </c>
      <c r="D279" s="245">
        <v>2000</v>
      </c>
      <c r="E279" t="s" s="216">
        <v>743</v>
      </c>
      <c r="F279" s="245">
        <v>1706300701</v>
      </c>
      <c r="G279" s="244">
        <v>42552</v>
      </c>
      <c r="H279" s="244">
        <v>42916</v>
      </c>
      <c r="I279" s="245">
        <v>10</v>
      </c>
      <c r="J279" s="245">
        <v>0</v>
      </c>
      <c r="K279" t="s" s="216">
        <v>659</v>
      </c>
      <c r="L279" s="245">
        <v>364</v>
      </c>
      <c r="M279" s="245">
        <v>72</v>
      </c>
      <c r="N279" s="246">
        <v>0.1978021978021978</v>
      </c>
      <c r="O279" s="244">
        <f>H279-0.4*L279</f>
        <v>42770.4</v>
      </c>
      <c r="P279" s="215"/>
      <c r="Q279" s="215"/>
      <c r="R279" s="239"/>
      <c r="S279" s="61"/>
      <c r="T279" s="237"/>
      <c r="U279" s="215"/>
    </row>
    <row r="280" ht="16" customHeight="1">
      <c r="A280" t="s" s="216">
        <v>568</v>
      </c>
      <c r="B280" t="s" s="216">
        <v>755</v>
      </c>
      <c r="C280" t="s" s="216">
        <v>668</v>
      </c>
      <c r="D280" s="245">
        <v>2000</v>
      </c>
      <c r="E280" t="s" s="216">
        <v>743</v>
      </c>
      <c r="F280" s="245">
        <v>1707310801</v>
      </c>
      <c r="G280" s="244">
        <v>42583</v>
      </c>
      <c r="H280" s="244">
        <v>42947</v>
      </c>
      <c r="I280" s="245">
        <v>20</v>
      </c>
      <c r="J280" s="245">
        <v>0</v>
      </c>
      <c r="K280" t="s" s="216">
        <v>659</v>
      </c>
      <c r="L280" s="245">
        <v>364</v>
      </c>
      <c r="M280" s="245">
        <v>103</v>
      </c>
      <c r="N280" s="246">
        <v>0.282967032967033</v>
      </c>
      <c r="O280" s="244">
        <f>H280-0.4*L280</f>
        <v>42801.4</v>
      </c>
      <c r="P280" s="215"/>
      <c r="Q280" s="215"/>
      <c r="R280" s="239"/>
      <c r="S280" s="61"/>
      <c r="T280" s="237"/>
      <c r="U280" s="215"/>
    </row>
    <row r="281" ht="16" customHeight="1">
      <c r="A281" t="s" s="216">
        <v>415</v>
      </c>
      <c r="B281" t="s" s="216">
        <v>416</v>
      </c>
      <c r="C281" t="s" s="216">
        <v>667</v>
      </c>
      <c r="D281" s="245">
        <v>2000</v>
      </c>
      <c r="E281" t="s" s="216">
        <v>743</v>
      </c>
      <c r="F281" s="245">
        <v>1709301001</v>
      </c>
      <c r="G281" s="244">
        <v>42644</v>
      </c>
      <c r="H281" s="244">
        <v>43008</v>
      </c>
      <c r="I281" s="245">
        <v>80</v>
      </c>
      <c r="J281" s="245">
        <v>0</v>
      </c>
      <c r="K281" t="s" s="216">
        <v>659</v>
      </c>
      <c r="L281" s="245">
        <v>364</v>
      </c>
      <c r="M281" s="245">
        <v>164</v>
      </c>
      <c r="N281" s="246">
        <v>0.4505494505494506</v>
      </c>
      <c r="O281" s="244">
        <f>H281-0.4*L281</f>
        <v>42862.4</v>
      </c>
      <c r="P281" s="215"/>
      <c r="Q281" s="215"/>
      <c r="R281" s="239"/>
      <c r="S281" s="61"/>
      <c r="T281" s="237"/>
      <c r="U281" s="215"/>
    </row>
    <row r="282" ht="16" customHeight="1">
      <c r="A282" t="s" s="216">
        <v>415</v>
      </c>
      <c r="B282" t="s" s="216">
        <v>416</v>
      </c>
      <c r="C282" t="s" s="216">
        <v>668</v>
      </c>
      <c r="D282" s="245">
        <v>2000</v>
      </c>
      <c r="E282" t="s" s="216">
        <v>743</v>
      </c>
      <c r="F282" s="245">
        <v>1705310601</v>
      </c>
      <c r="G282" s="244">
        <v>42522</v>
      </c>
      <c r="H282" s="244">
        <v>42886</v>
      </c>
      <c r="I282" s="245">
        <v>226</v>
      </c>
      <c r="J282" s="245">
        <v>0</v>
      </c>
      <c r="K282" t="s" s="216">
        <v>659</v>
      </c>
      <c r="L282" s="245">
        <v>364</v>
      </c>
      <c r="M282" s="245">
        <v>42</v>
      </c>
      <c r="N282" s="246">
        <v>0.1153846153846154</v>
      </c>
      <c r="O282" s="244">
        <f>H282-0.4*L282</f>
        <v>42740.4</v>
      </c>
      <c r="P282" s="215"/>
      <c r="Q282" s="215"/>
      <c r="R282" s="239"/>
      <c r="S282" s="61"/>
      <c r="T282" s="237"/>
      <c r="U282" s="215"/>
    </row>
    <row r="283" ht="16" customHeight="1">
      <c r="A283" t="s" s="216">
        <v>427</v>
      </c>
      <c r="B283" t="s" s="216">
        <v>756</v>
      </c>
      <c r="C283" t="s" s="216">
        <v>657</v>
      </c>
      <c r="D283" s="245">
        <v>1000</v>
      </c>
      <c r="E283" t="s" s="216">
        <v>743</v>
      </c>
      <c r="F283" s="245">
        <v>1706300701</v>
      </c>
      <c r="G283" s="244">
        <v>42552</v>
      </c>
      <c r="H283" s="244">
        <v>42916</v>
      </c>
      <c r="I283" s="245">
        <v>8</v>
      </c>
      <c r="J283" s="245">
        <v>0</v>
      </c>
      <c r="K283" t="s" s="216">
        <v>659</v>
      </c>
      <c r="L283" s="245">
        <v>364</v>
      </c>
      <c r="M283" s="245">
        <v>72</v>
      </c>
      <c r="N283" s="246">
        <v>0.1978021978021978</v>
      </c>
      <c r="O283" s="244">
        <f>H283-0.4*L283</f>
        <v>42770.4</v>
      </c>
      <c r="P283" s="215"/>
      <c r="Q283" s="215"/>
      <c r="R283" s="239"/>
      <c r="S283" s="61"/>
      <c r="T283" s="237"/>
      <c r="U283" s="215"/>
    </row>
    <row r="284" ht="16" customHeight="1">
      <c r="A284" t="s" s="216">
        <v>427</v>
      </c>
      <c r="B284" t="s" s="216">
        <v>756</v>
      </c>
      <c r="C284" t="s" s="216">
        <v>657</v>
      </c>
      <c r="D284" s="245">
        <v>1000</v>
      </c>
      <c r="E284" t="s" s="216">
        <v>743</v>
      </c>
      <c r="F284" s="245">
        <v>1708310901</v>
      </c>
      <c r="G284" s="244">
        <v>42614</v>
      </c>
      <c r="H284" s="244">
        <v>42978</v>
      </c>
      <c r="I284" s="245">
        <v>673</v>
      </c>
      <c r="J284" s="245">
        <v>0</v>
      </c>
      <c r="K284" t="s" s="216">
        <v>659</v>
      </c>
      <c r="L284" s="245">
        <v>364</v>
      </c>
      <c r="M284" s="245">
        <v>134</v>
      </c>
      <c r="N284" s="246">
        <v>0.3681318681318682</v>
      </c>
      <c r="O284" s="244">
        <f>H284-0.4*L284</f>
        <v>42832.4</v>
      </c>
      <c r="P284" s="215"/>
      <c r="Q284" s="215"/>
      <c r="R284" s="239"/>
      <c r="S284" s="61"/>
      <c r="T284" s="237"/>
      <c r="U284" s="215"/>
    </row>
    <row r="285" ht="16" customHeight="1">
      <c r="A285" t="s" s="216">
        <v>427</v>
      </c>
      <c r="B285" t="s" s="216">
        <v>756</v>
      </c>
      <c r="C285" t="s" s="216">
        <v>657</v>
      </c>
      <c r="D285" s="245">
        <v>1000</v>
      </c>
      <c r="E285" t="s" s="216">
        <v>743</v>
      </c>
      <c r="F285" s="245">
        <v>1710311101</v>
      </c>
      <c r="G285" s="244">
        <v>42675</v>
      </c>
      <c r="H285" s="244">
        <v>43039</v>
      </c>
      <c r="I285" s="245">
        <v>7</v>
      </c>
      <c r="J285" s="245">
        <v>0</v>
      </c>
      <c r="K285" t="s" s="216">
        <v>659</v>
      </c>
      <c r="L285" s="245">
        <v>364</v>
      </c>
      <c r="M285" s="245">
        <v>195</v>
      </c>
      <c r="N285" s="246">
        <v>0.5357142857142857</v>
      </c>
      <c r="O285" s="244">
        <f>H285-0.4*L285</f>
        <v>42893.4</v>
      </c>
      <c r="P285" s="215"/>
      <c r="Q285" s="215"/>
      <c r="R285" s="239"/>
      <c r="S285" s="61"/>
      <c r="T285" s="237"/>
      <c r="U285" s="215"/>
    </row>
    <row r="286" ht="16" customHeight="1">
      <c r="A286" t="s" s="216">
        <v>427</v>
      </c>
      <c r="B286" t="s" s="216">
        <v>756</v>
      </c>
      <c r="C286" t="s" s="216">
        <v>657</v>
      </c>
      <c r="D286" s="245">
        <v>1000</v>
      </c>
      <c r="E286" t="s" s="216">
        <v>743</v>
      </c>
      <c r="F286" s="245">
        <v>1711301201</v>
      </c>
      <c r="G286" s="244">
        <v>42705</v>
      </c>
      <c r="H286" s="244">
        <v>43069</v>
      </c>
      <c r="I286" s="245">
        <v>1584</v>
      </c>
      <c r="J286" s="245">
        <v>0</v>
      </c>
      <c r="K286" t="s" s="216">
        <v>659</v>
      </c>
      <c r="L286" s="245">
        <v>364</v>
      </c>
      <c r="M286" s="245">
        <v>225</v>
      </c>
      <c r="N286" s="246">
        <v>0.6181318681318682</v>
      </c>
      <c r="O286" s="244">
        <f>H286-0.4*L286</f>
        <v>42923.4</v>
      </c>
      <c r="P286" s="215"/>
      <c r="Q286" s="215"/>
      <c r="R286" s="239"/>
      <c r="S286" s="61"/>
      <c r="T286" s="237"/>
      <c r="U286" s="215"/>
    </row>
    <row r="287" ht="16" customHeight="1">
      <c r="A287" t="s" s="216">
        <v>427</v>
      </c>
      <c r="B287" t="s" s="216">
        <v>756</v>
      </c>
      <c r="C287" t="s" s="216">
        <v>666</v>
      </c>
      <c r="D287" s="245">
        <v>2000</v>
      </c>
      <c r="E287" t="s" s="216">
        <v>747</v>
      </c>
      <c r="F287" s="245">
        <v>1707310801</v>
      </c>
      <c r="G287" s="244">
        <v>42583</v>
      </c>
      <c r="H287" s="244">
        <v>42947</v>
      </c>
      <c r="I287" s="245">
        <v>6</v>
      </c>
      <c r="J287" s="245">
        <v>0</v>
      </c>
      <c r="K287" t="s" s="216">
        <v>659</v>
      </c>
      <c r="L287" s="245">
        <v>364</v>
      </c>
      <c r="M287" s="245">
        <v>103</v>
      </c>
      <c r="N287" s="246">
        <v>0.282967032967033</v>
      </c>
      <c r="O287" s="244">
        <f>H287-0.4*L287</f>
        <v>42801.4</v>
      </c>
      <c r="P287" s="215"/>
      <c r="Q287" s="215"/>
      <c r="R287" s="239"/>
      <c r="S287" s="61"/>
      <c r="T287" s="237"/>
      <c r="U287" s="215"/>
    </row>
    <row r="288" ht="16" customHeight="1">
      <c r="A288" t="s" s="216">
        <v>439</v>
      </c>
      <c r="B288" t="s" s="216">
        <v>440</v>
      </c>
      <c r="C288" t="s" s="216">
        <v>657</v>
      </c>
      <c r="D288" s="245">
        <v>1000</v>
      </c>
      <c r="E288" t="s" s="216">
        <v>743</v>
      </c>
      <c r="F288" s="245">
        <v>1706010607</v>
      </c>
      <c r="G288" s="244">
        <v>42528</v>
      </c>
      <c r="H288" s="244">
        <v>42887</v>
      </c>
      <c r="I288" s="245">
        <v>3902</v>
      </c>
      <c r="J288" s="245">
        <v>0</v>
      </c>
      <c r="K288" t="s" s="216">
        <v>659</v>
      </c>
      <c r="L288" s="245">
        <v>359</v>
      </c>
      <c r="M288" s="245">
        <v>43</v>
      </c>
      <c r="N288" s="246">
        <v>0.1197771587743733</v>
      </c>
      <c r="O288" s="244">
        <f>H288-0.4*L288</f>
        <v>42743.4</v>
      </c>
      <c r="P288" s="215"/>
      <c r="Q288" s="215"/>
      <c r="R288" s="239"/>
      <c r="S288" s="61"/>
      <c r="T288" s="237"/>
      <c r="U288" s="215"/>
    </row>
    <row r="289" ht="16" customHeight="1">
      <c r="A289" t="s" s="216">
        <v>439</v>
      </c>
      <c r="B289" t="s" s="216">
        <v>440</v>
      </c>
      <c r="C289" t="s" s="216">
        <v>657</v>
      </c>
      <c r="D289" s="245">
        <v>1000</v>
      </c>
      <c r="E289" t="s" s="216">
        <v>743</v>
      </c>
      <c r="F289" s="245">
        <v>1707310806</v>
      </c>
      <c r="G289" s="244">
        <v>42588</v>
      </c>
      <c r="H289" s="244">
        <v>42947</v>
      </c>
      <c r="I289" s="245">
        <v>7762</v>
      </c>
      <c r="J289" s="245">
        <v>0</v>
      </c>
      <c r="K289" t="s" s="216">
        <v>659</v>
      </c>
      <c r="L289" s="245">
        <v>359</v>
      </c>
      <c r="M289" s="245">
        <v>103</v>
      </c>
      <c r="N289" s="246">
        <v>0.286908077994429</v>
      </c>
      <c r="O289" s="244">
        <f>H289-0.4*L289</f>
        <v>42803.4</v>
      </c>
      <c r="P289" s="215"/>
      <c r="Q289" s="215"/>
      <c r="R289" s="239"/>
      <c r="S289" s="61"/>
      <c r="T289" s="237"/>
      <c r="U289" s="215"/>
    </row>
    <row r="290" ht="16" customHeight="1">
      <c r="A290" t="s" s="216">
        <v>439</v>
      </c>
      <c r="B290" t="s" s="216">
        <v>440</v>
      </c>
      <c r="C290" t="s" s="216">
        <v>657</v>
      </c>
      <c r="D290" s="245">
        <v>1000</v>
      </c>
      <c r="E290" t="s" s="216">
        <v>743</v>
      </c>
      <c r="F290" s="245">
        <v>1708310906</v>
      </c>
      <c r="G290" s="244">
        <v>42619</v>
      </c>
      <c r="H290" s="244">
        <v>42978</v>
      </c>
      <c r="I290" s="245">
        <v>296</v>
      </c>
      <c r="J290" s="245">
        <v>0</v>
      </c>
      <c r="K290" t="s" s="216">
        <v>659</v>
      </c>
      <c r="L290" s="245">
        <v>359</v>
      </c>
      <c r="M290" s="245">
        <v>134</v>
      </c>
      <c r="N290" s="246">
        <v>0.3732590529247911</v>
      </c>
      <c r="O290" s="244">
        <f>H290-0.4*L290</f>
        <v>42834.4</v>
      </c>
      <c r="P290" s="215"/>
      <c r="Q290" s="215"/>
      <c r="R290" s="239"/>
      <c r="S290" s="61"/>
      <c r="T290" s="237"/>
      <c r="U290" s="215"/>
    </row>
    <row r="291" ht="16" customHeight="1">
      <c r="A291" t="s" s="216">
        <v>439</v>
      </c>
      <c r="B291" t="s" s="216">
        <v>440</v>
      </c>
      <c r="C291" t="s" s="216">
        <v>666</v>
      </c>
      <c r="D291" s="245">
        <v>2000</v>
      </c>
      <c r="E291" t="s" s="216">
        <v>747</v>
      </c>
      <c r="F291" s="245">
        <v>1706010607</v>
      </c>
      <c r="G291" s="244">
        <v>42528</v>
      </c>
      <c r="H291" s="244">
        <v>42887</v>
      </c>
      <c r="I291" s="245">
        <v>1376</v>
      </c>
      <c r="J291" s="245">
        <v>0</v>
      </c>
      <c r="K291" t="s" s="216">
        <v>659</v>
      </c>
      <c r="L291" s="245">
        <v>359</v>
      </c>
      <c r="M291" s="245">
        <v>43</v>
      </c>
      <c r="N291" s="246">
        <v>0.1197771587743733</v>
      </c>
      <c r="O291" s="244">
        <f>H291-0.4*L291</f>
        <v>42743.4</v>
      </c>
      <c r="P291" s="215"/>
      <c r="Q291" s="215"/>
      <c r="R291" s="239"/>
      <c r="S291" s="61"/>
      <c r="T291" s="237"/>
      <c r="U291" s="215"/>
    </row>
    <row r="292" ht="16" customHeight="1">
      <c r="A292" t="s" s="216">
        <v>439</v>
      </c>
      <c r="B292" t="s" s="216">
        <v>440</v>
      </c>
      <c r="C292" t="s" s="216">
        <v>667</v>
      </c>
      <c r="D292" s="245">
        <v>2000</v>
      </c>
      <c r="E292" t="s" s="216">
        <v>743</v>
      </c>
      <c r="F292" s="245">
        <v>1707310806</v>
      </c>
      <c r="G292" s="244">
        <v>42588</v>
      </c>
      <c r="H292" s="244">
        <v>42947</v>
      </c>
      <c r="I292" s="245">
        <v>67</v>
      </c>
      <c r="J292" s="245">
        <v>0</v>
      </c>
      <c r="K292" t="s" s="216">
        <v>659</v>
      </c>
      <c r="L292" s="245">
        <v>359</v>
      </c>
      <c r="M292" s="245">
        <v>103</v>
      </c>
      <c r="N292" s="246">
        <v>0.286908077994429</v>
      </c>
      <c r="O292" s="244">
        <f>H292-0.4*L292</f>
        <v>42803.4</v>
      </c>
      <c r="P292" s="215"/>
      <c r="Q292" s="215"/>
      <c r="R292" s="239"/>
      <c r="S292" s="61"/>
      <c r="T292" s="237"/>
      <c r="U292" s="215"/>
    </row>
    <row r="293" ht="16" customHeight="1">
      <c r="A293" t="s" s="216">
        <v>439</v>
      </c>
      <c r="B293" t="s" s="216">
        <v>440</v>
      </c>
      <c r="C293" t="s" s="216">
        <v>668</v>
      </c>
      <c r="D293" s="245">
        <v>2000</v>
      </c>
      <c r="E293" t="s" s="216">
        <v>743</v>
      </c>
      <c r="F293" s="245">
        <v>1707310806</v>
      </c>
      <c r="G293" s="244">
        <v>42588</v>
      </c>
      <c r="H293" s="244">
        <v>42947</v>
      </c>
      <c r="I293" s="245">
        <v>2</v>
      </c>
      <c r="J293" s="245">
        <v>0</v>
      </c>
      <c r="K293" t="s" s="216">
        <v>659</v>
      </c>
      <c r="L293" s="245">
        <v>359</v>
      </c>
      <c r="M293" s="245">
        <v>103</v>
      </c>
      <c r="N293" s="246">
        <v>0.286908077994429</v>
      </c>
      <c r="O293" s="244">
        <f>H293-0.4*L293</f>
        <v>42803.4</v>
      </c>
      <c r="P293" s="215"/>
      <c r="Q293" s="215"/>
      <c r="R293" s="239"/>
      <c r="S293" s="61"/>
      <c r="T293" s="237"/>
      <c r="U293" s="215"/>
    </row>
    <row r="294" ht="16" customHeight="1">
      <c r="A294" t="s" s="216">
        <v>439</v>
      </c>
      <c r="B294" t="s" s="216">
        <v>440</v>
      </c>
      <c r="C294" t="s" s="216">
        <v>668</v>
      </c>
      <c r="D294" s="245">
        <v>2000</v>
      </c>
      <c r="E294" t="s" s="216">
        <v>743</v>
      </c>
      <c r="F294" s="245">
        <v>1708310906</v>
      </c>
      <c r="G294" s="244">
        <v>42619</v>
      </c>
      <c r="H294" s="244">
        <v>42978</v>
      </c>
      <c r="I294" s="245">
        <v>52</v>
      </c>
      <c r="J294" s="245">
        <v>0</v>
      </c>
      <c r="K294" t="s" s="216">
        <v>659</v>
      </c>
      <c r="L294" s="245">
        <v>359</v>
      </c>
      <c r="M294" s="245">
        <v>134</v>
      </c>
      <c r="N294" s="246">
        <v>0.3732590529247911</v>
      </c>
      <c r="O294" s="244">
        <f>H294-0.4*L294</f>
        <v>42834.4</v>
      </c>
      <c r="P294" s="215"/>
      <c r="Q294" s="215"/>
      <c r="R294" s="239"/>
      <c r="S294" s="61"/>
      <c r="T294" s="237"/>
      <c r="U294" s="215"/>
    </row>
    <row r="295" ht="16" customHeight="1">
      <c r="A295" t="s" s="216">
        <v>451</v>
      </c>
      <c r="B295" t="s" s="216">
        <v>452</v>
      </c>
      <c r="C295" t="s" s="216">
        <v>657</v>
      </c>
      <c r="D295" s="245">
        <v>1000</v>
      </c>
      <c r="E295" t="s" s="216">
        <v>743</v>
      </c>
      <c r="F295" s="245">
        <v>1706300701</v>
      </c>
      <c r="G295" s="244">
        <v>42552</v>
      </c>
      <c r="H295" s="244">
        <v>42916</v>
      </c>
      <c r="I295" s="245">
        <v>1</v>
      </c>
      <c r="J295" s="245">
        <v>0</v>
      </c>
      <c r="K295" t="s" s="216">
        <v>659</v>
      </c>
      <c r="L295" s="245">
        <v>364</v>
      </c>
      <c r="M295" s="245">
        <v>72</v>
      </c>
      <c r="N295" s="246">
        <v>0.1978021978021978</v>
      </c>
      <c r="O295" s="244">
        <f>H295-0.4*L295</f>
        <v>42770.4</v>
      </c>
      <c r="P295" s="215"/>
      <c r="Q295" s="215"/>
      <c r="R295" s="239"/>
      <c r="S295" s="61"/>
      <c r="T295" s="237"/>
      <c r="U295" s="215"/>
    </row>
    <row r="296" ht="16" customHeight="1">
      <c r="A296" t="s" s="216">
        <v>451</v>
      </c>
      <c r="B296" t="s" s="216">
        <v>452</v>
      </c>
      <c r="C296" t="s" s="216">
        <v>657</v>
      </c>
      <c r="D296" s="245">
        <v>1000</v>
      </c>
      <c r="E296" t="s" s="216">
        <v>743</v>
      </c>
      <c r="F296" s="245">
        <v>1707310801</v>
      </c>
      <c r="G296" s="244">
        <v>42583</v>
      </c>
      <c r="H296" s="244">
        <v>42947</v>
      </c>
      <c r="I296" s="245">
        <v>129</v>
      </c>
      <c r="J296" s="245">
        <v>0</v>
      </c>
      <c r="K296" t="s" s="216">
        <v>659</v>
      </c>
      <c r="L296" s="245">
        <v>364</v>
      </c>
      <c r="M296" s="245">
        <v>103</v>
      </c>
      <c r="N296" s="246">
        <v>0.282967032967033</v>
      </c>
      <c r="O296" s="244">
        <f>H296-0.4*L296</f>
        <v>42801.4</v>
      </c>
      <c r="P296" s="215"/>
      <c r="Q296" s="215"/>
      <c r="R296" s="239"/>
      <c r="S296" s="61"/>
      <c r="T296" s="237"/>
      <c r="U296" s="215"/>
    </row>
    <row r="297" ht="16" customHeight="1">
      <c r="A297" t="s" s="216">
        <v>451</v>
      </c>
      <c r="B297" t="s" s="216">
        <v>452</v>
      </c>
      <c r="C297" t="s" s="216">
        <v>666</v>
      </c>
      <c r="D297" s="245">
        <v>2000</v>
      </c>
      <c r="E297" t="s" s="216">
        <v>747</v>
      </c>
      <c r="F297" s="245">
        <v>1706300701</v>
      </c>
      <c r="G297" s="244">
        <v>42552</v>
      </c>
      <c r="H297" s="244">
        <v>42916</v>
      </c>
      <c r="I297" s="245">
        <v>1</v>
      </c>
      <c r="J297" s="245">
        <v>0</v>
      </c>
      <c r="K297" t="s" s="216">
        <v>659</v>
      </c>
      <c r="L297" s="245">
        <v>364</v>
      </c>
      <c r="M297" s="245">
        <v>72</v>
      </c>
      <c r="N297" s="246">
        <v>0.1978021978021978</v>
      </c>
      <c r="O297" s="244">
        <f>H297-0.4*L297</f>
        <v>42770.4</v>
      </c>
      <c r="P297" s="215"/>
      <c r="Q297" s="215"/>
      <c r="R297" s="239"/>
      <c r="S297" s="61"/>
      <c r="T297" s="237"/>
      <c r="U297" s="215"/>
    </row>
    <row r="298" ht="16" customHeight="1">
      <c r="A298" t="s" s="216">
        <v>451</v>
      </c>
      <c r="B298" t="s" s="216">
        <v>452</v>
      </c>
      <c r="C298" t="s" s="216">
        <v>666</v>
      </c>
      <c r="D298" s="245">
        <v>2000</v>
      </c>
      <c r="E298" t="s" s="216">
        <v>747</v>
      </c>
      <c r="F298" s="245">
        <v>1707310801</v>
      </c>
      <c r="G298" s="244">
        <v>42583</v>
      </c>
      <c r="H298" s="244">
        <v>42947</v>
      </c>
      <c r="I298" s="245">
        <v>49</v>
      </c>
      <c r="J298" s="245">
        <v>0</v>
      </c>
      <c r="K298" t="s" s="216">
        <v>659</v>
      </c>
      <c r="L298" s="245">
        <v>364</v>
      </c>
      <c r="M298" s="245">
        <v>103</v>
      </c>
      <c r="N298" s="246">
        <v>0.282967032967033</v>
      </c>
      <c r="O298" s="244">
        <f>H298-0.4*L298</f>
        <v>42801.4</v>
      </c>
      <c r="P298" s="215"/>
      <c r="Q298" s="215"/>
      <c r="R298" s="239"/>
      <c r="S298" s="61"/>
      <c r="T298" s="237"/>
      <c r="U298" s="215"/>
    </row>
    <row r="299" ht="16" customHeight="1">
      <c r="A299" t="s" s="216">
        <v>451</v>
      </c>
      <c r="B299" t="s" s="216">
        <v>452</v>
      </c>
      <c r="C299" t="s" s="216">
        <v>667</v>
      </c>
      <c r="D299" s="245">
        <v>2000</v>
      </c>
      <c r="E299" t="s" s="216">
        <v>743</v>
      </c>
      <c r="F299" s="245">
        <v>1707310801</v>
      </c>
      <c r="G299" s="244">
        <v>42583</v>
      </c>
      <c r="H299" s="244">
        <v>42947</v>
      </c>
      <c r="I299" s="245">
        <v>7</v>
      </c>
      <c r="J299" s="245">
        <v>0</v>
      </c>
      <c r="K299" t="s" s="216">
        <v>659</v>
      </c>
      <c r="L299" s="245">
        <v>364</v>
      </c>
      <c r="M299" s="245">
        <v>103</v>
      </c>
      <c r="N299" s="246">
        <v>0.282967032967033</v>
      </c>
      <c r="O299" s="244">
        <f>H299-0.4*L299</f>
        <v>42801.4</v>
      </c>
      <c r="P299" s="215"/>
      <c r="Q299" s="215"/>
      <c r="R299" s="239"/>
      <c r="S299" s="61"/>
      <c r="T299" s="237"/>
      <c r="U299" s="215"/>
    </row>
    <row r="300" ht="16" customHeight="1">
      <c r="A300" t="s" s="216">
        <v>451</v>
      </c>
      <c r="B300" t="s" s="216">
        <v>452</v>
      </c>
      <c r="C300" t="s" s="216">
        <v>668</v>
      </c>
      <c r="D300" s="245">
        <v>2000</v>
      </c>
      <c r="E300" t="s" s="216">
        <v>743</v>
      </c>
      <c r="F300" s="245">
        <v>1706300701</v>
      </c>
      <c r="G300" s="244">
        <v>42552</v>
      </c>
      <c r="H300" s="244">
        <v>42916</v>
      </c>
      <c r="I300" s="245">
        <v>176</v>
      </c>
      <c r="J300" s="245">
        <v>0</v>
      </c>
      <c r="K300" t="s" s="216">
        <v>659</v>
      </c>
      <c r="L300" s="245">
        <v>364</v>
      </c>
      <c r="M300" s="245">
        <v>72</v>
      </c>
      <c r="N300" s="246">
        <v>0.1978021978021978</v>
      </c>
      <c r="O300" s="244">
        <f>H300-0.4*L300</f>
        <v>42770.4</v>
      </c>
      <c r="P300" s="215"/>
      <c r="Q300" s="215"/>
      <c r="R300" s="239"/>
      <c r="S300" s="61"/>
      <c r="T300" s="237"/>
      <c r="U300" s="215"/>
    </row>
    <row r="301" ht="16" customHeight="1">
      <c r="A301" t="s" s="216">
        <v>451</v>
      </c>
      <c r="B301" t="s" s="216">
        <v>452</v>
      </c>
      <c r="C301" t="s" s="216">
        <v>668</v>
      </c>
      <c r="D301" s="245">
        <v>2000</v>
      </c>
      <c r="E301" t="s" s="216">
        <v>743</v>
      </c>
      <c r="F301" s="245">
        <v>1707310801</v>
      </c>
      <c r="G301" s="244">
        <v>42583</v>
      </c>
      <c r="H301" s="244">
        <v>42947</v>
      </c>
      <c r="I301" s="245">
        <v>8</v>
      </c>
      <c r="J301" s="245">
        <v>0</v>
      </c>
      <c r="K301" t="s" s="216">
        <v>659</v>
      </c>
      <c r="L301" s="245">
        <v>364</v>
      </c>
      <c r="M301" s="245">
        <v>103</v>
      </c>
      <c r="N301" s="246">
        <v>0.282967032967033</v>
      </c>
      <c r="O301" s="244">
        <f>H301-0.4*L301</f>
        <v>42801.4</v>
      </c>
      <c r="P301" s="215"/>
      <c r="Q301" s="215"/>
      <c r="R301" s="239"/>
      <c r="S301" s="61"/>
      <c r="T301" s="237"/>
      <c r="U301" s="215"/>
    </row>
    <row r="302" ht="16" customHeight="1">
      <c r="A302" t="s" s="216">
        <v>555</v>
      </c>
      <c r="B302" t="s" s="216">
        <v>757</v>
      </c>
      <c r="C302" t="s" s="216">
        <v>657</v>
      </c>
      <c r="D302" s="245">
        <v>1000</v>
      </c>
      <c r="E302" t="s" s="216">
        <v>743</v>
      </c>
      <c r="F302" s="245">
        <v>1704300501</v>
      </c>
      <c r="G302" s="244">
        <v>42491</v>
      </c>
      <c r="H302" s="244">
        <v>42855</v>
      </c>
      <c r="I302" s="245">
        <v>10</v>
      </c>
      <c r="J302" s="245">
        <v>0</v>
      </c>
      <c r="K302" t="s" s="216">
        <v>659</v>
      </c>
      <c r="L302" s="245">
        <v>364</v>
      </c>
      <c r="M302" s="245">
        <v>11</v>
      </c>
      <c r="N302" s="246">
        <v>0.03021978021978022</v>
      </c>
      <c r="O302" s="244">
        <f>H302-0.4*L302</f>
        <v>42709.4</v>
      </c>
      <c r="P302" s="215"/>
      <c r="Q302" s="215"/>
      <c r="R302" s="239"/>
      <c r="S302" s="61"/>
      <c r="T302" s="237"/>
      <c r="U302" s="215"/>
    </row>
    <row r="303" ht="16" customHeight="1">
      <c r="A303" t="s" s="216">
        <v>555</v>
      </c>
      <c r="B303" t="s" s="216">
        <v>757</v>
      </c>
      <c r="C303" t="s" s="216">
        <v>657</v>
      </c>
      <c r="D303" s="245">
        <v>1000</v>
      </c>
      <c r="E303" t="s" s="216">
        <v>743</v>
      </c>
      <c r="F303" s="245">
        <v>1706300701</v>
      </c>
      <c r="G303" s="244">
        <v>42552</v>
      </c>
      <c r="H303" s="244">
        <v>42916</v>
      </c>
      <c r="I303" s="245">
        <v>1</v>
      </c>
      <c r="J303" s="245">
        <v>0</v>
      </c>
      <c r="K303" t="s" s="216">
        <v>659</v>
      </c>
      <c r="L303" s="245">
        <v>364</v>
      </c>
      <c r="M303" s="245">
        <v>72</v>
      </c>
      <c r="N303" s="246">
        <v>0.1978021978021978</v>
      </c>
      <c r="O303" s="244">
        <f>H303-0.4*L303</f>
        <v>42770.4</v>
      </c>
      <c r="P303" s="215"/>
      <c r="Q303" s="215"/>
      <c r="R303" s="239"/>
      <c r="S303" s="61"/>
      <c r="T303" s="237"/>
      <c r="U303" s="215"/>
    </row>
    <row r="304" ht="16" customHeight="1">
      <c r="A304" t="s" s="216">
        <v>556</v>
      </c>
      <c r="B304" t="s" s="216">
        <v>758</v>
      </c>
      <c r="C304" t="s" s="216">
        <v>657</v>
      </c>
      <c r="D304" s="245">
        <v>1000</v>
      </c>
      <c r="E304" t="s" s="216">
        <v>743</v>
      </c>
      <c r="F304" s="245">
        <v>1708311101</v>
      </c>
      <c r="G304" s="244">
        <v>42675</v>
      </c>
      <c r="H304" s="244">
        <v>42978</v>
      </c>
      <c r="I304" s="245">
        <v>5072</v>
      </c>
      <c r="J304" s="245">
        <v>0</v>
      </c>
      <c r="K304" t="s" s="216">
        <v>659</v>
      </c>
      <c r="L304" s="245">
        <v>303</v>
      </c>
      <c r="M304" s="245">
        <v>134</v>
      </c>
      <c r="N304" s="246">
        <v>0.4422442244224423</v>
      </c>
      <c r="O304" s="244">
        <f>H304-0.4*L304</f>
        <v>42856.8</v>
      </c>
      <c r="P304" s="215"/>
      <c r="Q304" s="215"/>
      <c r="R304" s="239"/>
      <c r="S304" s="61"/>
      <c r="T304" s="237"/>
      <c r="U304" s="215"/>
    </row>
    <row r="305" ht="16" customHeight="1">
      <c r="A305" t="s" s="216">
        <v>556</v>
      </c>
      <c r="B305" t="s" s="216">
        <v>758</v>
      </c>
      <c r="C305" t="s" s="216">
        <v>666</v>
      </c>
      <c r="D305" s="245">
        <v>2000</v>
      </c>
      <c r="E305" t="s" s="216">
        <v>747</v>
      </c>
      <c r="F305" s="245">
        <v>1708311101</v>
      </c>
      <c r="G305" s="244">
        <v>42675</v>
      </c>
      <c r="H305" s="244">
        <v>42978</v>
      </c>
      <c r="I305" s="245">
        <v>1504</v>
      </c>
      <c r="J305" s="245">
        <v>0</v>
      </c>
      <c r="K305" t="s" s="216">
        <v>659</v>
      </c>
      <c r="L305" s="245">
        <v>303</v>
      </c>
      <c r="M305" s="245">
        <v>134</v>
      </c>
      <c r="N305" s="246">
        <v>0.4422442244224423</v>
      </c>
      <c r="O305" s="244">
        <f>H305-0.4*L305</f>
        <v>42856.8</v>
      </c>
      <c r="P305" s="215"/>
      <c r="Q305" s="215"/>
      <c r="R305" s="239"/>
      <c r="S305" s="61"/>
      <c r="T305" s="237"/>
      <c r="U305" s="215"/>
    </row>
    <row r="306" ht="16" customHeight="1">
      <c r="A306" t="s" s="216">
        <v>556</v>
      </c>
      <c r="B306" t="s" s="216">
        <v>758</v>
      </c>
      <c r="C306" t="s" s="216">
        <v>667</v>
      </c>
      <c r="D306" s="245">
        <v>2000</v>
      </c>
      <c r="E306" t="s" s="216">
        <v>743</v>
      </c>
      <c r="F306" s="245">
        <v>1708311101</v>
      </c>
      <c r="G306" s="244">
        <v>42675</v>
      </c>
      <c r="H306" s="244">
        <v>42978</v>
      </c>
      <c r="I306" s="245">
        <v>80</v>
      </c>
      <c r="J306" s="245">
        <v>0</v>
      </c>
      <c r="K306" t="s" s="216">
        <v>659</v>
      </c>
      <c r="L306" s="245">
        <v>303</v>
      </c>
      <c r="M306" s="245">
        <v>134</v>
      </c>
      <c r="N306" s="246">
        <v>0.4422442244224423</v>
      </c>
      <c r="O306" s="244">
        <f>H306-0.4*L306</f>
        <v>42856.8</v>
      </c>
      <c r="P306" s="215"/>
      <c r="Q306" s="215"/>
      <c r="R306" s="239"/>
      <c r="S306" s="61"/>
      <c r="T306" s="237"/>
      <c r="U306" s="215"/>
    </row>
    <row r="307" ht="16" customHeight="1">
      <c r="A307" t="s" s="216">
        <v>19</v>
      </c>
      <c r="B307" s="215"/>
      <c r="C307" s="215"/>
      <c r="D307" s="215"/>
      <c r="E307" s="215"/>
      <c r="F307" s="215"/>
      <c r="G307" s="244">
        <f>H307-354</f>
        <v>42805</v>
      </c>
      <c r="H307" s="244">
        <v>43159</v>
      </c>
      <c r="I307" s="245">
        <v>11808</v>
      </c>
      <c r="J307" s="215"/>
      <c r="K307" t="s" s="216">
        <v>659</v>
      </c>
      <c r="L307" s="245">
        <v>450</v>
      </c>
      <c r="M307" s="215"/>
      <c r="N307" s="215"/>
      <c r="O307" s="244">
        <f>H307-0.4*L307</f>
        <v>42979</v>
      </c>
      <c r="P307" s="215"/>
      <c r="Q307" s="215"/>
      <c r="R307" s="239"/>
      <c r="S307" s="61"/>
      <c r="T307" s="237"/>
      <c r="U307" s="215"/>
    </row>
    <row r="308" ht="16" customHeight="1">
      <c r="A308" t="s" s="216">
        <v>42</v>
      </c>
      <c r="B308" s="215"/>
      <c r="C308" s="215"/>
      <c r="D308" s="215"/>
      <c r="E308" s="215"/>
      <c r="F308" s="215"/>
      <c r="G308" s="244">
        <f>H308-365</f>
        <v>42702</v>
      </c>
      <c r="H308" s="244">
        <v>43067</v>
      </c>
      <c r="I308" s="245">
        <v>10800</v>
      </c>
      <c r="J308" s="215"/>
      <c r="K308" t="s" s="216">
        <v>659</v>
      </c>
      <c r="L308" s="245">
        <v>365</v>
      </c>
      <c r="M308" s="215"/>
      <c r="N308" s="215"/>
      <c r="O308" s="244">
        <f>H308-0.4*L308</f>
        <v>42921</v>
      </c>
      <c r="P308" s="215"/>
      <c r="Q308" s="215"/>
      <c r="R308" s="239"/>
      <c r="S308" s="61"/>
      <c r="T308" s="237"/>
      <c r="U308" s="215"/>
    </row>
    <row r="309" ht="16" customHeight="1">
      <c r="A309" t="s" s="216">
        <v>54</v>
      </c>
      <c r="B309" s="215"/>
      <c r="C309" s="215"/>
      <c r="D309" s="215"/>
      <c r="E309" s="215"/>
      <c r="F309" s="215"/>
      <c r="G309" s="244">
        <f>H309-365</f>
        <v>42708</v>
      </c>
      <c r="H309" s="244">
        <v>43073</v>
      </c>
      <c r="I309" s="245">
        <v>4752</v>
      </c>
      <c r="J309" s="215"/>
      <c r="K309" t="s" s="216">
        <v>659</v>
      </c>
      <c r="L309" s="245">
        <v>365</v>
      </c>
      <c r="M309" s="215"/>
      <c r="N309" s="215"/>
      <c r="O309" s="244">
        <f>H309-0.4*L309</f>
        <v>42927</v>
      </c>
      <c r="P309" s="215"/>
      <c r="Q309" s="215"/>
      <c r="R309" s="239"/>
      <c r="S309" s="61"/>
      <c r="T309" s="237"/>
      <c r="U309" s="215"/>
    </row>
    <row r="310" ht="16" customHeight="1">
      <c r="A310" t="s" s="216">
        <v>78</v>
      </c>
      <c r="B310" s="215"/>
      <c r="C310" s="215"/>
      <c r="D310" s="215"/>
      <c r="E310" s="215"/>
      <c r="F310" s="215"/>
      <c r="G310" s="244">
        <f>H310-L310</f>
        <v>42709</v>
      </c>
      <c r="H310" s="244">
        <v>43159</v>
      </c>
      <c r="I310" s="245">
        <v>11952</v>
      </c>
      <c r="J310" s="215"/>
      <c r="K310" t="s" s="216">
        <v>659</v>
      </c>
      <c r="L310" s="245">
        <v>450</v>
      </c>
      <c r="M310" s="215"/>
      <c r="N310" s="215"/>
      <c r="O310" s="244">
        <f>H310-0.4*L310</f>
        <v>42979</v>
      </c>
      <c r="P310" s="215"/>
      <c r="Q310" s="215"/>
      <c r="R310" s="239"/>
      <c r="S310" s="61"/>
      <c r="T310" s="237"/>
      <c r="U310" s="215"/>
    </row>
    <row r="311" ht="16" customHeight="1">
      <c r="A311" t="s" s="216">
        <v>114</v>
      </c>
      <c r="B311" s="215"/>
      <c r="C311" s="215"/>
      <c r="D311" s="215"/>
      <c r="E311" s="215"/>
      <c r="F311" s="215"/>
      <c r="G311" s="244">
        <f>H311-L311</f>
        <v>42705</v>
      </c>
      <c r="H311" s="244">
        <v>43190</v>
      </c>
      <c r="I311" s="245">
        <v>4440</v>
      </c>
      <c r="J311" s="215"/>
      <c r="K311" t="s" s="216">
        <v>659</v>
      </c>
      <c r="L311" s="245">
        <v>485</v>
      </c>
      <c r="M311" s="215"/>
      <c r="N311" s="215"/>
      <c r="O311" s="244">
        <f>H311-0.4*L311</f>
        <v>42996</v>
      </c>
      <c r="P311" s="215"/>
      <c r="Q311" s="215"/>
      <c r="R311" s="239"/>
      <c r="S311" s="61"/>
      <c r="T311" s="237"/>
      <c r="U311" s="215"/>
    </row>
    <row r="312" ht="16" customHeight="1">
      <c r="A312" t="s" s="216">
        <v>126</v>
      </c>
      <c r="B312" s="215"/>
      <c r="C312" s="215"/>
      <c r="D312" s="215"/>
      <c r="E312" s="215"/>
      <c r="F312" s="215"/>
      <c r="G312" s="244">
        <f>H312-L312</f>
        <v>42704</v>
      </c>
      <c r="H312" s="244">
        <v>43069</v>
      </c>
      <c r="I312" s="245">
        <v>6480</v>
      </c>
      <c r="J312" s="215"/>
      <c r="K312" t="s" s="216">
        <v>659</v>
      </c>
      <c r="L312" s="245">
        <v>365</v>
      </c>
      <c r="M312" s="215"/>
      <c r="N312" s="215"/>
      <c r="O312" s="244">
        <f>H312-0.4*L312</f>
        <v>42923</v>
      </c>
      <c r="P312" s="215"/>
      <c r="Q312" s="215"/>
      <c r="R312" s="239"/>
      <c r="S312" s="61"/>
      <c r="T312" s="237"/>
      <c r="U312" s="215"/>
    </row>
    <row r="313" ht="16" customHeight="1">
      <c r="A313" t="s" s="216">
        <v>138</v>
      </c>
      <c r="B313" s="215"/>
      <c r="C313" s="215"/>
      <c r="D313" s="215"/>
      <c r="E313" s="215"/>
      <c r="F313" s="215"/>
      <c r="G313" s="244">
        <f>H313-L313</f>
        <v>42674</v>
      </c>
      <c r="H313" s="244">
        <v>43069</v>
      </c>
      <c r="I313" s="245">
        <v>5400</v>
      </c>
      <c r="J313" s="215"/>
      <c r="K313" t="s" s="216">
        <v>659</v>
      </c>
      <c r="L313" s="245">
        <v>395</v>
      </c>
      <c r="M313" s="215"/>
      <c r="N313" s="215"/>
      <c r="O313" s="244">
        <f>H313-0.4*L313</f>
        <v>42911</v>
      </c>
      <c r="P313" s="215"/>
      <c r="Q313" s="215"/>
      <c r="R313" s="239"/>
      <c r="S313" s="61"/>
      <c r="T313" s="237"/>
      <c r="U313" s="215"/>
    </row>
    <row r="314" ht="16" customHeight="1">
      <c r="A314" t="s" s="216">
        <v>162</v>
      </c>
      <c r="B314" s="215"/>
      <c r="C314" s="215"/>
      <c r="D314" s="215"/>
      <c r="E314" s="215"/>
      <c r="F314" s="215"/>
      <c r="G314" s="244">
        <f>H314-L314</f>
        <v>42703</v>
      </c>
      <c r="H314" s="244">
        <v>43159</v>
      </c>
      <c r="I314" s="245">
        <v>12120</v>
      </c>
      <c r="J314" s="215"/>
      <c r="K314" t="s" s="216">
        <v>659</v>
      </c>
      <c r="L314" s="245">
        <v>456</v>
      </c>
      <c r="M314" s="215"/>
      <c r="N314" s="215"/>
      <c r="O314" s="244">
        <f>H314-0.4*L314</f>
        <v>42976.6</v>
      </c>
      <c r="P314" s="215"/>
      <c r="Q314" s="215"/>
      <c r="R314" s="239"/>
      <c r="S314" s="61"/>
      <c r="T314" s="237"/>
      <c r="U314" s="215"/>
    </row>
    <row r="315" ht="16" customHeight="1">
      <c r="A315" t="s" s="216">
        <v>162</v>
      </c>
      <c r="B315" s="215"/>
      <c r="C315" s="215"/>
      <c r="D315" s="215"/>
      <c r="E315" s="215"/>
      <c r="F315" s="215"/>
      <c r="G315" s="244">
        <f>H315-L315</f>
        <v>42704</v>
      </c>
      <c r="H315" s="244">
        <v>43160</v>
      </c>
      <c r="I315" s="245">
        <v>480</v>
      </c>
      <c r="J315" s="215"/>
      <c r="K315" t="s" s="216">
        <v>659</v>
      </c>
      <c r="L315" s="245">
        <v>456</v>
      </c>
      <c r="M315" s="215"/>
      <c r="N315" s="215"/>
      <c r="O315" s="244">
        <f>H315-0.4*L315</f>
        <v>42977.6</v>
      </c>
      <c r="P315" s="215"/>
      <c r="Q315" s="215"/>
      <c r="R315" s="239"/>
      <c r="S315" s="61"/>
      <c r="T315" s="237"/>
      <c r="U315" s="215"/>
    </row>
    <row r="316" ht="16" customHeight="1">
      <c r="A316" t="s" s="216">
        <v>174</v>
      </c>
      <c r="B316" s="215"/>
      <c r="C316" s="215"/>
      <c r="D316" s="215"/>
      <c r="E316" s="215"/>
      <c r="F316" s="215"/>
      <c r="G316" s="244">
        <f>H316-L316</f>
        <v>42703</v>
      </c>
      <c r="H316" s="244">
        <v>43159</v>
      </c>
      <c r="I316" s="245">
        <v>4320</v>
      </c>
      <c r="J316" s="215"/>
      <c r="K316" t="s" s="216">
        <v>659</v>
      </c>
      <c r="L316" s="245">
        <v>456</v>
      </c>
      <c r="M316" s="215"/>
      <c r="N316" s="215"/>
      <c r="O316" s="244">
        <f>H316-0.4*L316</f>
        <v>42976.6</v>
      </c>
      <c r="P316" s="215"/>
      <c r="Q316" s="215"/>
      <c r="R316" s="239"/>
      <c r="S316" s="61"/>
      <c r="T316" s="237"/>
      <c r="U316" s="215"/>
    </row>
    <row r="317" ht="16" customHeight="1">
      <c r="A317" t="s" s="216">
        <v>331</v>
      </c>
      <c r="B317" s="215"/>
      <c r="C317" s="215"/>
      <c r="D317" s="215"/>
      <c r="E317" s="215"/>
      <c r="F317" s="215"/>
      <c r="G317" s="244">
        <f>H317-L317</f>
        <v>42735</v>
      </c>
      <c r="H317" s="244">
        <v>43100</v>
      </c>
      <c r="I317" s="245">
        <v>1440</v>
      </c>
      <c r="J317" s="215"/>
      <c r="K317" t="s" s="216">
        <v>659</v>
      </c>
      <c r="L317" s="245">
        <v>365</v>
      </c>
      <c r="M317" s="215"/>
      <c r="N317" s="215"/>
      <c r="O317" s="244">
        <f>H317-0.4*L317</f>
        <v>42954</v>
      </c>
      <c r="P317" s="215"/>
      <c r="Q317" s="215"/>
      <c r="R317" s="239"/>
      <c r="S317" s="61"/>
      <c r="T317" s="237"/>
      <c r="U317" s="215"/>
    </row>
    <row r="318" ht="16" customHeight="1">
      <c r="A318" t="s" s="216">
        <v>567</v>
      </c>
      <c r="B318" s="215"/>
      <c r="C318" s="215"/>
      <c r="D318" s="215"/>
      <c r="E318" s="215"/>
      <c r="F318" s="215"/>
      <c r="G318" s="244">
        <f>H318-L318</f>
        <v>42735</v>
      </c>
      <c r="H318" s="244">
        <v>43100</v>
      </c>
      <c r="I318" s="245">
        <v>1148</v>
      </c>
      <c r="J318" s="215"/>
      <c r="K318" t="s" s="216">
        <v>659</v>
      </c>
      <c r="L318" s="245">
        <v>365</v>
      </c>
      <c r="M318" s="215"/>
      <c r="N318" s="215"/>
      <c r="O318" s="244">
        <f>H318-0.4*L318</f>
        <v>42954</v>
      </c>
      <c r="P318" s="215"/>
      <c r="Q318" s="215"/>
      <c r="R318" s="239"/>
      <c r="S318" s="236"/>
      <c r="T318" s="237"/>
      <c r="U318" s="215"/>
    </row>
  </sheetData>
  <conditionalFormatting sqref="T1">
    <cfRule type="cellIs" dxfId="11" priority="1" operator="between" stopIfTrue="1">
      <formula>-22710</formula>
      <formula>-22692</formula>
    </cfRule>
    <cfRule type="cellIs" dxfId="12" priority="2" operator="greaterThan" stopIfTrue="1">
      <formula>-22692</formula>
    </cfRule>
  </conditionalFormatting>
  <conditionalFormatting sqref="Q3:Q9 Q11:Q17 Q19:Q25 Q28:Q31 Q34:Q40 Q44:Q49 Q53:Q58 Q62 Q65 Q67:Q68 Q71:Q72 Q76:Q78 Q82:Q84 Q86:Q88 Q91:Q94 Q101 Q104 Q108:Q109 Q114 Q117:Q118 Q121:Q122 Q125 Q128 Q132 Q140:Q141 Q145 Q148 Q152:Q153 Q156:Q157 Q160 Q163 Q167 Q174 Q176 Q183:Q185 Q188:Q189 Q192 Q195">
    <cfRule type="cellIs" dxfId="13" priority="1" operator="between" stopIfTrue="1">
      <formula>42826</formula>
      <formula>42844</formula>
    </cfRule>
    <cfRule type="cellIs" dxfId="14" priority="2" operator="greaterThan" stopIfTrue="1">
      <formula>42844</formula>
    </cfRule>
  </conditionalFormatting>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2.xml><?xml version="1.0" encoding="utf-8"?>
<worksheet xmlns:r="http://schemas.openxmlformats.org/officeDocument/2006/relationships" xmlns="http://schemas.openxmlformats.org/spreadsheetml/2006/main">
  <dimension ref="A1:AD325"/>
  <sheetViews>
    <sheetView workbookViewId="0" showGridLines="0" defaultGridColor="1"/>
  </sheetViews>
  <sheetFormatPr defaultColWidth="9" defaultRowHeight="11.65" customHeight="1" outlineLevelRow="0" outlineLevelCol="0"/>
  <cols>
    <col min="1" max="1" width="8.35156" style="78" customWidth="1"/>
    <col min="2" max="2" width="6.5" style="78" customWidth="1"/>
    <col min="3" max="3" width="18.5" style="78" customWidth="1"/>
    <col min="4" max="4" width="20.3516" style="78" customWidth="1"/>
    <col min="5" max="5" hidden="1" width="9" style="78" customWidth="1"/>
    <col min="6" max="6" width="7.35156" style="78" customWidth="1"/>
    <col min="7" max="7" width="7.35156" style="78" customWidth="1"/>
    <col min="8" max="8" width="7.35156" style="78" customWidth="1"/>
    <col min="9" max="9" width="7.35156" style="78" customWidth="1"/>
    <col min="10" max="10" width="6.85156" style="78" customWidth="1"/>
    <col min="11" max="11" width="5.5" style="78" customWidth="1"/>
    <col min="12" max="12" width="4.85156" style="78" customWidth="1"/>
    <col min="13" max="13" width="6.35156" style="78" customWidth="1"/>
    <col min="14" max="14" width="7.85156" style="78" customWidth="1"/>
    <col min="15" max="15" width="9" style="78" customWidth="1"/>
    <col min="16" max="16" width="9" style="78" customWidth="1"/>
    <col min="17" max="17" width="9" style="78" customWidth="1"/>
    <col min="18" max="18" width="9" style="78" customWidth="1"/>
    <col min="19" max="19" width="9" style="78" customWidth="1"/>
    <col min="20" max="20" width="9" style="78" customWidth="1"/>
    <col min="21" max="21" width="9" style="78" customWidth="1"/>
    <col min="22" max="22" width="9" style="78" customWidth="1"/>
    <col min="23" max="23" width="9" style="78" customWidth="1"/>
    <col min="24" max="24" width="9" style="78" customWidth="1"/>
    <col min="25" max="25" width="9" style="78" customWidth="1"/>
    <col min="26" max="26" width="9" style="78" customWidth="1"/>
    <col min="27" max="27" width="9" style="78" customWidth="1"/>
    <col min="28" max="28" width="9" style="78" customWidth="1"/>
    <col min="29" max="29" width="9" style="78" customWidth="1"/>
    <col min="30" max="30" width="9" style="78" customWidth="1"/>
    <col min="31" max="256" width="9" style="78" customWidth="1"/>
  </cols>
  <sheetData>
    <row r="1" ht="12" customHeight="1">
      <c r="A1" t="s" s="79">
        <v>0</v>
      </c>
      <c r="B1" s="80"/>
      <c r="C1" t="s" s="4">
        <v>1</v>
      </c>
      <c r="D1" s="5"/>
      <c r="E1" s="5"/>
      <c r="F1" s="5"/>
      <c r="G1" t="s" s="6">
        <v>2</v>
      </c>
      <c r="H1" s="3"/>
      <c r="I1" s="3"/>
      <c r="J1" s="3"/>
      <c r="K1" s="3"/>
      <c r="L1" s="3"/>
      <c r="M1" s="3"/>
      <c r="N1" s="3"/>
      <c r="O1" s="3"/>
      <c r="P1" s="3"/>
      <c r="Q1" s="3"/>
      <c r="R1" s="3"/>
      <c r="S1" t="s" s="6">
        <v>3</v>
      </c>
      <c r="T1" s="3"/>
      <c r="U1" s="3"/>
      <c r="V1" s="3"/>
      <c r="W1" s="3"/>
      <c r="X1" s="3"/>
      <c r="Y1" s="3"/>
      <c r="Z1" s="3"/>
      <c r="AA1" s="3"/>
      <c r="AB1" s="3"/>
      <c r="AC1" s="3"/>
      <c r="AD1" s="7"/>
    </row>
    <row r="2" ht="13.5" customHeight="1">
      <c r="A2" t="s" s="8">
        <v>4</v>
      </c>
      <c r="B2" t="s" s="9">
        <v>5</v>
      </c>
      <c r="C2" t="s" s="9">
        <v>6</v>
      </c>
      <c r="D2" t="s" s="9">
        <v>7</v>
      </c>
      <c r="E2" s="10"/>
      <c r="F2" s="81">
        <v>43085</v>
      </c>
      <c r="G2" t="s" s="9">
        <v>8</v>
      </c>
      <c r="H2" t="s" s="9">
        <v>9</v>
      </c>
      <c r="I2" t="s" s="9">
        <v>10</v>
      </c>
      <c r="J2" t="s" s="9">
        <v>11</v>
      </c>
      <c r="K2" t="s" s="9">
        <v>1</v>
      </c>
      <c r="L2" t="s" s="9">
        <v>12</v>
      </c>
      <c r="M2" t="s" s="9">
        <v>13</v>
      </c>
      <c r="N2" t="s" s="9">
        <v>14</v>
      </c>
      <c r="O2" t="s" s="9">
        <v>15</v>
      </c>
      <c r="P2" t="s" s="9">
        <v>16</v>
      </c>
      <c r="Q2" t="s" s="9">
        <v>17</v>
      </c>
      <c r="R2" t="s" s="9">
        <v>18</v>
      </c>
      <c r="S2" t="s" s="9">
        <v>8</v>
      </c>
      <c r="T2" t="s" s="9">
        <v>9</v>
      </c>
      <c r="U2" t="s" s="9">
        <v>10</v>
      </c>
      <c r="V2" t="s" s="9">
        <v>11</v>
      </c>
      <c r="W2" t="s" s="9">
        <v>1</v>
      </c>
      <c r="X2" t="s" s="9">
        <v>12</v>
      </c>
      <c r="Y2" t="s" s="9">
        <v>13</v>
      </c>
      <c r="Z2" t="s" s="9">
        <v>14</v>
      </c>
      <c r="AA2" t="s" s="9">
        <v>15</v>
      </c>
      <c r="AB2" t="s" s="9">
        <v>16</v>
      </c>
      <c r="AC2" t="s" s="9">
        <v>17</v>
      </c>
      <c r="AD2" t="s" s="11">
        <v>18</v>
      </c>
    </row>
    <row r="3" ht="12.7" customHeight="1">
      <c r="A3" t="s" s="12">
        <v>211</v>
      </c>
      <c r="B3" s="13">
        <v>400001</v>
      </c>
      <c r="C3" t="s" s="14">
        <v>212</v>
      </c>
      <c r="D3" t="s" s="15">
        <v>21</v>
      </c>
      <c r="E3" t="s" s="15">
        <f>A3&amp;D3</f>
        <v>213</v>
      </c>
      <c r="F3" s="82"/>
      <c r="G3" s="83"/>
      <c r="H3" s="84"/>
      <c r="I3" s="85"/>
      <c r="J3" s="17">
        <v>0</v>
      </c>
      <c r="K3" s="17">
        <v>0</v>
      </c>
      <c r="L3" s="17">
        <v>0</v>
      </c>
      <c r="M3" s="17">
        <v>0</v>
      </c>
      <c r="N3" s="17">
        <v>0</v>
      </c>
      <c r="O3" s="17">
        <v>9925.887999999999</v>
      </c>
      <c r="P3" s="17">
        <v>6639.839999999999</v>
      </c>
      <c r="Q3" s="17">
        <v>14874.912</v>
      </c>
      <c r="R3" s="17">
        <v>14908.32</v>
      </c>
      <c r="S3" s="17">
        <v>15206.4864</v>
      </c>
      <c r="T3" s="17"/>
      <c r="U3" s="17"/>
      <c r="V3" s="17"/>
      <c r="W3" s="17"/>
      <c r="X3" s="17"/>
      <c r="Y3" s="17"/>
      <c r="Z3" s="17"/>
      <c r="AA3" s="17"/>
      <c r="AB3" s="17"/>
      <c r="AC3" s="17"/>
      <c r="AD3" s="17"/>
    </row>
    <row r="4" ht="12.7" customHeight="1">
      <c r="A4" t="s" s="18">
        <v>211</v>
      </c>
      <c r="B4" s="19">
        <v>400001</v>
      </c>
      <c r="C4" t="s" s="20">
        <v>212</v>
      </c>
      <c r="D4" t="s" s="21">
        <v>23</v>
      </c>
      <c r="E4" t="s" s="21">
        <f>A4&amp;D4</f>
        <v>214</v>
      </c>
      <c r="F4" s="22">
        <v>12852</v>
      </c>
      <c r="G4" s="22">
        <v>12475</v>
      </c>
      <c r="H4" s="22">
        <v>32175</v>
      </c>
      <c r="I4" s="22">
        <v>17064</v>
      </c>
      <c r="J4" s="86">
        <f>INDEX('Sales Actual'!$H$5:$H$66,MATCH($A4,'Sales Actual'!$G$5:$G$66,0))</f>
        <v>0</v>
      </c>
      <c r="K4" s="86">
        <f>INDEX('Sales Actual'!$J$5:$J$66,MATCH($A4,'Sales Actual'!$I$5:$I$66,0))</f>
        <v>0</v>
      </c>
      <c r="L4" s="86">
        <f>INDEX('Sales Actual'!$L$5:$L$66,MATCH($A4,'Sales Actual'!$K$5:$K$66,0))</f>
        <v>0</v>
      </c>
      <c r="M4" s="86">
        <f>INDEX('Sales Actual'!$N$4:$N$65,MATCH($A4,'Sales Actual'!$M$4:$M$65,0))</f>
        <v>0</v>
      </c>
      <c r="N4" s="86">
        <f>INDEX('Sales Actual'!$P$4:$P$64,MATCH($A4,'Sales Actual'!$O$4:$O$65,0))</f>
        <v>0</v>
      </c>
      <c r="O4" s="86">
        <f>INDEX('Sales Actual'!$R$4:$R$65,MATCH($A4,'Sales Actual'!$Q$4:$Q$65,0))</f>
        <v>0</v>
      </c>
      <c r="P4" s="86">
        <f>INDEX('Sales Actual'!$T$4:$T$66,MATCH($A4,'Sales Actual'!$S$4:$S$66,0))</f>
        <v>0</v>
      </c>
      <c r="Q4" s="86">
        <f>INDEX('Sales Actual'!$V$4:$V$65,MATCH($A4,'Sales Actual'!$U$4:$U$65,0))</f>
        <v>0</v>
      </c>
      <c r="R4" s="86">
        <f>INDEX('Sales Actual'!$X$4:$X$65,MATCH($A4,'Sales Actual'!$W$4:$W$65,0))</f>
        <v>0</v>
      </c>
      <c r="S4" s="22"/>
      <c r="T4" s="22"/>
      <c r="U4" s="22"/>
      <c r="V4" s="22"/>
      <c r="W4" s="22"/>
      <c r="X4" s="22"/>
      <c r="Y4" s="22"/>
      <c r="Z4" s="22"/>
      <c r="AA4" s="22"/>
      <c r="AB4" s="22"/>
      <c r="AC4" s="22"/>
      <c r="AD4" s="22"/>
    </row>
    <row r="5" ht="12.7" customHeight="1">
      <c r="A5" t="s" s="18">
        <v>211</v>
      </c>
      <c r="B5" s="19">
        <v>400001</v>
      </c>
      <c r="C5" t="s" s="20">
        <v>212</v>
      </c>
      <c r="D5" t="s" s="21">
        <v>25</v>
      </c>
      <c r="E5" t="s" s="21">
        <f>A5&amp;D5</f>
        <v>215</v>
      </c>
      <c r="F5" s="57"/>
      <c r="G5" s="58"/>
      <c r="H5" s="58"/>
      <c r="I5" s="58"/>
      <c r="J5" s="58"/>
      <c r="K5" s="58"/>
      <c r="L5" s="58"/>
      <c r="M5" s="59"/>
      <c r="N5" s="22">
        <v>1584</v>
      </c>
      <c r="O5" s="22">
        <f t="shared" si="12" ref="O5:Q5">144*110</f>
        <v>15840</v>
      </c>
      <c r="P5" s="22">
        <f>144*58</f>
        <v>8352</v>
      </c>
      <c r="Q5" s="22">
        <f t="shared" si="12"/>
        <v>15840</v>
      </c>
      <c r="R5" s="22">
        <f>144*100</f>
        <v>14400</v>
      </c>
      <c r="S5" s="24">
        <v>0</v>
      </c>
      <c r="T5" s="24"/>
      <c r="U5" s="24"/>
      <c r="V5" s="24"/>
      <c r="W5" s="24"/>
      <c r="X5" s="24"/>
      <c r="Y5" s="24"/>
      <c r="Z5" s="24"/>
      <c r="AA5" s="24"/>
      <c r="AB5" s="24"/>
      <c r="AC5" s="24"/>
      <c r="AD5" s="24"/>
    </row>
    <row r="6" ht="12.7" customHeight="1">
      <c r="A6" t="s" s="18">
        <v>211</v>
      </c>
      <c r="B6" s="19">
        <v>400001</v>
      </c>
      <c r="C6" t="s" s="20">
        <v>212</v>
      </c>
      <c r="D6" t="s" s="21">
        <v>27</v>
      </c>
      <c r="E6" t="s" s="21">
        <f>A6&amp;D6</f>
        <v>216</v>
      </c>
      <c r="F6" s="60"/>
      <c r="G6" s="61"/>
      <c r="H6" s="61"/>
      <c r="I6" s="32"/>
      <c r="J6" s="32"/>
      <c r="K6" s="32"/>
      <c r="L6" s="32"/>
      <c r="M6" s="33"/>
      <c r="N6" s="22">
        <v>0</v>
      </c>
      <c r="O6" s="22">
        <f>144*126</f>
        <v>18144</v>
      </c>
      <c r="P6" s="22">
        <f>P5</f>
        <v>8352</v>
      </c>
      <c r="Q6" s="22">
        <f>Q5</f>
        <v>15840</v>
      </c>
      <c r="R6" s="22">
        <f>R5</f>
        <v>14400</v>
      </c>
      <c r="S6" s="24"/>
      <c r="T6" s="24"/>
      <c r="U6" s="24"/>
      <c r="V6" s="24"/>
      <c r="W6" s="24"/>
      <c r="X6" s="24"/>
      <c r="Y6" s="24"/>
      <c r="Z6" s="24"/>
      <c r="AA6" s="24"/>
      <c r="AB6" s="24"/>
      <c r="AC6" s="24"/>
      <c r="AD6" s="24"/>
    </row>
    <row r="7" ht="12.7" customHeight="1">
      <c r="A7" t="s" s="18">
        <v>211</v>
      </c>
      <c r="B7" s="19">
        <v>400001</v>
      </c>
      <c r="C7" t="s" s="20">
        <v>212</v>
      </c>
      <c r="D7" t="s" s="21">
        <v>29</v>
      </c>
      <c r="E7" t="s" s="21">
        <f>A7&amp;D7</f>
        <v>217</v>
      </c>
      <c r="F7" s="60"/>
      <c r="G7" s="87"/>
      <c r="H7" s="62"/>
      <c r="I7" s="22">
        <v>0</v>
      </c>
      <c r="J7" s="22">
        <f>IF((I7+J6-(J3-J4)-J11)&lt;0,0,(I7+J6-(J3-J4)-J11))</f>
        <v>0</v>
      </c>
      <c r="K7" s="22">
        <f>IF((J7+K6-(K3-K4)-K11)&lt;0,0,(J7+K6-(K3-K4)-K11))</f>
        <v>0</v>
      </c>
      <c r="L7" s="22">
        <f>IF((K7+L6-(L3-L4)-L11)&lt;0,0,(K7+L6-(L3-L4)-L11))</f>
        <v>0</v>
      </c>
      <c r="M7" s="22">
        <f>IF((L7+M6-(M3-M4)-M11)&lt;0,0,(L7+M6-(M3-M4)-M11))</f>
        <v>0</v>
      </c>
      <c r="N7" s="22">
        <f>IF((M7+N6-(N3-N4)-N11)&lt;0,0,(M7+N6-(N3-N4)-N11))</f>
        <v>0</v>
      </c>
      <c r="O7" s="22">
        <f>IF((N7+O6-(O3-O4)-O11)&lt;0,0,(N7+O6-(O3-O4)-O11))</f>
        <v>8218.112000000001</v>
      </c>
      <c r="P7" s="22">
        <f>IF((O7+P6-(P3-P4)-P11)&lt;0,0,(O7+P6-(P3-P4)-P11))</f>
        <v>9930.272000000001</v>
      </c>
      <c r="Q7" s="22">
        <f>IF((P7+Q6-(Q3-Q4)-Q11)&lt;0,0,(P7+Q6-(Q3-Q4)-Q11))</f>
        <v>10895.36</v>
      </c>
      <c r="R7" s="22">
        <f>IF((Q7+R6-(R3-R4)-R11)&lt;0,0,(Q7+R6-(R3-R4)-R11))</f>
        <v>10387.04</v>
      </c>
      <c r="S7" s="22"/>
      <c r="T7" s="22"/>
      <c r="U7" s="22"/>
      <c r="V7" s="22"/>
      <c r="W7" s="22"/>
      <c r="X7" s="22"/>
      <c r="Y7" s="22"/>
      <c r="Z7" s="22"/>
      <c r="AA7" s="22"/>
      <c r="AB7" s="22"/>
      <c r="AC7" s="22"/>
      <c r="AD7" s="22"/>
    </row>
    <row r="8" ht="12.7" customHeight="1">
      <c r="A8" t="s" s="18">
        <v>211</v>
      </c>
      <c r="B8" s="19">
        <v>400001</v>
      </c>
      <c r="C8" t="s" s="20">
        <v>212</v>
      </c>
      <c r="D8" t="s" s="21">
        <v>31</v>
      </c>
      <c r="E8" t="s" s="21">
        <f>A8&amp;D8</f>
        <v>218</v>
      </c>
      <c r="F8" s="88"/>
      <c r="G8" s="89"/>
      <c r="H8" s="32"/>
      <c r="I8" s="26"/>
      <c r="J8" s="48"/>
      <c r="K8" s="48"/>
      <c r="L8" s="48"/>
      <c r="M8" s="48"/>
      <c r="N8" s="48"/>
      <c r="O8" s="48"/>
      <c r="P8" s="48"/>
      <c r="Q8" s="48"/>
      <c r="R8" s="48"/>
      <c r="S8" s="22"/>
      <c r="T8" s="22"/>
      <c r="U8" s="22"/>
      <c r="V8" s="22"/>
      <c r="W8" s="22"/>
      <c r="X8" s="22"/>
      <c r="Y8" s="22"/>
      <c r="Z8" s="22"/>
      <c r="AA8" s="22"/>
      <c r="AB8" s="22"/>
      <c r="AC8" s="22"/>
      <c r="AD8" s="22"/>
    </row>
    <row r="9" ht="12.7" customHeight="1">
      <c r="A9" t="s" s="18">
        <v>211</v>
      </c>
      <c r="B9" s="19">
        <v>400001</v>
      </c>
      <c r="C9" t="s" s="20">
        <v>212</v>
      </c>
      <c r="D9" t="s" s="21">
        <v>33</v>
      </c>
      <c r="E9" t="s" s="21">
        <f>A9&amp;D9</f>
        <v>219</v>
      </c>
      <c r="F9" s="22">
        <v>0</v>
      </c>
      <c r="G9" s="22">
        <v>0</v>
      </c>
      <c r="H9" s="22">
        <v>0</v>
      </c>
      <c r="I9" s="22">
        <v>0</v>
      </c>
      <c r="J9" s="22">
        <f>IF((I7+J6-(J3-J4)-J11)&gt;0,0,(I7+J6-(J3-J4)-J11))</f>
        <v>0</v>
      </c>
      <c r="K9" s="22">
        <f>IF((J7+K6-(K3-K4)-K11)&gt;0,0,(J7+K6-(K3-K4)-K11))</f>
        <v>0</v>
      </c>
      <c r="L9" s="22">
        <f>IF((K7+L6-(L3-L4)-L11)&gt;0,0,(K7+L6-(L3-L4)-L11))</f>
        <v>0</v>
      </c>
      <c r="M9" s="22">
        <f>IF((L7+M6-(M3-M4)-M11)&gt;0,0,(L7+M6-(M3-M4)-M11))</f>
        <v>0</v>
      </c>
      <c r="N9" s="22">
        <f>IF((M7+N6-(N3-N4)-N11)&gt;0,0,(M7+N6-(N3-N4)-N11))</f>
        <v>0</v>
      </c>
      <c r="O9" s="22">
        <f>IF((N7+O6-(O3-O4)-O11)&gt;0,0,(N7+O6-(O3-O4)-O11))</f>
        <v>0</v>
      </c>
      <c r="P9" s="22">
        <f>IF((O7+P6-(P3-P4)-P11)&gt;0,0,(O7+P6-(P3-P4)-P11))</f>
        <v>0</v>
      </c>
      <c r="Q9" s="22">
        <f>IF((P7+Q6-(Q3-Q4)-Q11)&gt;0,0,(P7+Q6-(Q3-Q4)-Q11))</f>
        <v>0</v>
      </c>
      <c r="R9" s="22">
        <f>IF((Q7+R6-(R3-R4)-R11)&gt;0,0,(Q7+R6-(R3-R4)-R11))</f>
        <v>0</v>
      </c>
      <c r="S9" s="24">
        <f>IF((R7+S6-(S3-S4)-S11)&gt;0,0,(R7+S6-(S3-S4)-S11))</f>
        <v>-4819.446399999999</v>
      </c>
      <c r="T9" s="24"/>
      <c r="U9" s="24"/>
      <c r="V9" s="24"/>
      <c r="W9" s="24"/>
      <c r="X9" s="24"/>
      <c r="Y9" s="24"/>
      <c r="Z9" s="24"/>
      <c r="AA9" s="24"/>
      <c r="AB9" s="24"/>
      <c r="AC9" s="24"/>
      <c r="AD9" s="24"/>
    </row>
    <row r="10" ht="12.7" customHeight="1">
      <c r="A10" t="s" s="18">
        <v>211</v>
      </c>
      <c r="B10" s="19">
        <v>400001</v>
      </c>
      <c r="C10" t="s" s="20">
        <v>212</v>
      </c>
      <c r="D10" t="s" s="21">
        <v>35</v>
      </c>
      <c r="E10" t="s" s="21">
        <f>A10&amp;D10</f>
        <v>220</v>
      </c>
      <c r="F10" s="46"/>
      <c r="G10" s="49"/>
      <c r="H10" s="47"/>
      <c r="I10" s="22">
        <v>0</v>
      </c>
      <c r="J10" s="22">
        <v>0</v>
      </c>
      <c r="K10" s="22">
        <v>0</v>
      </c>
      <c r="L10" s="22">
        <v>0</v>
      </c>
      <c r="M10" s="22">
        <v>0</v>
      </c>
      <c r="N10" s="46"/>
      <c r="O10" s="58"/>
      <c r="P10" s="58"/>
      <c r="Q10" s="58"/>
      <c r="R10" s="59"/>
      <c r="S10" s="24"/>
      <c r="T10" s="24"/>
      <c r="U10" s="24"/>
      <c r="V10" s="24"/>
      <c r="W10" s="24"/>
      <c r="X10" s="24"/>
      <c r="Y10" s="24"/>
      <c r="Z10" s="24"/>
      <c r="AA10" s="24"/>
      <c r="AB10" s="24"/>
      <c r="AC10" s="24"/>
      <c r="AD10" s="24"/>
    </row>
    <row r="11" ht="12.7" customHeight="1">
      <c r="A11" t="s" s="18">
        <v>211</v>
      </c>
      <c r="B11" s="19">
        <v>400001</v>
      </c>
      <c r="C11" t="s" s="20">
        <v>212</v>
      </c>
      <c r="D11" t="s" s="21">
        <v>37</v>
      </c>
      <c r="E11" t="s" s="21">
        <f>A11&amp;D11</f>
        <v>221</v>
      </c>
      <c r="F11" s="22">
        <v>0</v>
      </c>
      <c r="G11" s="22">
        <v>0</v>
      </c>
      <c r="H11" s="30">
        <v>0</v>
      </c>
      <c r="I11" s="22">
        <f>IF(I10&gt;0,IF(I10-(I3-I4)&gt;0,(I10-(I3-I4)),0),0)</f>
        <v>0</v>
      </c>
      <c r="J11" s="22">
        <f>IF(J10&gt;0,IF(J10-(J3-J4)&gt;0,(J10-(J3-J4)),0),0)</f>
        <v>0</v>
      </c>
      <c r="K11" s="22">
        <f>IF(K10&gt;0,IF(K10-(K3-K4)&gt;0,(K10-(K3-K4)),0),0)</f>
        <v>0</v>
      </c>
      <c r="L11" s="22">
        <f>IF(L10&gt;0,IF(L10-(L3-L4)&gt;0,(L10-(L3-L4)),0),0)</f>
        <v>0</v>
      </c>
      <c r="M11" s="22">
        <v>0</v>
      </c>
      <c r="N11" s="22">
        <v>0</v>
      </c>
      <c r="O11" s="31"/>
      <c r="P11" s="32"/>
      <c r="Q11" s="32"/>
      <c r="R11" s="33"/>
      <c r="S11" s="24"/>
      <c r="T11" s="24"/>
      <c r="U11" s="24"/>
      <c r="V11" s="24"/>
      <c r="W11" s="24"/>
      <c r="X11" s="24"/>
      <c r="Y11" s="24"/>
      <c r="Z11" s="24"/>
      <c r="AA11" s="24"/>
      <c r="AB11" s="24"/>
      <c r="AC11" s="24"/>
      <c r="AD11" s="24"/>
    </row>
    <row r="12" ht="12.7" customHeight="1">
      <c r="A12" t="s" s="34">
        <v>211</v>
      </c>
      <c r="B12" s="35">
        <v>400001</v>
      </c>
      <c r="C12" t="s" s="36">
        <v>212</v>
      </c>
      <c r="D12" t="s" s="37">
        <v>39</v>
      </c>
      <c r="E12" t="s" s="37">
        <f>A12&amp;D12</f>
        <v>222</v>
      </c>
      <c r="F12" s="38">
        <f>IFERROR(F8/AVERAGE(G3:H3)*30,0)</f>
        <v>0</v>
      </c>
      <c r="G12" s="38">
        <f>IFERROR(G8/AVERAGE(H3:I3)*30,0)</f>
        <v>0</v>
      </c>
      <c r="H12" s="38">
        <f>IFERROR(H7/AVERAGE(I3:J3)*30,0)</f>
        <v>0</v>
      </c>
      <c r="I12" s="38">
        <f>IFERROR(I7/AVERAGE(J3:K3)*30,0)</f>
        <v>0</v>
      </c>
      <c r="J12" s="38">
        <f>IFERROR(J7/AVERAGE(K3:L3)*30,0)</f>
        <v>0</v>
      </c>
      <c r="K12" s="38">
        <f>IFERROR(K7/AVERAGE(L3:M3)*30,0)</f>
        <v>0</v>
      </c>
      <c r="L12" s="38">
        <f>IFERROR(L7/AVERAGE(M3:N3)*30,0)</f>
        <v>0</v>
      </c>
      <c r="M12" s="38">
        <f>IFERROR(M7/AVERAGE(N3:O3)*30,0)</f>
        <v>0</v>
      </c>
      <c r="N12" s="38">
        <f>IFERROR(N7/AVERAGE(O3:P3)*30,0)</f>
        <v>0</v>
      </c>
      <c r="O12" s="38">
        <f>IFERROR(O7/AVERAGE(P3:Q3)*30,0)</f>
        <v>22.91854072963519</v>
      </c>
      <c r="P12" s="38">
        <f>IFERROR(P7/AVERAGE(Q3:R3)*30,0)</f>
        <v>20.00509279852502</v>
      </c>
      <c r="Q12" s="38">
        <f>IFERROR(Q7/AVERAGE(R3:S3)*30,0)</f>
        <v>21.70764743817181</v>
      </c>
      <c r="R12" s="38">
        <f>IFERROR(R7/AVERAGE(S3:T3)*30,0)</f>
        <v>20.49199215408498</v>
      </c>
      <c r="S12" s="38">
        <f>IFERROR(S7/AVERAGE(T3:U3)*30,0)</f>
        <v>0</v>
      </c>
      <c r="T12" s="38"/>
      <c r="U12" s="38"/>
      <c r="V12" s="38"/>
      <c r="W12" s="38"/>
      <c r="X12" s="38"/>
      <c r="Y12" s="38"/>
      <c r="Z12" s="38"/>
      <c r="AA12" s="38"/>
      <c r="AB12" s="38"/>
      <c r="AC12" s="38"/>
      <c r="AD12" s="38"/>
    </row>
    <row r="13" ht="12" customHeight="1">
      <c r="A13" s="39"/>
      <c r="B13" s="40"/>
      <c r="C13" s="40"/>
      <c r="D13" s="40"/>
      <c r="E13" s="40"/>
      <c r="F13" s="40"/>
      <c r="G13" t="s" s="90">
        <v>2</v>
      </c>
      <c r="H13" s="91"/>
      <c r="I13" s="91"/>
      <c r="J13" s="91"/>
      <c r="K13" s="91"/>
      <c r="L13" s="91"/>
      <c r="M13" s="91"/>
      <c r="N13" s="91"/>
      <c r="O13" s="91"/>
      <c r="P13" s="91"/>
      <c r="Q13" s="91"/>
      <c r="R13" s="91"/>
      <c r="S13" t="s" s="90">
        <v>3</v>
      </c>
      <c r="T13" s="91"/>
      <c r="U13" s="91"/>
      <c r="V13" s="91"/>
      <c r="W13" s="91"/>
      <c r="X13" s="91"/>
      <c r="Y13" s="91"/>
      <c r="Z13" s="91"/>
      <c r="AA13" s="91"/>
      <c r="AB13" s="91"/>
      <c r="AC13" s="91"/>
      <c r="AD13" s="92"/>
    </row>
    <row r="14" ht="13.5" customHeight="1">
      <c r="A14" t="s" s="8">
        <v>4</v>
      </c>
      <c r="B14" t="s" s="9">
        <v>5</v>
      </c>
      <c r="C14" t="s" s="9">
        <v>6</v>
      </c>
      <c r="D14" t="s" s="9">
        <v>7</v>
      </c>
      <c r="E14" s="10"/>
      <c r="F14" t="s" s="9">
        <v>18</v>
      </c>
      <c r="G14" t="s" s="9">
        <v>8</v>
      </c>
      <c r="H14" t="s" s="9">
        <v>9</v>
      </c>
      <c r="I14" t="s" s="9">
        <v>10</v>
      </c>
      <c r="J14" t="s" s="9">
        <v>11</v>
      </c>
      <c r="K14" t="s" s="9">
        <v>1</v>
      </c>
      <c r="L14" t="s" s="9">
        <v>12</v>
      </c>
      <c r="M14" t="s" s="9">
        <v>13</v>
      </c>
      <c r="N14" t="s" s="9">
        <v>14</v>
      </c>
      <c r="O14" t="s" s="9">
        <v>15</v>
      </c>
      <c r="P14" t="s" s="9">
        <v>16</v>
      </c>
      <c r="Q14" t="s" s="9">
        <v>17</v>
      </c>
      <c r="R14" t="s" s="9">
        <v>18</v>
      </c>
      <c r="S14" t="s" s="9">
        <v>8</v>
      </c>
      <c r="T14" t="s" s="9">
        <v>9</v>
      </c>
      <c r="U14" t="s" s="9">
        <v>10</v>
      </c>
      <c r="V14" t="s" s="9">
        <v>11</v>
      </c>
      <c r="W14" t="s" s="9">
        <v>1</v>
      </c>
      <c r="X14" t="s" s="9">
        <v>12</v>
      </c>
      <c r="Y14" t="s" s="9">
        <v>13</v>
      </c>
      <c r="Z14" t="s" s="9">
        <v>14</v>
      </c>
      <c r="AA14" t="s" s="9">
        <v>15</v>
      </c>
      <c r="AB14" t="s" s="9">
        <v>16</v>
      </c>
      <c r="AC14" t="s" s="9">
        <v>17</v>
      </c>
      <c r="AD14" t="s" s="11">
        <v>18</v>
      </c>
    </row>
    <row r="15" ht="12.7" customHeight="1">
      <c r="A15" t="s" s="12">
        <v>223</v>
      </c>
      <c r="B15" s="13">
        <v>400002</v>
      </c>
      <c r="C15" t="s" s="14">
        <v>224</v>
      </c>
      <c r="D15" t="s" s="15">
        <v>21</v>
      </c>
      <c r="E15" t="s" s="15">
        <f>A15&amp;D15</f>
        <v>225</v>
      </c>
      <c r="F15" s="93"/>
      <c r="G15" s="83"/>
      <c r="H15" s="84"/>
      <c r="I15" s="85"/>
      <c r="J15" s="17">
        <v>0</v>
      </c>
      <c r="K15" s="17">
        <v>0</v>
      </c>
      <c r="L15" s="17">
        <v>0</v>
      </c>
      <c r="M15" s="17">
        <v>0</v>
      </c>
      <c r="N15" s="17">
        <v>0</v>
      </c>
      <c r="O15" s="17">
        <v>5707.895999999999</v>
      </c>
      <c r="P15" s="17">
        <v>5341.219999999999</v>
      </c>
      <c r="Q15" s="17">
        <v>11506.272</v>
      </c>
      <c r="R15" s="17">
        <v>10440</v>
      </c>
      <c r="S15" s="17">
        <v>10648.8</v>
      </c>
      <c r="T15" s="17"/>
      <c r="U15" s="17"/>
      <c r="V15" s="17"/>
      <c r="W15" s="17"/>
      <c r="X15" s="17"/>
      <c r="Y15" s="17"/>
      <c r="Z15" s="17"/>
      <c r="AA15" s="17"/>
      <c r="AB15" s="17"/>
      <c r="AC15" s="17"/>
      <c r="AD15" s="17"/>
    </row>
    <row r="16" ht="12.7" customHeight="1">
      <c r="A16" t="s" s="18">
        <v>223</v>
      </c>
      <c r="B16" s="19">
        <v>400002</v>
      </c>
      <c r="C16" t="s" s="20">
        <v>224</v>
      </c>
      <c r="D16" t="s" s="21">
        <v>23</v>
      </c>
      <c r="E16" t="s" s="21">
        <f>A16&amp;D16</f>
        <v>226</v>
      </c>
      <c r="F16" s="22">
        <v>9000</v>
      </c>
      <c r="G16" s="22">
        <v>5077</v>
      </c>
      <c r="H16" s="22">
        <v>11292</v>
      </c>
      <c r="I16" s="22">
        <v>9764</v>
      </c>
      <c r="J16" s="86">
        <f>INDEX('Sales Actual'!$H$5:$H$66,MATCH($A16,'Sales Actual'!$G$5:$G$66,0))</f>
        <v>0</v>
      </c>
      <c r="K16" s="86">
        <f>INDEX('Sales Actual'!$J$5:$J$66,MATCH($A16,'Sales Actual'!$I$5:$I$66,0))</f>
        <v>0</v>
      </c>
      <c r="L16" s="86">
        <f>INDEX('Sales Actual'!$L$5:$L$66,MATCH($A16,'Sales Actual'!$K$5:$K$66,0))</f>
        <v>0</v>
      </c>
      <c r="M16" s="86">
        <f>INDEX('Sales Actual'!$N$4:$N$65,MATCH($A16,'Sales Actual'!$M$4:$M$65,0))</f>
        <v>0</v>
      </c>
      <c r="N16" s="86">
        <f>INDEX('Sales Actual'!$P$4:$P$64,MATCH($A16,'Sales Actual'!$O$4:$O$65,0))</f>
        <v>0</v>
      </c>
      <c r="O16" s="86">
        <f>INDEX('Sales Actual'!$R$4:$R$65,MATCH($A16,'Sales Actual'!$Q$4:$Q$65,0))</f>
        <v>0</v>
      </c>
      <c r="P16" s="86">
        <f>INDEX('Sales Actual'!$T$4:$T$66,MATCH($A16,'Sales Actual'!$S$4:$S$66,0))</f>
        <v>0</v>
      </c>
      <c r="Q16" s="86">
        <f>INDEX('Sales Actual'!$V$4:$V$65,MATCH($A16,'Sales Actual'!$U$4:$U$65,0))</f>
        <v>0</v>
      </c>
      <c r="R16" s="86">
        <f>INDEX('Sales Actual'!$X$4:$X$65,MATCH($A16,'Sales Actual'!$W$4:$W$65,0))</f>
        <v>0</v>
      </c>
      <c r="S16" s="22"/>
      <c r="T16" s="22"/>
      <c r="U16" s="22"/>
      <c r="V16" s="22"/>
      <c r="W16" s="22"/>
      <c r="X16" s="22"/>
      <c r="Y16" s="22"/>
      <c r="Z16" s="22"/>
      <c r="AA16" s="22"/>
      <c r="AB16" s="22"/>
      <c r="AC16" s="22"/>
      <c r="AD16" s="22"/>
    </row>
    <row r="17" ht="12.7" customHeight="1">
      <c r="A17" t="s" s="18">
        <v>223</v>
      </c>
      <c r="B17" s="19">
        <v>400002</v>
      </c>
      <c r="C17" t="s" s="20">
        <v>224</v>
      </c>
      <c r="D17" t="s" s="21">
        <v>25</v>
      </c>
      <c r="E17" t="s" s="21">
        <f>A17&amp;D17</f>
        <v>227</v>
      </c>
      <c r="F17" s="57"/>
      <c r="G17" s="58"/>
      <c r="H17" s="58"/>
      <c r="I17" s="58"/>
      <c r="J17" s="58"/>
      <c r="K17" s="58"/>
      <c r="L17" s="58"/>
      <c r="M17" s="59"/>
      <c r="N17" s="22">
        <v>720</v>
      </c>
      <c r="O17" s="22">
        <f>144*60</f>
        <v>8640</v>
      </c>
      <c r="P17" s="22">
        <f>144*50</f>
        <v>7200</v>
      </c>
      <c r="Q17" s="22">
        <f t="shared" si="78" ref="Q17:R41">144*80</f>
        <v>11520</v>
      </c>
      <c r="R17" s="22">
        <f>144*75</f>
        <v>10800</v>
      </c>
      <c r="S17" s="24">
        <v>0</v>
      </c>
      <c r="T17" s="24"/>
      <c r="U17" s="24"/>
      <c r="V17" s="24"/>
      <c r="W17" s="24"/>
      <c r="X17" s="24"/>
      <c r="Y17" s="24"/>
      <c r="Z17" s="24"/>
      <c r="AA17" s="24"/>
      <c r="AB17" s="24"/>
      <c r="AC17" s="24"/>
      <c r="AD17" s="24"/>
    </row>
    <row r="18" ht="12.7" customHeight="1">
      <c r="A18" t="s" s="18">
        <v>223</v>
      </c>
      <c r="B18" s="19">
        <v>400002</v>
      </c>
      <c r="C18" t="s" s="20">
        <v>224</v>
      </c>
      <c r="D18" t="s" s="21">
        <v>27</v>
      </c>
      <c r="E18" t="s" s="21">
        <f>A18&amp;D18</f>
        <v>228</v>
      </c>
      <c r="F18" s="60"/>
      <c r="G18" s="61"/>
      <c r="H18" s="61"/>
      <c r="I18" s="32"/>
      <c r="J18" s="32"/>
      <c r="K18" s="32"/>
      <c r="L18" s="32"/>
      <c r="M18" s="33"/>
      <c r="N18" s="22">
        <v>0</v>
      </c>
      <c r="O18" s="22">
        <f>144*76</f>
        <v>10944</v>
      </c>
      <c r="P18" s="22">
        <f>P17</f>
        <v>7200</v>
      </c>
      <c r="Q18" s="22">
        <f>Q17</f>
        <v>11520</v>
      </c>
      <c r="R18" s="22">
        <f>R17</f>
        <v>10800</v>
      </c>
      <c r="S18" s="24"/>
      <c r="T18" s="24"/>
      <c r="U18" s="24"/>
      <c r="V18" s="24"/>
      <c r="W18" s="24"/>
      <c r="X18" s="24"/>
      <c r="Y18" s="24"/>
      <c r="Z18" s="24"/>
      <c r="AA18" s="24"/>
      <c r="AB18" s="24"/>
      <c r="AC18" s="24"/>
      <c r="AD18" s="24"/>
    </row>
    <row r="19" ht="12.7" customHeight="1">
      <c r="A19" t="s" s="18">
        <v>223</v>
      </c>
      <c r="B19" s="19">
        <v>400002</v>
      </c>
      <c r="C19" t="s" s="20">
        <v>224</v>
      </c>
      <c r="D19" t="s" s="21">
        <v>29</v>
      </c>
      <c r="E19" t="s" s="21">
        <f>A19&amp;D19</f>
        <v>229</v>
      </c>
      <c r="F19" s="60"/>
      <c r="G19" s="87"/>
      <c r="H19" s="62"/>
      <c r="I19" s="22">
        <v>0</v>
      </c>
      <c r="J19" s="22">
        <f>IF((I19+J18-(J15-J16)-J23)&lt;0,0,(I19+J18-(J15-J16)-J23))</f>
        <v>0</v>
      </c>
      <c r="K19" s="22">
        <f>IF((J19+K18-(K15-K16)-K23)&lt;0,0,(J19+K18-(K15-K16)-K23))</f>
        <v>0</v>
      </c>
      <c r="L19" s="22">
        <f>IF((K19+L18-(L15-L16)-L23)&lt;0,0,(K19+L18-(L15-L16)-L23))</f>
        <v>0</v>
      </c>
      <c r="M19" s="22">
        <f>IF((L19+M18-(M15-M16)-M23)&lt;0,0,(L19+M18-(M15-M16)-M23))</f>
        <v>0</v>
      </c>
      <c r="N19" s="22">
        <f>IF((M19+N18-(N15-N16)-N23)&lt;0,0,(M19+N18-(N15-N16)-N23))</f>
        <v>0</v>
      </c>
      <c r="O19" s="22">
        <f>IF((N19+O18-(O15-O16)-O23)&lt;0,0,(N19+O18-(O15-O16)-O23))</f>
        <v>5236.104000000001</v>
      </c>
      <c r="P19" s="22">
        <f>IF((O19+P18-(P15-P16)-P23)&lt;0,0,(O19+P18-(P15-P16)-P23))</f>
        <v>7094.884000000002</v>
      </c>
      <c r="Q19" s="22">
        <f>IF((P19+Q18-(Q15-Q16)-Q23)&lt;0,0,(P19+Q18-(Q15-Q16)-Q23))</f>
        <v>7108.612000000001</v>
      </c>
      <c r="R19" s="22">
        <f>IF((Q19+R18-(R15-R16)-R23)&lt;0,0,(Q19+R18-(R15-R16)-R23))</f>
        <v>7468.612000000001</v>
      </c>
      <c r="S19" s="22"/>
      <c r="T19" s="22"/>
      <c r="U19" s="22"/>
      <c r="V19" s="22"/>
      <c r="W19" s="22"/>
      <c r="X19" s="22"/>
      <c r="Y19" s="22"/>
      <c r="Z19" s="22"/>
      <c r="AA19" s="22"/>
      <c r="AB19" s="22"/>
      <c r="AC19" s="22"/>
      <c r="AD19" s="22"/>
    </row>
    <row r="20" ht="12.7" customHeight="1">
      <c r="A20" t="s" s="18">
        <v>223</v>
      </c>
      <c r="B20" s="19">
        <v>400002</v>
      </c>
      <c r="C20" t="s" s="20">
        <v>224</v>
      </c>
      <c r="D20" t="s" s="21">
        <v>31</v>
      </c>
      <c r="E20" t="s" s="21">
        <f>A20&amp;D20</f>
        <v>230</v>
      </c>
      <c r="F20" s="88"/>
      <c r="G20" s="89"/>
      <c r="H20" s="32"/>
      <c r="I20" s="47"/>
      <c r="J20" s="48"/>
      <c r="K20" s="48"/>
      <c r="L20" s="48"/>
      <c r="M20" s="48"/>
      <c r="N20" s="48"/>
      <c r="O20" s="48"/>
      <c r="P20" s="48"/>
      <c r="Q20" s="48"/>
      <c r="R20" s="48"/>
      <c r="S20" s="22"/>
      <c r="T20" s="22"/>
      <c r="U20" s="22"/>
      <c r="V20" s="22"/>
      <c r="W20" s="22"/>
      <c r="X20" s="22"/>
      <c r="Y20" s="22"/>
      <c r="Z20" s="22"/>
      <c r="AA20" s="22"/>
      <c r="AB20" s="22"/>
      <c r="AC20" s="22"/>
      <c r="AD20" s="22"/>
    </row>
    <row r="21" ht="12.7" customHeight="1">
      <c r="A21" t="s" s="18">
        <v>223</v>
      </c>
      <c r="B21" s="19">
        <v>400002</v>
      </c>
      <c r="C21" t="s" s="20">
        <v>224</v>
      </c>
      <c r="D21" t="s" s="21">
        <v>33</v>
      </c>
      <c r="E21" t="s" s="21">
        <f>A21&amp;D21</f>
        <v>231</v>
      </c>
      <c r="F21" s="22">
        <v>0</v>
      </c>
      <c r="G21" s="22">
        <v>0</v>
      </c>
      <c r="H21" s="22">
        <v>0</v>
      </c>
      <c r="I21" s="22">
        <v>0</v>
      </c>
      <c r="J21" s="22">
        <f>IF((I19+J18-(J15-J16)-J23)&gt;0,0,(I19+J18-(J15-J16)-J23))</f>
        <v>0</v>
      </c>
      <c r="K21" s="22">
        <f>IF((J19+K18-(K15-K16)-K23)&gt;0,0,(J19+K18-(K15-K16)-K23))</f>
        <v>0</v>
      </c>
      <c r="L21" s="22">
        <f>IF((K19+L18-(L15-L16)-L23)&gt;0,0,(K19+L18-(L15-L16)-L23))</f>
        <v>0</v>
      </c>
      <c r="M21" s="22">
        <f>IF((L19+M18-(M15-M16)-M23)&gt;0,0,(L19+M18-(M15-M16)-M23))</f>
        <v>0</v>
      </c>
      <c r="N21" s="22">
        <f>IF((M19+N18-(N15-N16)-N23)&gt;0,0,(M19+N18-(N15-N16)-N23))</f>
        <v>0</v>
      </c>
      <c r="O21" s="22">
        <f>IF((N19+O18-(O15-O16)-O23)&gt;0,0,(N19+O18-(O15-O16)-O23))</f>
        <v>0</v>
      </c>
      <c r="P21" s="22">
        <f>IF((O19+P18-(P15-P16)-P23)&gt;0,0,(O19+P18-(P15-P16)-P23))</f>
        <v>0</v>
      </c>
      <c r="Q21" s="22">
        <f>IF((P19+Q18-(Q15-Q16)-Q23)&gt;0,0,(P19+Q18-(Q15-Q16)-Q23))</f>
        <v>0</v>
      </c>
      <c r="R21" s="22">
        <f>IF((Q19+R18-(R15-R16)-R23)&gt;0,0,(Q19+R18-(R15-R16)-R23))</f>
        <v>0</v>
      </c>
      <c r="S21" s="24">
        <f>IF((R19+S18-(S15-S16)-S23)&gt;0,0,(R19+S18-(S15-S16)-S23))</f>
        <v>-3180.187999999998</v>
      </c>
      <c r="T21" s="24"/>
      <c r="U21" s="24"/>
      <c r="V21" s="24"/>
      <c r="W21" s="24"/>
      <c r="X21" s="24"/>
      <c r="Y21" s="24"/>
      <c r="Z21" s="24"/>
      <c r="AA21" s="24"/>
      <c r="AB21" s="24"/>
      <c r="AC21" s="24"/>
      <c r="AD21" s="24"/>
    </row>
    <row r="22" ht="12.7" customHeight="1">
      <c r="A22" t="s" s="18">
        <v>223</v>
      </c>
      <c r="B22" s="19">
        <v>400002</v>
      </c>
      <c r="C22" t="s" s="20">
        <v>224</v>
      </c>
      <c r="D22" t="s" s="21">
        <v>35</v>
      </c>
      <c r="E22" t="s" s="21">
        <f>A22&amp;D22</f>
        <v>232</v>
      </c>
      <c r="F22" s="46"/>
      <c r="G22" s="49"/>
      <c r="H22" s="47"/>
      <c r="I22" s="22">
        <v>0</v>
      </c>
      <c r="J22" s="22">
        <v>0</v>
      </c>
      <c r="K22" s="22">
        <v>0</v>
      </c>
      <c r="L22" s="22">
        <v>0</v>
      </c>
      <c r="M22" s="22">
        <v>0</v>
      </c>
      <c r="N22" s="46"/>
      <c r="O22" s="58"/>
      <c r="P22" s="58"/>
      <c r="Q22" s="58"/>
      <c r="R22" s="59"/>
      <c r="S22" s="24"/>
      <c r="T22" s="24"/>
      <c r="U22" s="24"/>
      <c r="V22" s="24"/>
      <c r="W22" s="24"/>
      <c r="X22" s="24"/>
      <c r="Y22" s="24"/>
      <c r="Z22" s="24"/>
      <c r="AA22" s="24"/>
      <c r="AB22" s="24"/>
      <c r="AC22" s="24"/>
      <c r="AD22" s="24"/>
    </row>
    <row r="23" ht="12.7" customHeight="1">
      <c r="A23" t="s" s="18">
        <v>223</v>
      </c>
      <c r="B23" s="19">
        <v>400002</v>
      </c>
      <c r="C23" t="s" s="20">
        <v>224</v>
      </c>
      <c r="D23" t="s" s="21">
        <v>37</v>
      </c>
      <c r="E23" t="s" s="21">
        <f>A23&amp;D23</f>
        <v>233</v>
      </c>
      <c r="F23" s="22">
        <v>0</v>
      </c>
      <c r="G23" s="22">
        <v>0</v>
      </c>
      <c r="H23" s="30">
        <v>0</v>
      </c>
      <c r="I23" s="22">
        <f>IF(I22&gt;0,IF(I22-(I15-I16)&gt;0,(I22-(I15-I16)),0),0)</f>
        <v>0</v>
      </c>
      <c r="J23" s="22">
        <f>IF(J22&gt;0,IF(J22-(J15-J16)&gt;0,(J22-(J15-J16)),0),0)</f>
        <v>0</v>
      </c>
      <c r="K23" s="22">
        <f>IF(K22&gt;0,IF(K22-(K15-K16)&gt;0,(K22-(K15-K16)),0),0)</f>
        <v>0</v>
      </c>
      <c r="L23" s="22">
        <f>IF(L22&gt;0,IF(L22-(L15-L16)&gt;0,(L22-(L15-L16)),0),0)</f>
        <v>0</v>
      </c>
      <c r="M23" s="22">
        <v>0</v>
      </c>
      <c r="N23" s="22">
        <v>0</v>
      </c>
      <c r="O23" s="31"/>
      <c r="P23" s="32"/>
      <c r="Q23" s="32"/>
      <c r="R23" s="33"/>
      <c r="S23" s="24"/>
      <c r="T23" s="24"/>
      <c r="U23" s="24"/>
      <c r="V23" s="24"/>
      <c r="W23" s="24"/>
      <c r="X23" s="24"/>
      <c r="Y23" s="24"/>
      <c r="Z23" s="24"/>
      <c r="AA23" s="24"/>
      <c r="AB23" s="24"/>
      <c r="AC23" s="24"/>
      <c r="AD23" s="24"/>
    </row>
    <row r="24" ht="12.7" customHeight="1">
      <c r="A24" t="s" s="34">
        <v>223</v>
      </c>
      <c r="B24" s="35">
        <v>400002</v>
      </c>
      <c r="C24" t="s" s="36">
        <v>224</v>
      </c>
      <c r="D24" t="s" s="37">
        <v>39</v>
      </c>
      <c r="E24" t="s" s="37">
        <f>A24&amp;D24</f>
        <v>234</v>
      </c>
      <c r="F24" s="38">
        <f>IFERROR(F20/AVERAGE(G15:H15)*30,0)</f>
        <v>0</v>
      </c>
      <c r="G24" s="38">
        <f>IFERROR(G20/AVERAGE(H15:I15)*30,0)</f>
        <v>0</v>
      </c>
      <c r="H24" s="38">
        <f>IFERROR(H19/AVERAGE(I15:J15)*30,0)</f>
        <v>0</v>
      </c>
      <c r="I24" s="38">
        <f>IFERROR(I19/AVERAGE(J15:K15)*30,0)</f>
        <v>0</v>
      </c>
      <c r="J24" s="38">
        <f>IFERROR(J19/AVERAGE(K15:L15)*30,0)</f>
        <v>0</v>
      </c>
      <c r="K24" s="38">
        <f>IFERROR(K19/AVERAGE(L15:M15)*30,0)</f>
        <v>0</v>
      </c>
      <c r="L24" s="38">
        <f>IFERROR(L19/AVERAGE(M15:N15)*30,0)</f>
        <v>0</v>
      </c>
      <c r="M24" s="38">
        <f>IFERROR(M19/AVERAGE(N15:O15)*30,0)</f>
        <v>0</v>
      </c>
      <c r="N24" s="38">
        <f>IFERROR(N19/AVERAGE(O15:P15)*30,0)</f>
        <v>0</v>
      </c>
      <c r="O24" s="38">
        <f>IFERROR(O19/AVERAGE(P15:Q15)*30,0)</f>
        <v>18.64765628023448</v>
      </c>
      <c r="P24" s="38">
        <f>IFERROR(P19/AVERAGE(Q15:R15)*30,0)</f>
        <v>19.39705477085129</v>
      </c>
      <c r="Q24" s="38">
        <f>IFERROR(Q19/AVERAGE(R15:S15)*30,0)</f>
        <v>20.22479799704109</v>
      </c>
      <c r="R24" s="38">
        <f>IFERROR(R19/AVERAGE(S15:T15)*30,0)</f>
        <v>21.04071444669822</v>
      </c>
      <c r="S24" s="38">
        <f>IFERROR(S19/AVERAGE(T15:U15)*30,0)</f>
        <v>0</v>
      </c>
      <c r="T24" s="38"/>
      <c r="U24" s="38"/>
      <c r="V24" s="38"/>
      <c r="W24" s="38"/>
      <c r="X24" s="38"/>
      <c r="Y24" s="38"/>
      <c r="Z24" s="38"/>
      <c r="AA24" s="38"/>
      <c r="AB24" s="38"/>
      <c r="AC24" s="38"/>
      <c r="AD24" s="38"/>
    </row>
    <row r="25" ht="12" customHeight="1">
      <c r="A25" s="39"/>
      <c r="B25" s="40"/>
      <c r="C25" s="40"/>
      <c r="D25" s="40"/>
      <c r="E25" s="40"/>
      <c r="F25" s="40"/>
      <c r="G25" t="s" s="90">
        <v>2</v>
      </c>
      <c r="H25" s="91"/>
      <c r="I25" s="91"/>
      <c r="J25" s="91"/>
      <c r="K25" s="91"/>
      <c r="L25" s="91"/>
      <c r="M25" s="91"/>
      <c r="N25" s="91"/>
      <c r="O25" s="91"/>
      <c r="P25" s="91"/>
      <c r="Q25" s="91"/>
      <c r="R25" s="91"/>
      <c r="S25" t="s" s="90">
        <v>3</v>
      </c>
      <c r="T25" s="91"/>
      <c r="U25" s="91"/>
      <c r="V25" s="91"/>
      <c r="W25" s="91"/>
      <c r="X25" s="91"/>
      <c r="Y25" s="91"/>
      <c r="Z25" s="91"/>
      <c r="AA25" s="91"/>
      <c r="AB25" s="91"/>
      <c r="AC25" s="91"/>
      <c r="AD25" s="92"/>
    </row>
    <row r="26" ht="13.5" customHeight="1">
      <c r="A26" t="s" s="8">
        <v>4</v>
      </c>
      <c r="B26" t="s" s="9">
        <v>5</v>
      </c>
      <c r="C26" t="s" s="9">
        <v>6</v>
      </c>
      <c r="D26" t="s" s="9">
        <v>7</v>
      </c>
      <c r="E26" s="10"/>
      <c r="F26" t="s" s="9">
        <v>18</v>
      </c>
      <c r="G26" t="s" s="9">
        <v>8</v>
      </c>
      <c r="H26" t="s" s="9">
        <v>9</v>
      </c>
      <c r="I26" t="s" s="9">
        <v>10</v>
      </c>
      <c r="J26" t="s" s="9">
        <v>11</v>
      </c>
      <c r="K26" t="s" s="9">
        <v>1</v>
      </c>
      <c r="L26" t="s" s="9">
        <v>12</v>
      </c>
      <c r="M26" t="s" s="9">
        <v>13</v>
      </c>
      <c r="N26" t="s" s="9">
        <v>14</v>
      </c>
      <c r="O26" t="s" s="9">
        <v>15</v>
      </c>
      <c r="P26" t="s" s="9">
        <v>16</v>
      </c>
      <c r="Q26" t="s" s="9">
        <v>17</v>
      </c>
      <c r="R26" t="s" s="9">
        <v>18</v>
      </c>
      <c r="S26" t="s" s="9">
        <v>8</v>
      </c>
      <c r="T26" t="s" s="9">
        <v>9</v>
      </c>
      <c r="U26" t="s" s="9">
        <v>10</v>
      </c>
      <c r="V26" t="s" s="9">
        <v>11</v>
      </c>
      <c r="W26" t="s" s="9">
        <v>1</v>
      </c>
      <c r="X26" t="s" s="9">
        <v>12</v>
      </c>
      <c r="Y26" t="s" s="9">
        <v>13</v>
      </c>
      <c r="Z26" t="s" s="9">
        <v>14</v>
      </c>
      <c r="AA26" t="s" s="9">
        <v>15</v>
      </c>
      <c r="AB26" t="s" s="9">
        <v>16</v>
      </c>
      <c r="AC26" t="s" s="9">
        <v>17</v>
      </c>
      <c r="AD26" t="s" s="11">
        <v>18</v>
      </c>
    </row>
    <row r="27" ht="12.7" customHeight="1">
      <c r="A27" t="s" s="12">
        <v>235</v>
      </c>
      <c r="B27" s="13">
        <v>400003</v>
      </c>
      <c r="C27" t="s" s="14">
        <v>236</v>
      </c>
      <c r="D27" t="s" s="15">
        <v>21</v>
      </c>
      <c r="E27" t="s" s="15">
        <f>A27&amp;D27</f>
        <v>237</v>
      </c>
      <c r="F27" s="93"/>
      <c r="G27" s="83"/>
      <c r="H27" s="84"/>
      <c r="I27" s="85"/>
      <c r="J27" s="17">
        <v>0</v>
      </c>
      <c r="K27" s="17">
        <v>0</v>
      </c>
      <c r="L27" s="17">
        <v>0</v>
      </c>
      <c r="M27" s="17">
        <v>0</v>
      </c>
      <c r="N27" s="17">
        <v>0</v>
      </c>
      <c r="O27" s="17">
        <v>6405.462</v>
      </c>
      <c r="P27" s="17">
        <v>5102.839999999999</v>
      </c>
      <c r="Q27" s="17">
        <v>12205.23</v>
      </c>
      <c r="R27" s="17">
        <v>12783.2</v>
      </c>
      <c r="S27" s="17">
        <v>13038.864</v>
      </c>
      <c r="T27" s="17"/>
      <c r="U27" s="17"/>
      <c r="V27" s="17"/>
      <c r="W27" s="17"/>
      <c r="X27" s="17"/>
      <c r="Y27" s="17"/>
      <c r="Z27" s="17"/>
      <c r="AA27" s="17"/>
      <c r="AB27" s="17"/>
      <c r="AC27" s="17"/>
      <c r="AD27" s="17"/>
    </row>
    <row r="28" ht="12.7" customHeight="1">
      <c r="A28" t="s" s="18">
        <v>235</v>
      </c>
      <c r="B28" s="19">
        <v>400003</v>
      </c>
      <c r="C28" t="s" s="20">
        <v>236</v>
      </c>
      <c r="D28" t="s" s="21">
        <v>23</v>
      </c>
      <c r="E28" t="s" s="21">
        <f>A28&amp;D28</f>
        <v>238</v>
      </c>
      <c r="F28" s="22">
        <v>11020</v>
      </c>
      <c r="G28" s="22">
        <v>13895</v>
      </c>
      <c r="H28" s="22">
        <v>13346</v>
      </c>
      <c r="I28" s="22">
        <v>31800</v>
      </c>
      <c r="J28" s="86">
        <f>INDEX('Sales Actual'!$H$5:$H$66,MATCH($A28,'Sales Actual'!$G$5:$G$66,0))</f>
        <v>0</v>
      </c>
      <c r="K28" s="86">
        <f>INDEX('Sales Actual'!$J$5:$J$66,MATCH($A28,'Sales Actual'!$I$5:$I$66,0))</f>
        <v>0</v>
      </c>
      <c r="L28" s="86">
        <f>INDEX('Sales Actual'!$L$5:$L$66,MATCH($A28,'Sales Actual'!$K$5:$K$66,0))</f>
        <v>0</v>
      </c>
      <c r="M28" s="86">
        <f>INDEX('Sales Actual'!$N$4:$N$65,MATCH($A28,'Sales Actual'!$M$4:$M$65,0))</f>
        <v>0</v>
      </c>
      <c r="N28" s="86">
        <f>INDEX('Sales Actual'!$P$4:$P$64,MATCH($A28,'Sales Actual'!$O$4:$O$65,0))</f>
        <v>0</v>
      </c>
      <c r="O28" s="86">
        <f>INDEX('Sales Actual'!$R$4:$R$65,MATCH($A28,'Sales Actual'!$Q$4:$Q$65,0))</f>
        <v>0</v>
      </c>
      <c r="P28" s="86">
        <f>INDEX('Sales Actual'!$T$4:$T$66,MATCH($A28,'Sales Actual'!$S$4:$S$66,0))</f>
        <v>0</v>
      </c>
      <c r="Q28" s="86">
        <f>INDEX('Sales Actual'!$V$4:$V$65,MATCH($A28,'Sales Actual'!$U$4:$U$65,0))</f>
        <v>0</v>
      </c>
      <c r="R28" s="86">
        <f>INDEX('Sales Actual'!$X$4:$X$65,MATCH($A28,'Sales Actual'!$W$4:$W$65,0))</f>
        <v>0</v>
      </c>
      <c r="S28" s="22"/>
      <c r="T28" s="22"/>
      <c r="U28" s="22"/>
      <c r="V28" s="22"/>
      <c r="W28" s="22"/>
      <c r="X28" s="22"/>
      <c r="Y28" s="22"/>
      <c r="Z28" s="22"/>
      <c r="AA28" s="22"/>
      <c r="AB28" s="22"/>
      <c r="AC28" s="22"/>
      <c r="AD28" s="22"/>
    </row>
    <row r="29" ht="12.7" customHeight="1">
      <c r="A29" t="s" s="18">
        <v>235</v>
      </c>
      <c r="B29" s="19">
        <v>400003</v>
      </c>
      <c r="C29" t="s" s="20">
        <v>236</v>
      </c>
      <c r="D29" t="s" s="21">
        <v>25</v>
      </c>
      <c r="E29" t="s" s="21">
        <f>A29&amp;D29</f>
        <v>239</v>
      </c>
      <c r="F29" s="57"/>
      <c r="G29" s="58"/>
      <c r="H29" s="58"/>
      <c r="I29" s="58"/>
      <c r="J29" s="58"/>
      <c r="K29" s="58"/>
      <c r="L29" s="58"/>
      <c r="M29" s="59"/>
      <c r="N29" s="22">
        <v>720</v>
      </c>
      <c r="O29" s="22">
        <f>144*65</f>
        <v>9360</v>
      </c>
      <c r="P29" s="22">
        <f>144*70</f>
        <v>10080</v>
      </c>
      <c r="Q29" s="22">
        <f t="shared" si="142" ref="Q29:R29">144*90</f>
        <v>12960</v>
      </c>
      <c r="R29" s="22">
        <f t="shared" si="142"/>
        <v>12960</v>
      </c>
      <c r="S29" s="24">
        <v>0</v>
      </c>
      <c r="T29" s="24"/>
      <c r="U29" s="24"/>
      <c r="V29" s="24"/>
      <c r="W29" s="24"/>
      <c r="X29" s="24"/>
      <c r="Y29" s="24"/>
      <c r="Z29" s="24"/>
      <c r="AA29" s="24"/>
      <c r="AB29" s="24"/>
      <c r="AC29" s="24"/>
      <c r="AD29" s="24"/>
    </row>
    <row r="30" ht="12.7" customHeight="1">
      <c r="A30" t="s" s="18">
        <v>235</v>
      </c>
      <c r="B30" s="19">
        <v>400003</v>
      </c>
      <c r="C30" t="s" s="20">
        <v>236</v>
      </c>
      <c r="D30" t="s" s="21">
        <v>27</v>
      </c>
      <c r="E30" t="s" s="21">
        <f>A30&amp;D30</f>
        <v>240</v>
      </c>
      <c r="F30" s="60"/>
      <c r="G30" s="61"/>
      <c r="H30" s="61"/>
      <c r="I30" s="32"/>
      <c r="J30" s="32"/>
      <c r="K30" s="32"/>
      <c r="L30" s="32"/>
      <c r="M30" s="33"/>
      <c r="N30" s="22">
        <v>0</v>
      </c>
      <c r="O30" s="22">
        <f>144*66</f>
        <v>9504</v>
      </c>
      <c r="P30" s="22">
        <f>P29</f>
        <v>10080</v>
      </c>
      <c r="Q30" s="22">
        <f>Q29</f>
        <v>12960</v>
      </c>
      <c r="R30" s="22">
        <f>R29</f>
        <v>12960</v>
      </c>
      <c r="S30" s="24"/>
      <c r="T30" s="24"/>
      <c r="U30" s="24"/>
      <c r="V30" s="24"/>
      <c r="W30" s="24"/>
      <c r="X30" s="24"/>
      <c r="Y30" s="24"/>
      <c r="Z30" s="24"/>
      <c r="AA30" s="24"/>
      <c r="AB30" s="24"/>
      <c r="AC30" s="24"/>
      <c r="AD30" s="24"/>
    </row>
    <row r="31" ht="12.7" customHeight="1">
      <c r="A31" t="s" s="18">
        <v>235</v>
      </c>
      <c r="B31" s="19">
        <v>400003</v>
      </c>
      <c r="C31" t="s" s="20">
        <v>236</v>
      </c>
      <c r="D31" t="s" s="21">
        <v>29</v>
      </c>
      <c r="E31" t="s" s="21">
        <f>A31&amp;D31</f>
        <v>241</v>
      </c>
      <c r="F31" s="60"/>
      <c r="G31" s="61"/>
      <c r="H31" s="62"/>
      <c r="I31" s="22">
        <v>0</v>
      </c>
      <c r="J31" s="22">
        <f>IF((I31+J30-(J27-J28)-J35)&lt;0,0,(I31+J30-(J27-J28)-J35))</f>
        <v>0</v>
      </c>
      <c r="K31" s="22">
        <f>IF((J31+K30-(K27-K28)-K35)&lt;0,0,(J31+K30-(K27-K28)-K35))</f>
        <v>0</v>
      </c>
      <c r="L31" s="22">
        <f>IF((K31+L30-(L27-L28)-L35)&lt;0,0,(K31+L30-(L27-L28)-L35))</f>
        <v>0</v>
      </c>
      <c r="M31" s="22">
        <f>IF((L31+M30-(M27-M28)-M35)&lt;0,0,(L31+M30-(M27-M28)-M35))</f>
        <v>0</v>
      </c>
      <c r="N31" s="22">
        <f>IF((M31+N30-(N27-N28)-N35)&lt;0,0,(M31+N30-(N27-N28)-N35))</f>
        <v>0</v>
      </c>
      <c r="O31" s="22">
        <f>IF((N31+O30-(O27-O28)-O35)&lt;0,0,(N31+O30-(O27-O28)-O35))</f>
        <v>3098.538</v>
      </c>
      <c r="P31" s="22">
        <f>IF((O31+P30-(P27-P28)-P35)&lt;0,0,(O31+P30-(P27-P28)-P35))</f>
        <v>8075.698000000001</v>
      </c>
      <c r="Q31" s="22">
        <f>IF((P31+Q30-(Q27-Q28)-Q35)&lt;0,0,(P31+Q30-(Q27-Q28)-Q35))</f>
        <v>8830.468000000001</v>
      </c>
      <c r="R31" s="22">
        <f>IF((Q31+R30-(R27-R28)-R35)&lt;0,0,(Q31+R30-(R27-R28)-R35))</f>
        <v>9007.268</v>
      </c>
      <c r="S31" s="22"/>
      <c r="T31" s="22"/>
      <c r="U31" s="22"/>
      <c r="V31" s="22"/>
      <c r="W31" s="22"/>
      <c r="X31" s="22"/>
      <c r="Y31" s="22"/>
      <c r="Z31" s="22"/>
      <c r="AA31" s="22"/>
      <c r="AB31" s="22"/>
      <c r="AC31" s="22"/>
      <c r="AD31" s="22"/>
    </row>
    <row r="32" ht="12.7" customHeight="1">
      <c r="A32" t="s" s="18">
        <v>235</v>
      </c>
      <c r="B32" s="19">
        <v>400003</v>
      </c>
      <c r="C32" t="s" s="20">
        <v>236</v>
      </c>
      <c r="D32" t="s" s="21">
        <v>31</v>
      </c>
      <c r="E32" t="s" s="21">
        <f>A32&amp;D32</f>
        <v>242</v>
      </c>
      <c r="F32" s="31"/>
      <c r="G32" s="87"/>
      <c r="H32" s="33"/>
      <c r="I32" s="22">
        <v>0</v>
      </c>
      <c r="J32" s="48"/>
      <c r="K32" s="48"/>
      <c r="L32" s="48"/>
      <c r="M32" s="48"/>
      <c r="N32" s="48"/>
      <c r="O32" s="48"/>
      <c r="P32" s="48"/>
      <c r="Q32" s="48"/>
      <c r="R32" s="48"/>
      <c r="S32" s="22"/>
      <c r="T32" s="22"/>
      <c r="U32" s="22"/>
      <c r="V32" s="22"/>
      <c r="W32" s="22"/>
      <c r="X32" s="22"/>
      <c r="Y32" s="22"/>
      <c r="Z32" s="22"/>
      <c r="AA32" s="22"/>
      <c r="AB32" s="22"/>
      <c r="AC32" s="22"/>
      <c r="AD32" s="22"/>
    </row>
    <row r="33" ht="12.7" customHeight="1">
      <c r="A33" t="s" s="18">
        <v>235</v>
      </c>
      <c r="B33" s="19">
        <v>400003</v>
      </c>
      <c r="C33" t="s" s="20">
        <v>236</v>
      </c>
      <c r="D33" t="s" s="21">
        <v>33</v>
      </c>
      <c r="E33" t="s" s="21">
        <f>A33&amp;D33</f>
        <v>243</v>
      </c>
      <c r="F33" s="22">
        <v>0</v>
      </c>
      <c r="G33" s="22">
        <v>0</v>
      </c>
      <c r="H33" s="22">
        <v>0</v>
      </c>
      <c r="I33" s="22">
        <v>0</v>
      </c>
      <c r="J33" s="22">
        <f>IF((I31+J30-(J27-J28)-J35)&gt;0,0,(I31+J30-(J27-J28)-J35))</f>
        <v>0</v>
      </c>
      <c r="K33" s="22">
        <f>IF((J31+K30-(K27-K28)-K35)&gt;0,0,(J31+K30-(K27-K28)-K35))</f>
        <v>0</v>
      </c>
      <c r="L33" s="22">
        <f>IF((K31+L30-(L27-L28)-L35)&gt;0,0,(K31+L30-(L27-L28)-L35))</f>
        <v>0</v>
      </c>
      <c r="M33" s="22">
        <f>IF((L31+M30-(M27-M28)-M35)&gt;0,0,(L31+M30-(M27-M28)-M35))</f>
        <v>0</v>
      </c>
      <c r="N33" s="22">
        <f>IF((M31+N30-(N27-N28)-N35)&gt;0,0,(M31+N30-(N27-N28)-N35))</f>
        <v>0</v>
      </c>
      <c r="O33" s="22">
        <f>IF((N31+O30-(O27-O28)-O35)&gt;0,0,(N31+O30-(O27-O28)-O35))</f>
        <v>0</v>
      </c>
      <c r="P33" s="22">
        <f>IF((O31+P30-(P27-P28)-P35)&gt;0,0,(O31+P30-(P27-P28)-P35))</f>
        <v>0</v>
      </c>
      <c r="Q33" s="22">
        <f>IF((P31+Q30-(Q27-Q28)-Q35)&gt;0,0,(P31+Q30-(Q27-Q28)-Q35))</f>
        <v>0</v>
      </c>
      <c r="R33" s="22">
        <f>IF((Q31+R30-(R27-R28)-R35)&gt;0,0,(Q31+R30-(R27-R28)-R35))</f>
        <v>0</v>
      </c>
      <c r="S33" s="24">
        <f>IF((R31+S30-(S27-S28)-S35)&gt;0,0,(R31+S30-(S27-S28)-S35))</f>
        <v>-4031.596</v>
      </c>
      <c r="T33" s="24"/>
      <c r="U33" s="24"/>
      <c r="V33" s="24"/>
      <c r="W33" s="24"/>
      <c r="X33" s="24"/>
      <c r="Y33" s="24"/>
      <c r="Z33" s="24"/>
      <c r="AA33" s="24"/>
      <c r="AB33" s="24"/>
      <c r="AC33" s="24"/>
      <c r="AD33" s="24"/>
    </row>
    <row r="34" ht="12.7" customHeight="1">
      <c r="A34" t="s" s="18">
        <v>235</v>
      </c>
      <c r="B34" s="19">
        <v>400003</v>
      </c>
      <c r="C34" t="s" s="20">
        <v>236</v>
      </c>
      <c r="D34" t="s" s="21">
        <v>35</v>
      </c>
      <c r="E34" t="s" s="21">
        <f>A34&amp;D34</f>
        <v>244</v>
      </c>
      <c r="F34" s="46"/>
      <c r="G34" s="49"/>
      <c r="H34" s="47"/>
      <c r="I34" s="22">
        <v>0</v>
      </c>
      <c r="J34" s="22">
        <v>0</v>
      </c>
      <c r="K34" s="22">
        <v>0</v>
      </c>
      <c r="L34" s="22">
        <v>0</v>
      </c>
      <c r="M34" s="22">
        <v>0</v>
      </c>
      <c r="N34" s="46"/>
      <c r="O34" s="58"/>
      <c r="P34" s="58"/>
      <c r="Q34" s="58"/>
      <c r="R34" s="59"/>
      <c r="S34" s="24"/>
      <c r="T34" s="24"/>
      <c r="U34" s="24"/>
      <c r="V34" s="24"/>
      <c r="W34" s="24"/>
      <c r="X34" s="24"/>
      <c r="Y34" s="24"/>
      <c r="Z34" s="24"/>
      <c r="AA34" s="24"/>
      <c r="AB34" s="24"/>
      <c r="AC34" s="24"/>
      <c r="AD34" s="24"/>
    </row>
    <row r="35" ht="12.7" customHeight="1">
      <c r="A35" t="s" s="18">
        <v>235</v>
      </c>
      <c r="B35" s="19">
        <v>400003</v>
      </c>
      <c r="C35" t="s" s="20">
        <v>236</v>
      </c>
      <c r="D35" t="s" s="21">
        <v>37</v>
      </c>
      <c r="E35" t="s" s="21">
        <f>A35&amp;D35</f>
        <v>245</v>
      </c>
      <c r="F35" s="22">
        <v>0</v>
      </c>
      <c r="G35" s="22">
        <v>0</v>
      </c>
      <c r="H35" s="30">
        <v>0</v>
      </c>
      <c r="I35" s="22">
        <f>IF(I34&gt;0,IF(I34-(I27-I28)&gt;0,(I34-(I27-I28)),0),0)</f>
        <v>0</v>
      </c>
      <c r="J35" s="22">
        <f>IF(J34&gt;0,IF(J34-(J27-J28)&gt;0,(J34-(J27-J28)),0),0)</f>
        <v>0</v>
      </c>
      <c r="K35" s="22">
        <f>IF(K34&gt;0,IF(K34-(K27-K28)&gt;0,(K34-(K27-K28)),0),0)</f>
        <v>0</v>
      </c>
      <c r="L35" s="22">
        <f>IF(L34&gt;0,IF(L34-(L27-L28)&gt;0,(L34-(L27-L28)),0),0)</f>
        <v>0</v>
      </c>
      <c r="M35" s="22">
        <v>0</v>
      </c>
      <c r="N35" s="22">
        <v>0</v>
      </c>
      <c r="O35" s="31"/>
      <c r="P35" s="32"/>
      <c r="Q35" s="32"/>
      <c r="R35" s="33"/>
      <c r="S35" s="24"/>
      <c r="T35" s="24"/>
      <c r="U35" s="24"/>
      <c r="V35" s="24"/>
      <c r="W35" s="24"/>
      <c r="X35" s="24"/>
      <c r="Y35" s="24"/>
      <c r="Z35" s="24"/>
      <c r="AA35" s="24"/>
      <c r="AB35" s="24"/>
      <c r="AC35" s="24"/>
      <c r="AD35" s="24"/>
    </row>
    <row r="36" ht="12.7" customHeight="1">
      <c r="A36" t="s" s="34">
        <v>235</v>
      </c>
      <c r="B36" s="35">
        <v>400003</v>
      </c>
      <c r="C36" t="s" s="36">
        <v>236</v>
      </c>
      <c r="D36" t="s" s="37">
        <v>39</v>
      </c>
      <c r="E36" t="s" s="37">
        <f>A36&amp;D36</f>
        <v>246</v>
      </c>
      <c r="F36" s="38">
        <f>IFERROR(F32/AVERAGE(G27:H27)*30,0)</f>
        <v>0</v>
      </c>
      <c r="G36" s="38">
        <f>IFERROR(G32/AVERAGE(H27:I27)*30,0)</f>
        <v>0</v>
      </c>
      <c r="H36" s="38">
        <f>IFERROR(H31/AVERAGE(I27:J27)*30,0)</f>
        <v>0</v>
      </c>
      <c r="I36" s="38">
        <f>IFERROR(I31/AVERAGE(J27:K27)*30,0)</f>
        <v>0</v>
      </c>
      <c r="J36" s="38">
        <f>IFERROR(J31/AVERAGE(K27:L27)*30,0)</f>
        <v>0</v>
      </c>
      <c r="K36" s="38">
        <f>IFERROR(K31/AVERAGE(L27:M27)*30,0)</f>
        <v>0</v>
      </c>
      <c r="L36" s="38">
        <f>IFERROR(L31/AVERAGE(M27:N27)*30,0)</f>
        <v>0</v>
      </c>
      <c r="M36" s="38">
        <f>IFERROR(M31/AVERAGE(N27:O27)*30,0)</f>
        <v>0</v>
      </c>
      <c r="N36" s="38">
        <f>IFERROR(N31/AVERAGE(O27:P27)*30,0)</f>
        <v>0</v>
      </c>
      <c r="O36" s="38">
        <f>IFERROR(O31/AVERAGE(P27:Q27)*30,0)</f>
        <v>10.74136399956783</v>
      </c>
      <c r="P36" s="38">
        <f>IFERROR(P31/AVERAGE(Q27:R27)*30,0)</f>
        <v>19.39064919244626</v>
      </c>
      <c r="Q36" s="38">
        <f>IFERROR(Q31/AVERAGE(R27:S27)*30,0)</f>
        <v>20.51842486332619</v>
      </c>
      <c r="R36" s="38">
        <f>IFERROR(R31/AVERAGE(S27:T27)*30,0)</f>
        <v>20.7240477391282</v>
      </c>
      <c r="S36" s="38">
        <f>IFERROR(S31/AVERAGE(T27:U27)*30,0)</f>
        <v>0</v>
      </c>
      <c r="T36" s="38"/>
      <c r="U36" s="38"/>
      <c r="V36" s="38"/>
      <c r="W36" s="38"/>
      <c r="X36" s="38"/>
      <c r="Y36" s="38"/>
      <c r="Z36" s="38"/>
      <c r="AA36" s="38"/>
      <c r="AB36" s="38"/>
      <c r="AC36" s="38"/>
      <c r="AD36" s="38"/>
    </row>
    <row r="37" ht="12" customHeight="1">
      <c r="A37" s="39"/>
      <c r="B37" s="40"/>
      <c r="C37" s="40"/>
      <c r="D37" s="40"/>
      <c r="E37" s="40"/>
      <c r="F37" s="40"/>
      <c r="G37" t="s" s="90">
        <v>2</v>
      </c>
      <c r="H37" s="91"/>
      <c r="I37" s="91"/>
      <c r="J37" s="91"/>
      <c r="K37" s="91"/>
      <c r="L37" s="91"/>
      <c r="M37" s="91"/>
      <c r="N37" s="91"/>
      <c r="O37" s="91"/>
      <c r="P37" s="91"/>
      <c r="Q37" s="91"/>
      <c r="R37" s="91"/>
      <c r="S37" t="s" s="90">
        <v>3</v>
      </c>
      <c r="T37" s="91"/>
      <c r="U37" s="91"/>
      <c r="V37" s="91"/>
      <c r="W37" s="91"/>
      <c r="X37" s="91"/>
      <c r="Y37" s="91"/>
      <c r="Z37" s="91"/>
      <c r="AA37" s="91"/>
      <c r="AB37" s="91"/>
      <c r="AC37" s="91"/>
      <c r="AD37" s="92"/>
    </row>
    <row r="38" ht="13.5" customHeight="1">
      <c r="A38" t="s" s="8">
        <v>4</v>
      </c>
      <c r="B38" t="s" s="9">
        <v>5</v>
      </c>
      <c r="C38" t="s" s="9">
        <v>6</v>
      </c>
      <c r="D38" t="s" s="9">
        <v>7</v>
      </c>
      <c r="E38" s="10"/>
      <c r="F38" t="s" s="9">
        <v>18</v>
      </c>
      <c r="G38" t="s" s="9">
        <v>8</v>
      </c>
      <c r="H38" t="s" s="9">
        <v>9</v>
      </c>
      <c r="I38" t="s" s="9">
        <v>10</v>
      </c>
      <c r="J38" t="s" s="9">
        <v>11</v>
      </c>
      <c r="K38" t="s" s="9">
        <v>1</v>
      </c>
      <c r="L38" t="s" s="9">
        <v>12</v>
      </c>
      <c r="M38" t="s" s="9">
        <v>13</v>
      </c>
      <c r="N38" t="s" s="9">
        <v>14</v>
      </c>
      <c r="O38" t="s" s="9">
        <v>15</v>
      </c>
      <c r="P38" t="s" s="9">
        <v>16</v>
      </c>
      <c r="Q38" t="s" s="9">
        <v>17</v>
      </c>
      <c r="R38" t="s" s="9">
        <v>18</v>
      </c>
      <c r="S38" t="s" s="9">
        <v>8</v>
      </c>
      <c r="T38" t="s" s="9">
        <v>9</v>
      </c>
      <c r="U38" t="s" s="9">
        <v>10</v>
      </c>
      <c r="V38" t="s" s="9">
        <v>11</v>
      </c>
      <c r="W38" t="s" s="9">
        <v>1</v>
      </c>
      <c r="X38" t="s" s="9">
        <v>12</v>
      </c>
      <c r="Y38" t="s" s="9">
        <v>13</v>
      </c>
      <c r="Z38" t="s" s="9">
        <v>14</v>
      </c>
      <c r="AA38" t="s" s="9">
        <v>15</v>
      </c>
      <c r="AB38" t="s" s="9">
        <v>16</v>
      </c>
      <c r="AC38" t="s" s="9">
        <v>17</v>
      </c>
      <c r="AD38" t="s" s="11">
        <v>18</v>
      </c>
    </row>
    <row r="39" ht="12.7" customHeight="1">
      <c r="A39" t="s" s="12">
        <v>247</v>
      </c>
      <c r="B39" s="13">
        <v>400076</v>
      </c>
      <c r="C39" t="s" s="14">
        <v>248</v>
      </c>
      <c r="D39" t="s" s="15">
        <v>21</v>
      </c>
      <c r="E39" t="s" s="15">
        <f>A39&amp;D39</f>
        <v>249</v>
      </c>
      <c r="F39" s="93"/>
      <c r="G39" s="83"/>
      <c r="H39" s="84"/>
      <c r="I39" s="85"/>
      <c r="J39" s="17">
        <v>0</v>
      </c>
      <c r="K39" s="17">
        <v>0</v>
      </c>
      <c r="L39" s="17">
        <v>0</v>
      </c>
      <c r="M39" s="17">
        <v>0</v>
      </c>
      <c r="N39" s="17">
        <v>0</v>
      </c>
      <c r="O39" s="17">
        <v>6686.82</v>
      </c>
      <c r="P39" s="17">
        <v>4366.24</v>
      </c>
      <c r="Q39" s="17">
        <v>11594.432</v>
      </c>
      <c r="R39" s="17">
        <v>11170.8</v>
      </c>
      <c r="S39" s="17">
        <v>11394.216</v>
      </c>
      <c r="T39" s="17"/>
      <c r="U39" s="17"/>
      <c r="V39" s="17"/>
      <c r="W39" s="17"/>
      <c r="X39" s="17"/>
      <c r="Y39" s="17"/>
      <c r="Z39" s="17"/>
      <c r="AA39" s="17"/>
      <c r="AB39" s="17"/>
      <c r="AC39" s="17"/>
      <c r="AD39" s="17"/>
    </row>
    <row r="40" ht="12.7" customHeight="1">
      <c r="A40" t="s" s="18">
        <v>247</v>
      </c>
      <c r="B40" s="19">
        <v>400076</v>
      </c>
      <c r="C40" t="s" s="20">
        <v>248</v>
      </c>
      <c r="D40" t="s" s="21">
        <v>23</v>
      </c>
      <c r="E40" t="s" s="21">
        <f>A40&amp;D40</f>
        <v>250</v>
      </c>
      <c r="F40" s="22">
        <v>9630</v>
      </c>
      <c r="G40" s="22">
        <v>7271</v>
      </c>
      <c r="H40" s="22">
        <v>10396</v>
      </c>
      <c r="I40" s="22">
        <v>4972</v>
      </c>
      <c r="J40" s="86">
        <f>INDEX('Sales Actual'!$H$5:$H$66,MATCH($A40,'Sales Actual'!$G$5:$G$66,0))</f>
        <v>0</v>
      </c>
      <c r="K40" s="86">
        <f>INDEX('Sales Actual'!$J$5:$J$66,MATCH($A40,'Sales Actual'!$I$5:$I$66,0))</f>
        <v>0</v>
      </c>
      <c r="L40" s="86">
        <f>INDEX('Sales Actual'!$L$5:$L$66,MATCH($A40,'Sales Actual'!$K$5:$K$66,0))</f>
        <v>0</v>
      </c>
      <c r="M40" s="86">
        <f>INDEX('Sales Actual'!$N$4:$N$65,MATCH($A40,'Sales Actual'!$M$4:$M$65,0))</f>
        <v>0</v>
      </c>
      <c r="N40" s="86">
        <f>INDEX('Sales Actual'!$P$4:$P$64,MATCH($A40,'Sales Actual'!$O$4:$O$65,0))</f>
        <v>0</v>
      </c>
      <c r="O40" s="86">
        <f>INDEX('Sales Actual'!$R$4:$R$65,MATCH($A40,'Sales Actual'!$Q$4:$Q$65,0))</f>
        <v>0</v>
      </c>
      <c r="P40" s="86">
        <f>INDEX('Sales Actual'!$T$4:$T$66,MATCH($A40,'Sales Actual'!$S$4:$S$66,0))</f>
        <v>0</v>
      </c>
      <c r="Q40" s="86">
        <f>INDEX('Sales Actual'!$V$4:$V$65,MATCH($A40,'Sales Actual'!$U$4:$U$65,0))</f>
        <v>0</v>
      </c>
      <c r="R40" s="86">
        <f>INDEX('Sales Actual'!$X$4:$X$65,MATCH($A40,'Sales Actual'!$W$4:$W$65,0))</f>
        <v>0</v>
      </c>
      <c r="S40" s="22"/>
      <c r="T40" s="22"/>
      <c r="U40" s="22"/>
      <c r="V40" s="22"/>
      <c r="W40" s="22"/>
      <c r="X40" s="22"/>
      <c r="Y40" s="22"/>
      <c r="Z40" s="22"/>
      <c r="AA40" s="22"/>
      <c r="AB40" s="22"/>
      <c r="AC40" s="22"/>
      <c r="AD40" s="22"/>
    </row>
    <row r="41" ht="12.7" customHeight="1">
      <c r="A41" t="s" s="18">
        <v>247</v>
      </c>
      <c r="B41" s="19">
        <v>400076</v>
      </c>
      <c r="C41" t="s" s="20">
        <v>248</v>
      </c>
      <c r="D41" t="s" s="21">
        <v>25</v>
      </c>
      <c r="E41" t="s" s="21">
        <f>A41&amp;D41</f>
        <v>251</v>
      </c>
      <c r="F41" s="57"/>
      <c r="G41" s="58"/>
      <c r="H41" s="58"/>
      <c r="I41" s="58"/>
      <c r="J41" s="58"/>
      <c r="K41" s="58"/>
      <c r="L41" s="58"/>
      <c r="M41" s="59"/>
      <c r="N41" s="22">
        <v>288</v>
      </c>
      <c r="O41" s="22">
        <f>144*100</f>
        <v>14400</v>
      </c>
      <c r="P41" s="22">
        <f>144*20</f>
        <v>2880</v>
      </c>
      <c r="Q41" s="22">
        <f t="shared" si="78"/>
        <v>11520</v>
      </c>
      <c r="R41" s="22">
        <f t="shared" si="78"/>
        <v>11520</v>
      </c>
      <c r="S41" s="24">
        <v>0</v>
      </c>
      <c r="T41" s="24"/>
      <c r="U41" s="24"/>
      <c r="V41" s="24"/>
      <c r="W41" s="24"/>
      <c r="X41" s="24"/>
      <c r="Y41" s="24"/>
      <c r="Z41" s="24"/>
      <c r="AA41" s="24"/>
      <c r="AB41" s="24"/>
      <c r="AC41" s="24"/>
      <c r="AD41" s="24"/>
    </row>
    <row r="42" ht="12.7" customHeight="1">
      <c r="A42" t="s" s="18">
        <v>247</v>
      </c>
      <c r="B42" s="19">
        <v>400076</v>
      </c>
      <c r="C42" t="s" s="20">
        <v>248</v>
      </c>
      <c r="D42" t="s" s="21">
        <v>27</v>
      </c>
      <c r="E42" t="s" s="21">
        <f>A42&amp;D42</f>
        <v>252</v>
      </c>
      <c r="F42" s="60"/>
      <c r="G42" s="61"/>
      <c r="H42" s="61"/>
      <c r="I42" s="32"/>
      <c r="J42" s="32"/>
      <c r="K42" s="32"/>
      <c r="L42" s="32"/>
      <c r="M42" s="33"/>
      <c r="N42" s="22">
        <v>0</v>
      </c>
      <c r="O42" s="22">
        <f>144*107</f>
        <v>15408</v>
      </c>
      <c r="P42" s="22">
        <f>P41</f>
        <v>2880</v>
      </c>
      <c r="Q42" s="22">
        <f>Q41</f>
        <v>11520</v>
      </c>
      <c r="R42" s="22">
        <f>R41</f>
        <v>11520</v>
      </c>
      <c r="S42" s="24"/>
      <c r="T42" s="24"/>
      <c r="U42" s="24"/>
      <c r="V42" s="24"/>
      <c r="W42" s="24"/>
      <c r="X42" s="24"/>
      <c r="Y42" s="24"/>
      <c r="Z42" s="24"/>
      <c r="AA42" s="24"/>
      <c r="AB42" s="24"/>
      <c r="AC42" s="24"/>
      <c r="AD42" s="24"/>
    </row>
    <row r="43" ht="12.7" customHeight="1">
      <c r="A43" t="s" s="18">
        <v>247</v>
      </c>
      <c r="B43" s="19">
        <v>400076</v>
      </c>
      <c r="C43" t="s" s="20">
        <v>248</v>
      </c>
      <c r="D43" t="s" s="21">
        <v>29</v>
      </c>
      <c r="E43" t="s" s="21">
        <f>A43&amp;D43</f>
        <v>253</v>
      </c>
      <c r="F43" s="60"/>
      <c r="G43" s="61"/>
      <c r="H43" s="62"/>
      <c r="I43" s="22">
        <v>0</v>
      </c>
      <c r="J43" s="22">
        <f>IF((I43+J42-(J39-J40)-J47)&lt;0,0,(I43+J42-(J39-J40)-J47))</f>
        <v>0</v>
      </c>
      <c r="K43" s="22">
        <f>IF((J43+K42-(K39-K40)-K47)&lt;0,0,(J43+K42-(K39-K40)-K47))</f>
        <v>0</v>
      </c>
      <c r="L43" s="22">
        <f>IF((K43+L42-(L39-L40)-L47)&lt;0,0,(K43+L42-(L39-L40)-L47))</f>
        <v>0</v>
      </c>
      <c r="M43" s="22">
        <f>IF((L43+M42-(M39-M40)-M47)&lt;0,0,(L43+M42-(M39-M40)-M47))</f>
        <v>0</v>
      </c>
      <c r="N43" s="22">
        <f>IF((M43+N42-(N39-N40)-N47)&lt;0,0,(M43+N42-(N39-N40)-N47))</f>
        <v>0</v>
      </c>
      <c r="O43" s="22">
        <f>IF((N43+O42-(O39-O40)-O47)&lt;0,0,(N43+O42-(O39-O40)-O47))</f>
        <v>8721.18</v>
      </c>
      <c r="P43" s="22">
        <f>IF((O43+P42-(P39-P40)-P47)&lt;0,0,(O43+P42-(P39-P40)-P47))</f>
        <v>7234.940000000001</v>
      </c>
      <c r="Q43" s="22">
        <f>IF((P43+Q42-(Q39-Q40)-Q47)&lt;0,0,(P43+Q42-(Q39-Q40)-Q47))</f>
        <v>7160.508000000002</v>
      </c>
      <c r="R43" s="22">
        <f>IF((Q43+R42-(R39-R40)-R47)&lt;0,0,(Q43+R42-(R39-R40)-R47))</f>
        <v>7509.708000000002</v>
      </c>
      <c r="S43" s="22"/>
      <c r="T43" s="22"/>
      <c r="U43" s="22"/>
      <c r="V43" s="22"/>
      <c r="W43" s="22"/>
      <c r="X43" s="22"/>
      <c r="Y43" s="22"/>
      <c r="Z43" s="22"/>
      <c r="AA43" s="22"/>
      <c r="AB43" s="22"/>
      <c r="AC43" s="22"/>
      <c r="AD43" s="22"/>
    </row>
    <row r="44" ht="12.7" customHeight="1">
      <c r="A44" t="s" s="18">
        <v>247</v>
      </c>
      <c r="B44" s="19">
        <v>400076</v>
      </c>
      <c r="C44" t="s" s="20">
        <v>248</v>
      </c>
      <c r="D44" t="s" s="21">
        <v>31</v>
      </c>
      <c r="E44" t="s" s="21">
        <f>A44&amp;D44</f>
        <v>254</v>
      </c>
      <c r="F44" s="31"/>
      <c r="G44" s="87"/>
      <c r="H44" s="33"/>
      <c r="I44" s="22">
        <v>0</v>
      </c>
      <c r="J44" s="48"/>
      <c r="K44" s="48"/>
      <c r="L44" s="48"/>
      <c r="M44" s="48"/>
      <c r="N44" s="48"/>
      <c r="O44" s="48"/>
      <c r="P44" s="48"/>
      <c r="Q44" s="48"/>
      <c r="R44" s="48"/>
      <c r="S44" s="22"/>
      <c r="T44" s="22"/>
      <c r="U44" s="22"/>
      <c r="V44" s="22"/>
      <c r="W44" s="22"/>
      <c r="X44" s="22"/>
      <c r="Y44" s="22"/>
      <c r="Z44" s="22"/>
      <c r="AA44" s="22"/>
      <c r="AB44" s="22"/>
      <c r="AC44" s="22"/>
      <c r="AD44" s="22"/>
    </row>
    <row r="45" ht="12.7" customHeight="1">
      <c r="A45" t="s" s="18">
        <v>247</v>
      </c>
      <c r="B45" s="19">
        <v>400076</v>
      </c>
      <c r="C45" t="s" s="20">
        <v>248</v>
      </c>
      <c r="D45" t="s" s="21">
        <v>33</v>
      </c>
      <c r="E45" t="s" s="21">
        <f>A45&amp;D45</f>
        <v>255</v>
      </c>
      <c r="F45" s="22">
        <v>0</v>
      </c>
      <c r="G45" s="22">
        <v>0</v>
      </c>
      <c r="H45" s="22">
        <v>0</v>
      </c>
      <c r="I45" s="22">
        <v>0</v>
      </c>
      <c r="J45" s="22">
        <f>IF((I43+J42-(J39-J40)-J47)&gt;0,0,(I43+J42-(J39-J40)-J47))</f>
        <v>0</v>
      </c>
      <c r="K45" s="22">
        <f>IF((J43+K42-(K39-K40)-K47)&gt;0,0,(J43+K42-(K39-K40)-K47))</f>
        <v>0</v>
      </c>
      <c r="L45" s="22">
        <f>IF((K43+L42-(L39-L40)-L47)&gt;0,0,(K43+L42-(L39-L40)-L47))</f>
        <v>0</v>
      </c>
      <c r="M45" s="22">
        <f>IF((L43+M42-(M39-M40)-M47)&gt;0,0,(L43+M42-(M39-M40)-M47))</f>
        <v>0</v>
      </c>
      <c r="N45" s="22">
        <f>IF((M43+N42-(N39-N40)-N47)&gt;0,0,(M43+N42-(N39-N40)-N47))</f>
        <v>0</v>
      </c>
      <c r="O45" s="22">
        <f>IF((N43+O42-(O39-O40)-O47)&gt;0,0,(N43+O42-(O39-O40)-O47))</f>
        <v>0</v>
      </c>
      <c r="P45" s="22">
        <f>IF((O43+P42-(P39-P40)-P47)&gt;0,0,(O43+P42-(P39-P40)-P47))</f>
        <v>0</v>
      </c>
      <c r="Q45" s="22">
        <f>IF((P43+Q42-(Q39-Q40)-Q47)&gt;0,0,(P43+Q42-(Q39-Q40)-Q47))</f>
        <v>0</v>
      </c>
      <c r="R45" s="22">
        <f>IF((Q43+R42-(R39-R40)-R47)&gt;0,0,(Q43+R42-(R39-R40)-R47))</f>
        <v>0</v>
      </c>
      <c r="S45" s="24">
        <f>IF((R43+S42-(S39-S40)-S47)&gt;0,0,(R43+S42-(S39-S40)-S47))</f>
        <v>-3884.507999999998</v>
      </c>
      <c r="T45" s="24"/>
      <c r="U45" s="24"/>
      <c r="V45" s="24"/>
      <c r="W45" s="24"/>
      <c r="X45" s="24"/>
      <c r="Y45" s="24"/>
      <c r="Z45" s="24"/>
      <c r="AA45" s="24"/>
      <c r="AB45" s="24"/>
      <c r="AC45" s="24"/>
      <c r="AD45" s="24"/>
    </row>
    <row r="46" ht="12.7" customHeight="1">
      <c r="A46" t="s" s="18">
        <v>247</v>
      </c>
      <c r="B46" s="19">
        <v>400076</v>
      </c>
      <c r="C46" t="s" s="20">
        <v>248</v>
      </c>
      <c r="D46" t="s" s="21">
        <v>35</v>
      </c>
      <c r="E46" t="s" s="21">
        <f>A46&amp;D46</f>
        <v>256</v>
      </c>
      <c r="F46" s="46"/>
      <c r="G46" s="49"/>
      <c r="H46" s="47"/>
      <c r="I46" s="22">
        <v>0</v>
      </c>
      <c r="J46" s="22">
        <v>0</v>
      </c>
      <c r="K46" s="22">
        <v>0</v>
      </c>
      <c r="L46" s="22">
        <v>0</v>
      </c>
      <c r="M46" s="22">
        <v>0</v>
      </c>
      <c r="N46" s="46"/>
      <c r="O46" s="58"/>
      <c r="P46" s="58"/>
      <c r="Q46" s="58"/>
      <c r="R46" s="59"/>
      <c r="S46" s="24"/>
      <c r="T46" s="24"/>
      <c r="U46" s="24"/>
      <c r="V46" s="24"/>
      <c r="W46" s="24"/>
      <c r="X46" s="24"/>
      <c r="Y46" s="24"/>
      <c r="Z46" s="24"/>
      <c r="AA46" s="24"/>
      <c r="AB46" s="24"/>
      <c r="AC46" s="24"/>
      <c r="AD46" s="24"/>
    </row>
    <row r="47" ht="12.7" customHeight="1">
      <c r="A47" t="s" s="18">
        <v>247</v>
      </c>
      <c r="B47" s="19">
        <v>400076</v>
      </c>
      <c r="C47" t="s" s="20">
        <v>248</v>
      </c>
      <c r="D47" t="s" s="21">
        <v>37</v>
      </c>
      <c r="E47" t="s" s="21">
        <f>A47&amp;D47</f>
        <v>257</v>
      </c>
      <c r="F47" s="22">
        <v>0</v>
      </c>
      <c r="G47" s="22">
        <v>0</v>
      </c>
      <c r="H47" s="30">
        <v>0</v>
      </c>
      <c r="I47" s="22">
        <f>IF(I46&gt;0,IF(I46-(I39-I40)&gt;0,(I46-(I39-I40)),0),0)</f>
        <v>0</v>
      </c>
      <c r="J47" s="22">
        <f>IF(J46&gt;0,IF(J46-(J39-J40)&gt;0,(J46-(J39-J40)),0),0)</f>
        <v>0</v>
      </c>
      <c r="K47" s="22">
        <f>IF(K46&gt;0,IF(K46-(K39-K40)&gt;0,(K46-(K39-K40)),0),0)</f>
        <v>0</v>
      </c>
      <c r="L47" s="22">
        <f>IF(L46&gt;0,IF(L46-(L39-L40)&gt;0,(L46-(L39-L40)),0),0)</f>
        <v>0</v>
      </c>
      <c r="M47" s="22">
        <v>0</v>
      </c>
      <c r="N47" s="22">
        <v>0</v>
      </c>
      <c r="O47" s="31"/>
      <c r="P47" s="32"/>
      <c r="Q47" s="32"/>
      <c r="R47" s="33"/>
      <c r="S47" s="24"/>
      <c r="T47" s="24"/>
      <c r="U47" s="24"/>
      <c r="V47" s="24"/>
      <c r="W47" s="24"/>
      <c r="X47" s="24"/>
      <c r="Y47" s="24"/>
      <c r="Z47" s="24"/>
      <c r="AA47" s="24"/>
      <c r="AB47" s="24"/>
      <c r="AC47" s="24"/>
      <c r="AD47" s="24"/>
    </row>
    <row r="48" ht="12.7" customHeight="1">
      <c r="A48" t="s" s="34">
        <v>247</v>
      </c>
      <c r="B48" s="35">
        <v>400076</v>
      </c>
      <c r="C48" t="s" s="36">
        <v>248</v>
      </c>
      <c r="D48" t="s" s="37">
        <v>39</v>
      </c>
      <c r="E48" t="s" s="37">
        <f>A48&amp;D48</f>
        <v>258</v>
      </c>
      <c r="F48" s="38">
        <f>IFERROR(F44/AVERAGE(G39:H39)*30,0)</f>
        <v>0</v>
      </c>
      <c r="G48" s="38">
        <f>IFERROR(G44/AVERAGE(H39:I39)*30,0)</f>
        <v>0</v>
      </c>
      <c r="H48" s="38">
        <f>IFERROR(H43/AVERAGE(I39:J39)*30,0)</f>
        <v>0</v>
      </c>
      <c r="I48" s="38">
        <f>IFERROR(I43/AVERAGE(J39:K39)*30,0)</f>
        <v>0</v>
      </c>
      <c r="J48" s="38">
        <f>IFERROR(J43/AVERAGE(K39:L39)*30,0)</f>
        <v>0</v>
      </c>
      <c r="K48" s="38">
        <f>IFERROR(K43/AVERAGE(L39:M39)*30,0)</f>
        <v>0</v>
      </c>
      <c r="L48" s="38">
        <f>IFERROR(L43/AVERAGE(M39:N39)*30,0)</f>
        <v>0</v>
      </c>
      <c r="M48" s="38">
        <f>IFERROR(M43/AVERAGE(N39:O39)*30,0)</f>
        <v>0</v>
      </c>
      <c r="N48" s="38">
        <f>IFERROR(N43/AVERAGE(O39:P39)*30,0)</f>
        <v>0</v>
      </c>
      <c r="O48" s="38">
        <f>IFERROR(O43/AVERAGE(P39:Q39)*30,0)</f>
        <v>32.78501055594651</v>
      </c>
      <c r="P48" s="38">
        <f>IFERROR(P43/AVERAGE(Q39:R39)*30,0)</f>
        <v>19.06839341676817</v>
      </c>
      <c r="Q48" s="38">
        <f>IFERROR(Q43/AVERAGE(R39:S39)*30,0)</f>
        <v>19.03967096677441</v>
      </c>
      <c r="R48" s="38">
        <f>IFERROR(R43/AVERAGE(S39:T39)*30,0)</f>
        <v>19.77242137589809</v>
      </c>
      <c r="S48" s="38">
        <f>IFERROR(S43/AVERAGE(T39:U39)*30,0)</f>
        <v>0</v>
      </c>
      <c r="T48" s="38"/>
      <c r="U48" s="38"/>
      <c r="V48" s="38"/>
      <c r="W48" s="38"/>
      <c r="X48" s="38"/>
      <c r="Y48" s="38"/>
      <c r="Z48" s="38"/>
      <c r="AA48" s="38"/>
      <c r="AB48" s="38"/>
      <c r="AC48" s="38"/>
      <c r="AD48" s="38"/>
    </row>
    <row r="49" ht="12" customHeight="1">
      <c r="A49" s="39"/>
      <c r="B49" s="40"/>
      <c r="C49" s="40"/>
      <c r="D49" s="40"/>
      <c r="E49" s="40"/>
      <c r="F49" s="40"/>
      <c r="G49" t="s" s="90">
        <v>2</v>
      </c>
      <c r="H49" s="91"/>
      <c r="I49" s="91"/>
      <c r="J49" s="91"/>
      <c r="K49" s="91"/>
      <c r="L49" s="91"/>
      <c r="M49" s="91"/>
      <c r="N49" s="91"/>
      <c r="O49" s="91"/>
      <c r="P49" s="91"/>
      <c r="Q49" s="91"/>
      <c r="R49" s="91"/>
      <c r="S49" t="s" s="90">
        <v>3</v>
      </c>
      <c r="T49" s="91"/>
      <c r="U49" s="91"/>
      <c r="V49" s="91"/>
      <c r="W49" s="91"/>
      <c r="X49" s="91"/>
      <c r="Y49" s="91"/>
      <c r="Z49" s="91"/>
      <c r="AA49" s="91"/>
      <c r="AB49" s="91"/>
      <c r="AC49" s="91"/>
      <c r="AD49" s="92"/>
    </row>
    <row r="50" ht="13.5" customHeight="1">
      <c r="A50" t="s" s="8">
        <v>4</v>
      </c>
      <c r="B50" t="s" s="9">
        <v>5</v>
      </c>
      <c r="C50" t="s" s="9">
        <v>6</v>
      </c>
      <c r="D50" t="s" s="9">
        <v>7</v>
      </c>
      <c r="E50" s="10"/>
      <c r="F50" t="s" s="9">
        <v>18</v>
      </c>
      <c r="G50" t="s" s="9">
        <v>8</v>
      </c>
      <c r="H50" t="s" s="9">
        <v>9</v>
      </c>
      <c r="I50" t="s" s="9">
        <v>10</v>
      </c>
      <c r="J50" t="s" s="9">
        <v>11</v>
      </c>
      <c r="K50" t="s" s="9">
        <v>1</v>
      </c>
      <c r="L50" t="s" s="9">
        <v>12</v>
      </c>
      <c r="M50" t="s" s="9">
        <v>13</v>
      </c>
      <c r="N50" t="s" s="9">
        <v>14</v>
      </c>
      <c r="O50" t="s" s="9">
        <v>15</v>
      </c>
      <c r="P50" t="s" s="9">
        <v>16</v>
      </c>
      <c r="Q50" t="s" s="9">
        <v>17</v>
      </c>
      <c r="R50" t="s" s="9">
        <v>18</v>
      </c>
      <c r="S50" t="s" s="9">
        <v>8</v>
      </c>
      <c r="T50" t="s" s="9">
        <v>9</v>
      </c>
      <c r="U50" t="s" s="9">
        <v>10</v>
      </c>
      <c r="V50" t="s" s="9">
        <v>11</v>
      </c>
      <c r="W50" t="s" s="9">
        <v>1</v>
      </c>
      <c r="X50" t="s" s="9">
        <v>12</v>
      </c>
      <c r="Y50" t="s" s="9">
        <v>13</v>
      </c>
      <c r="Z50" t="s" s="9">
        <v>14</v>
      </c>
      <c r="AA50" t="s" s="9">
        <v>15</v>
      </c>
      <c r="AB50" t="s" s="9">
        <v>16</v>
      </c>
      <c r="AC50" t="s" s="9">
        <v>17</v>
      </c>
      <c r="AD50" t="s" s="11">
        <v>18</v>
      </c>
    </row>
    <row r="51" ht="12.7" customHeight="1">
      <c r="A51" t="s" s="12">
        <v>259</v>
      </c>
      <c r="B51" s="13">
        <v>500001</v>
      </c>
      <c r="C51" t="s" s="14">
        <v>260</v>
      </c>
      <c r="D51" t="s" s="15">
        <v>21</v>
      </c>
      <c r="E51" t="s" s="15">
        <f>A51&amp;D51</f>
        <v>261</v>
      </c>
      <c r="F51" s="93"/>
      <c r="G51" s="83"/>
      <c r="H51" s="84"/>
      <c r="I51" s="85"/>
      <c r="J51" s="17">
        <v>0</v>
      </c>
      <c r="K51" s="17">
        <v>0</v>
      </c>
      <c r="L51" s="17">
        <v>0</v>
      </c>
      <c r="M51" s="17">
        <v>0</v>
      </c>
      <c r="N51" s="17">
        <v>6000</v>
      </c>
      <c r="O51" s="17">
        <v>18480.54</v>
      </c>
      <c r="P51" s="17">
        <v>15364.664</v>
      </c>
      <c r="Q51" s="17">
        <v>40164.652</v>
      </c>
      <c r="R51" s="17">
        <v>68174.36</v>
      </c>
      <c r="S51" s="17">
        <v>69537.8472</v>
      </c>
      <c r="T51" s="17"/>
      <c r="U51" s="17"/>
      <c r="V51" s="17"/>
      <c r="W51" s="17"/>
      <c r="X51" s="17"/>
      <c r="Y51" s="17"/>
      <c r="Z51" s="17"/>
      <c r="AA51" s="17"/>
      <c r="AB51" s="17"/>
      <c r="AC51" s="17"/>
      <c r="AD51" s="17"/>
    </row>
    <row r="52" ht="12.7" customHeight="1">
      <c r="A52" t="s" s="18">
        <v>259</v>
      </c>
      <c r="B52" s="19">
        <v>500001</v>
      </c>
      <c r="C52" t="s" s="20">
        <v>260</v>
      </c>
      <c r="D52" t="s" s="21">
        <v>23</v>
      </c>
      <c r="E52" t="s" s="21">
        <f>A52&amp;D52</f>
        <v>262</v>
      </c>
      <c r="F52" s="22">
        <v>58771</v>
      </c>
      <c r="G52" s="22">
        <v>51542</v>
      </c>
      <c r="H52" s="22">
        <v>7278</v>
      </c>
      <c r="I52" s="22">
        <v>207</v>
      </c>
      <c r="J52" s="86">
        <f>INDEX('Sales Actual'!$H$5:$H$66,MATCH($A52,'Sales Actual'!$G$5:$G$66,0))</f>
        <v>0</v>
      </c>
      <c r="K52" s="86">
        <f>INDEX('Sales Actual'!$J$5:$J$66,MATCH($A52,'Sales Actual'!$I$5:$I$66,0))</f>
        <v>0</v>
      </c>
      <c r="L52" s="86">
        <f>INDEX('Sales Actual'!$L$5:$L$66,MATCH($A52,'Sales Actual'!$K$5:$K$66,0))</f>
        <v>0</v>
      </c>
      <c r="M52" s="86">
        <f>INDEX('Sales Actual'!$N$4:$N$65,MATCH($A52,'Sales Actual'!$M$4:$M$65,0))</f>
        <v>0</v>
      </c>
      <c r="N52" s="86">
        <f>INDEX('Sales Actual'!$P$4:$P$64,MATCH($A52,'Sales Actual'!$O$4:$O$65,0))</f>
        <v>0</v>
      </c>
      <c r="O52" s="86">
        <f>INDEX('Sales Actual'!$R$4:$R$65,MATCH($A52,'Sales Actual'!$Q$4:$Q$65,0))</f>
        <v>0</v>
      </c>
      <c r="P52" s="86">
        <f>INDEX('Sales Actual'!$T$4:$T$66,MATCH($A52,'Sales Actual'!$S$4:$S$66,0))</f>
        <v>0</v>
      </c>
      <c r="Q52" s="86">
        <f>INDEX('Sales Actual'!$V$4:$V$65,MATCH($A52,'Sales Actual'!$U$4:$U$65,0))</f>
        <v>0</v>
      </c>
      <c r="R52" s="86">
        <f>INDEX('Sales Actual'!$X$4:$X$65,MATCH($A52,'Sales Actual'!$W$4:$W$65,0))</f>
        <v>0</v>
      </c>
      <c r="S52" s="22"/>
      <c r="T52" s="22"/>
      <c r="U52" s="22"/>
      <c r="V52" s="22"/>
      <c r="W52" s="22"/>
      <c r="X52" s="22"/>
      <c r="Y52" s="22"/>
      <c r="Z52" s="22"/>
      <c r="AA52" s="22"/>
      <c r="AB52" s="22"/>
      <c r="AC52" s="22"/>
      <c r="AD52" s="22"/>
    </row>
    <row r="53" ht="12.7" customHeight="1">
      <c r="A53" t="s" s="18">
        <v>259</v>
      </c>
      <c r="B53" s="19">
        <v>500001</v>
      </c>
      <c r="C53" t="s" s="20">
        <v>260</v>
      </c>
      <c r="D53" t="s" s="21">
        <v>25</v>
      </c>
      <c r="E53" t="s" s="21">
        <f>A53&amp;D53</f>
        <v>263</v>
      </c>
      <c r="F53" s="57"/>
      <c r="G53" s="58"/>
      <c r="H53" s="58"/>
      <c r="I53" s="58"/>
      <c r="J53" s="58"/>
      <c r="K53" s="58"/>
      <c r="L53" s="58"/>
      <c r="M53" s="59"/>
      <c r="N53" s="22">
        <f>10*1400</f>
        <v>14000</v>
      </c>
      <c r="O53" s="22">
        <f t="shared" si="269" ref="O53:R65">10*2900</f>
        <v>29000</v>
      </c>
      <c r="P53" s="22">
        <f>10*3200</f>
        <v>32000</v>
      </c>
      <c r="Q53" s="22">
        <f>10*4800</f>
        <v>48000</v>
      </c>
      <c r="R53" s="22">
        <f>10*7500</f>
        <v>75000</v>
      </c>
      <c r="S53" s="24">
        <v>0</v>
      </c>
      <c r="T53" s="24"/>
      <c r="U53" s="24"/>
      <c r="V53" s="24"/>
      <c r="W53" s="24"/>
      <c r="X53" s="24"/>
      <c r="Y53" s="24"/>
      <c r="Z53" s="24"/>
      <c r="AA53" s="24"/>
      <c r="AB53" s="24"/>
      <c r="AC53" s="24"/>
      <c r="AD53" s="24"/>
    </row>
    <row r="54" ht="12.7" customHeight="1">
      <c r="A54" t="s" s="18">
        <v>259</v>
      </c>
      <c r="B54" s="19">
        <v>500001</v>
      </c>
      <c r="C54" t="s" s="20">
        <v>260</v>
      </c>
      <c r="D54" t="s" s="21">
        <v>27</v>
      </c>
      <c r="E54" t="s" s="21">
        <f>A54&amp;D54</f>
        <v>264</v>
      </c>
      <c r="F54" s="60"/>
      <c r="G54" s="61"/>
      <c r="H54" s="61"/>
      <c r="I54" s="32"/>
      <c r="J54" s="32"/>
      <c r="K54" s="32"/>
      <c r="L54" s="32"/>
      <c r="M54" s="33"/>
      <c r="N54" s="22">
        <f>N53</f>
        <v>14000</v>
      </c>
      <c r="O54" s="22">
        <f>O53</f>
        <v>29000</v>
      </c>
      <c r="P54" s="22">
        <f>P53</f>
        <v>32000</v>
      </c>
      <c r="Q54" s="22">
        <f>Q53</f>
        <v>48000</v>
      </c>
      <c r="R54" s="22">
        <f>R53</f>
        <v>75000</v>
      </c>
      <c r="S54" s="24"/>
      <c r="T54" s="24"/>
      <c r="U54" s="24"/>
      <c r="V54" s="24"/>
      <c r="W54" s="24"/>
      <c r="X54" s="24"/>
      <c r="Y54" s="24"/>
      <c r="Z54" s="24"/>
      <c r="AA54" s="24"/>
      <c r="AB54" s="24"/>
      <c r="AC54" s="24"/>
      <c r="AD54" s="24"/>
    </row>
    <row r="55" ht="12.7" customHeight="1">
      <c r="A55" t="s" s="18">
        <v>259</v>
      </c>
      <c r="B55" s="19">
        <v>500001</v>
      </c>
      <c r="C55" t="s" s="20">
        <v>260</v>
      </c>
      <c r="D55" t="s" s="21">
        <v>29</v>
      </c>
      <c r="E55" t="s" s="21">
        <f>A55&amp;D55</f>
        <v>265</v>
      </c>
      <c r="F55" s="60"/>
      <c r="G55" s="61"/>
      <c r="H55" s="62"/>
      <c r="I55" s="22">
        <v>0</v>
      </c>
      <c r="J55" s="22">
        <f>IF((I55+J54-(J51-J52)-J59)&lt;0,0,(I55+J54-(J51-J52)-J59))</f>
        <v>0</v>
      </c>
      <c r="K55" s="22">
        <f>IF((J55+K54-(K51-K52)-K59)&lt;0,0,(J55+K54-(K51-K52)-K59))</f>
        <v>0</v>
      </c>
      <c r="L55" s="22">
        <f>IF((K55+L54-(L51-L52)-L59)&lt;0,0,(K55+L54-(L51-L52)-L59))</f>
        <v>0</v>
      </c>
      <c r="M55" s="22">
        <f>IF((L55+M54-(M51-M52)-M59)&lt;0,0,(L55+M54-(M51-M52)-M59))</f>
        <v>0</v>
      </c>
      <c r="N55" s="22">
        <f>IF((M55+N54-(N51-N52)-N59)&lt;0,0,(M55+N54-(N51-N52)-N59))</f>
        <v>8000</v>
      </c>
      <c r="O55" s="22">
        <f>IF((N55+O54-(O51-O52)-O59)&lt;0,0,(N55+O54-(O51-O52)-O59))</f>
        <v>18519.46</v>
      </c>
      <c r="P55" s="22">
        <f>IF((O55+P54-(P51-P52)-P59)&lt;0,0,(O55+P54-(P51-P52)-P59))</f>
        <v>35154.796</v>
      </c>
      <c r="Q55" s="22">
        <f>IF((P55+Q54-(Q51-Q52)-Q59)&lt;0,0,(P55+Q54-(Q51-Q52)-Q59))</f>
        <v>42990.144</v>
      </c>
      <c r="R55" s="22">
        <f>IF((Q55+R54-(R51-R52)-R59)&lt;0,0,(Q55+R54-(R51-R52)-R59))</f>
        <v>49815.784</v>
      </c>
      <c r="S55" s="22"/>
      <c r="T55" s="22"/>
      <c r="U55" s="22"/>
      <c r="V55" s="22"/>
      <c r="W55" s="22"/>
      <c r="X55" s="22"/>
      <c r="Y55" s="22"/>
      <c r="Z55" s="22"/>
      <c r="AA55" s="22"/>
      <c r="AB55" s="22"/>
      <c r="AC55" s="22"/>
      <c r="AD55" s="22"/>
    </row>
    <row r="56" ht="12.7" customHeight="1">
      <c r="A56" t="s" s="18">
        <v>259</v>
      </c>
      <c r="B56" s="19">
        <v>500001</v>
      </c>
      <c r="C56" t="s" s="20">
        <v>260</v>
      </c>
      <c r="D56" t="s" s="21">
        <v>31</v>
      </c>
      <c r="E56" t="s" s="21">
        <f>A56&amp;D56</f>
        <v>266</v>
      </c>
      <c r="F56" s="31"/>
      <c r="G56" s="87"/>
      <c r="H56" s="33"/>
      <c r="I56" s="22">
        <v>0</v>
      </c>
      <c r="J56" s="48"/>
      <c r="K56" s="48"/>
      <c r="L56" s="48"/>
      <c r="M56" s="48"/>
      <c r="N56" s="48"/>
      <c r="O56" s="48"/>
      <c r="P56" s="48"/>
      <c r="Q56" s="48"/>
      <c r="R56" s="48"/>
      <c r="S56" s="22"/>
      <c r="T56" s="22"/>
      <c r="U56" s="22"/>
      <c r="V56" s="22"/>
      <c r="W56" s="22"/>
      <c r="X56" s="22"/>
      <c r="Y56" s="22"/>
      <c r="Z56" s="22"/>
      <c r="AA56" s="22"/>
      <c r="AB56" s="22"/>
      <c r="AC56" s="22"/>
      <c r="AD56" s="22"/>
    </row>
    <row r="57" ht="12.7" customHeight="1">
      <c r="A57" t="s" s="18">
        <v>259</v>
      </c>
      <c r="B57" s="19">
        <v>500001</v>
      </c>
      <c r="C57" t="s" s="20">
        <v>260</v>
      </c>
      <c r="D57" t="s" s="21">
        <v>33</v>
      </c>
      <c r="E57" t="s" s="21">
        <f>A57&amp;D57</f>
        <v>267</v>
      </c>
      <c r="F57" s="22">
        <v>0</v>
      </c>
      <c r="G57" s="22">
        <v>0</v>
      </c>
      <c r="H57" s="22">
        <v>0</v>
      </c>
      <c r="I57" s="22">
        <v>0</v>
      </c>
      <c r="J57" s="22">
        <f>IF((I55+J54-(J51-J52)-J59)&gt;0,0,(I55+J54-(J51-J52)-J59))</f>
        <v>0</v>
      </c>
      <c r="K57" s="22">
        <f>IF((J55+K54-(K51-K52)-K59)&gt;0,0,(J55+K54-(K51-K52)-K59))</f>
        <v>0</v>
      </c>
      <c r="L57" s="22">
        <f>IF((K55+L54-(L51-L52)-L59)&gt;0,0,(K55+L54-(L51-L52)-L59))</f>
        <v>0</v>
      </c>
      <c r="M57" s="22">
        <f>IF((L55+M54-(M51-M52)-M59)&gt;0,0,(L55+M54-(M51-M52)-M59))</f>
        <v>0</v>
      </c>
      <c r="N57" s="22">
        <f>IF((M55+N54-(N51-N52)-N59)&gt;0,0,(M55+N54-(N51-N52)-N59))</f>
        <v>0</v>
      </c>
      <c r="O57" s="22">
        <f>IF((N55+O54-(O51-O52)-O59)&gt;0,0,(N55+O54-(O51-O52)-O59))</f>
        <v>0</v>
      </c>
      <c r="P57" s="22">
        <f>IF((O55+P54-(P51-P52)-P59)&gt;0,0,(O55+P54-(P51-P52)-P59))</f>
        <v>0</v>
      </c>
      <c r="Q57" s="22">
        <f>IF((P55+Q54-(Q51-Q52)-Q59)&gt;0,0,(P55+Q54-(Q51-Q52)-Q59))</f>
        <v>0</v>
      </c>
      <c r="R57" s="22">
        <f>IF((Q55+R54-(R51-R52)-R59)&gt;0,0,(Q55+R54-(R51-R52)-R59))</f>
        <v>0</v>
      </c>
      <c r="S57" s="24">
        <f>IF((R55+S54-(S51-S52)-S59)&gt;0,0,(R55+S54-(S51-S52)-S59))</f>
        <v>-19722.0632</v>
      </c>
      <c r="T57" s="24"/>
      <c r="U57" s="24"/>
      <c r="V57" s="24"/>
      <c r="W57" s="24"/>
      <c r="X57" s="24"/>
      <c r="Y57" s="24"/>
      <c r="Z57" s="24"/>
      <c r="AA57" s="24"/>
      <c r="AB57" s="24"/>
      <c r="AC57" s="24"/>
      <c r="AD57" s="24"/>
    </row>
    <row r="58" ht="12.7" customHeight="1">
      <c r="A58" t="s" s="18">
        <v>259</v>
      </c>
      <c r="B58" s="19">
        <v>500001</v>
      </c>
      <c r="C58" t="s" s="20">
        <v>260</v>
      </c>
      <c r="D58" t="s" s="21">
        <v>35</v>
      </c>
      <c r="E58" t="s" s="21">
        <f>A58&amp;D58</f>
        <v>268</v>
      </c>
      <c r="F58" s="46"/>
      <c r="G58" s="49"/>
      <c r="H58" s="47"/>
      <c r="I58" s="22">
        <v>0</v>
      </c>
      <c r="J58" s="22">
        <v>0</v>
      </c>
      <c r="K58" s="22">
        <v>0</v>
      </c>
      <c r="L58" s="22">
        <v>0</v>
      </c>
      <c r="M58" s="22">
        <v>0</v>
      </c>
      <c r="N58" s="46"/>
      <c r="O58" s="58"/>
      <c r="P58" s="58"/>
      <c r="Q58" s="58"/>
      <c r="R58" s="59"/>
      <c r="S58" s="24"/>
      <c r="T58" s="24"/>
      <c r="U58" s="24"/>
      <c r="V58" s="24"/>
      <c r="W58" s="24"/>
      <c r="X58" s="24"/>
      <c r="Y58" s="24"/>
      <c r="Z58" s="24"/>
      <c r="AA58" s="24"/>
      <c r="AB58" s="24"/>
      <c r="AC58" s="24"/>
      <c r="AD58" s="24"/>
    </row>
    <row r="59" ht="12.7" customHeight="1">
      <c r="A59" t="s" s="18">
        <v>259</v>
      </c>
      <c r="B59" s="19">
        <v>500001</v>
      </c>
      <c r="C59" t="s" s="20">
        <v>260</v>
      </c>
      <c r="D59" t="s" s="21">
        <v>37</v>
      </c>
      <c r="E59" t="s" s="21">
        <f>A59&amp;D59</f>
        <v>269</v>
      </c>
      <c r="F59" s="22">
        <v>0</v>
      </c>
      <c r="G59" s="22">
        <v>0</v>
      </c>
      <c r="H59" s="30">
        <v>0</v>
      </c>
      <c r="I59" s="22">
        <f>IF(I58&gt;0,IF(I58-(I51-I52)&gt;0,(I58-(I51-I52)),0),0)</f>
        <v>0</v>
      </c>
      <c r="J59" s="22">
        <f>IF(J58&gt;0,IF(J58-(J51-J52)&gt;0,(J58-(J51-J52)),0),0)</f>
        <v>0</v>
      </c>
      <c r="K59" s="22">
        <f>IF(K58&gt;0,IF(K58-(K51-K52)&gt;0,(K58-(K51-K52)),0),0)</f>
        <v>0</v>
      </c>
      <c r="L59" s="22">
        <f>IF(L58&gt;0,IF(L58-(L51-L52)&gt;0,(L58-(L51-L52)),0),0)</f>
        <v>0</v>
      </c>
      <c r="M59" s="22">
        <v>0</v>
      </c>
      <c r="N59" s="22">
        <v>0</v>
      </c>
      <c r="O59" s="31"/>
      <c r="P59" s="32"/>
      <c r="Q59" s="32"/>
      <c r="R59" s="33"/>
      <c r="S59" s="24"/>
      <c r="T59" s="24"/>
      <c r="U59" s="24"/>
      <c r="V59" s="24"/>
      <c r="W59" s="24"/>
      <c r="X59" s="24"/>
      <c r="Y59" s="24"/>
      <c r="Z59" s="24"/>
      <c r="AA59" s="24"/>
      <c r="AB59" s="24"/>
      <c r="AC59" s="24"/>
      <c r="AD59" s="24"/>
    </row>
    <row r="60" ht="12.7" customHeight="1">
      <c r="A60" t="s" s="34">
        <v>259</v>
      </c>
      <c r="B60" s="35">
        <v>500001</v>
      </c>
      <c r="C60" t="s" s="36">
        <v>260</v>
      </c>
      <c r="D60" t="s" s="37">
        <v>39</v>
      </c>
      <c r="E60" t="s" s="37">
        <f>A60&amp;D60</f>
        <v>270</v>
      </c>
      <c r="F60" s="38">
        <f>IFERROR(F56/AVERAGE(G51:H51)*30,0)</f>
        <v>0</v>
      </c>
      <c r="G60" s="38">
        <f>IFERROR(G56/AVERAGE(H51:I51)*30,0)</f>
        <v>0</v>
      </c>
      <c r="H60" s="38">
        <f>IFERROR(H55/AVERAGE(I51:J51)*30,0)</f>
        <v>0</v>
      </c>
      <c r="I60" s="38">
        <f>IFERROR(I55/AVERAGE(J51:K51)*30,0)</f>
        <v>0</v>
      </c>
      <c r="J60" s="38">
        <f>IFERROR(J55/AVERAGE(K51:L51)*30,0)</f>
        <v>0</v>
      </c>
      <c r="K60" s="38">
        <f>IFERROR(K55/AVERAGE(L51:M51)*30,0)</f>
        <v>0</v>
      </c>
      <c r="L60" s="38">
        <f>IFERROR(L55/AVERAGE(M51:N51)*30,0)</f>
        <v>0</v>
      </c>
      <c r="M60" s="38">
        <f>IFERROR(M55/AVERAGE(N51:O51)*30,0)</f>
        <v>0</v>
      </c>
      <c r="N60" s="38">
        <f>IFERROR(N55/AVERAGE(O51:P51)*30,0)</f>
        <v>14.18221618637607</v>
      </c>
      <c r="O60" s="38">
        <f>IFERROR(O55/AVERAGE(P51:Q51)*30,0)</f>
        <v>20.01046798415453</v>
      </c>
      <c r="P60" s="38">
        <f>IFERROR(P55/AVERAGE(Q51:R51)*30,0)</f>
        <v>19.46932800162512</v>
      </c>
      <c r="Q60" s="38">
        <f>IFERROR(Q55/AVERAGE(R51:S51)*30,0)</f>
        <v>18.73042842348692</v>
      </c>
      <c r="R60" s="38">
        <f>IFERROR(R55/AVERAGE(S51:T51)*30,0)</f>
        <v>21.49151261041627</v>
      </c>
      <c r="S60" s="38">
        <f>IFERROR(S55/AVERAGE(T51:U51)*30,0)</f>
        <v>0</v>
      </c>
      <c r="T60" s="38"/>
      <c r="U60" s="38"/>
      <c r="V60" s="38"/>
      <c r="W60" s="38"/>
      <c r="X60" s="38"/>
      <c r="Y60" s="38"/>
      <c r="Z60" s="38"/>
      <c r="AA60" s="38"/>
      <c r="AB60" s="38"/>
      <c r="AC60" s="38"/>
      <c r="AD60" s="38"/>
    </row>
    <row r="61" ht="12" customHeight="1">
      <c r="A61" s="39"/>
      <c r="B61" s="40"/>
      <c r="C61" s="40"/>
      <c r="D61" s="40"/>
      <c r="E61" s="40"/>
      <c r="F61" s="40"/>
      <c r="G61" t="s" s="90">
        <v>2</v>
      </c>
      <c r="H61" s="91"/>
      <c r="I61" s="91"/>
      <c r="J61" s="91"/>
      <c r="K61" s="91"/>
      <c r="L61" s="91"/>
      <c r="M61" s="91"/>
      <c r="N61" s="91"/>
      <c r="O61" s="91"/>
      <c r="P61" s="91"/>
      <c r="Q61" s="91"/>
      <c r="R61" s="91"/>
      <c r="S61" t="s" s="90">
        <v>3</v>
      </c>
      <c r="T61" s="91"/>
      <c r="U61" s="91"/>
      <c r="V61" s="91"/>
      <c r="W61" s="91"/>
      <c r="X61" s="91"/>
      <c r="Y61" s="91"/>
      <c r="Z61" s="91"/>
      <c r="AA61" s="91"/>
      <c r="AB61" s="91"/>
      <c r="AC61" s="91"/>
      <c r="AD61" s="92"/>
    </row>
    <row r="62" ht="13.5" customHeight="1">
      <c r="A62" t="s" s="8">
        <v>4</v>
      </c>
      <c r="B62" t="s" s="9">
        <v>5</v>
      </c>
      <c r="C62" t="s" s="9">
        <v>6</v>
      </c>
      <c r="D62" t="s" s="9">
        <v>7</v>
      </c>
      <c r="E62" s="10"/>
      <c r="F62" t="s" s="9">
        <v>18</v>
      </c>
      <c r="G62" t="s" s="9">
        <v>8</v>
      </c>
      <c r="H62" t="s" s="9">
        <v>9</v>
      </c>
      <c r="I62" t="s" s="9">
        <v>10</v>
      </c>
      <c r="J62" t="s" s="9">
        <v>11</v>
      </c>
      <c r="K62" t="s" s="9">
        <v>1</v>
      </c>
      <c r="L62" t="s" s="9">
        <v>12</v>
      </c>
      <c r="M62" t="s" s="9">
        <v>13</v>
      </c>
      <c r="N62" t="s" s="9">
        <v>14</v>
      </c>
      <c r="O62" t="s" s="9">
        <v>15</v>
      </c>
      <c r="P62" t="s" s="9">
        <v>16</v>
      </c>
      <c r="Q62" t="s" s="9">
        <v>17</v>
      </c>
      <c r="R62" t="s" s="9">
        <v>18</v>
      </c>
      <c r="S62" t="s" s="9">
        <v>8</v>
      </c>
      <c r="T62" t="s" s="9">
        <v>9</v>
      </c>
      <c r="U62" t="s" s="9">
        <v>10</v>
      </c>
      <c r="V62" t="s" s="9">
        <v>11</v>
      </c>
      <c r="W62" t="s" s="9">
        <v>1</v>
      </c>
      <c r="X62" t="s" s="9">
        <v>12</v>
      </c>
      <c r="Y62" t="s" s="9">
        <v>13</v>
      </c>
      <c r="Z62" t="s" s="9">
        <v>14</v>
      </c>
      <c r="AA62" t="s" s="9">
        <v>15</v>
      </c>
      <c r="AB62" t="s" s="9">
        <v>16</v>
      </c>
      <c r="AC62" t="s" s="9">
        <v>17</v>
      </c>
      <c r="AD62" t="s" s="11">
        <v>18</v>
      </c>
    </row>
    <row r="63" ht="12.7" customHeight="1">
      <c r="A63" t="s" s="12">
        <v>271</v>
      </c>
      <c r="B63" s="13">
        <v>500002</v>
      </c>
      <c r="C63" t="s" s="14">
        <v>272</v>
      </c>
      <c r="D63" t="s" s="15">
        <v>21</v>
      </c>
      <c r="E63" t="s" s="15">
        <f>A63&amp;D63</f>
        <v>273</v>
      </c>
      <c r="F63" s="93"/>
      <c r="G63" s="83"/>
      <c r="H63" s="84"/>
      <c r="I63" s="85"/>
      <c r="J63" s="17">
        <v>0</v>
      </c>
      <c r="K63" s="17">
        <v>0</v>
      </c>
      <c r="L63" s="17">
        <v>0</v>
      </c>
      <c r="M63" s="17">
        <v>0</v>
      </c>
      <c r="N63" s="17">
        <v>2500</v>
      </c>
      <c r="O63" s="17">
        <v>7789.284</v>
      </c>
      <c r="P63" s="17">
        <v>6523.608</v>
      </c>
      <c r="Q63" s="17">
        <v>15269.08</v>
      </c>
      <c r="R63" s="17">
        <v>27550</v>
      </c>
      <c r="S63" s="17">
        <v>27550</v>
      </c>
      <c r="T63" s="17"/>
      <c r="U63" s="17"/>
      <c r="V63" s="17"/>
      <c r="W63" s="17"/>
      <c r="X63" s="17"/>
      <c r="Y63" s="17"/>
      <c r="Z63" s="17"/>
      <c r="AA63" s="17"/>
      <c r="AB63" s="17"/>
      <c r="AC63" s="17"/>
      <c r="AD63" s="17"/>
    </row>
    <row r="64" ht="12.7" customHeight="1">
      <c r="A64" t="s" s="18">
        <v>271</v>
      </c>
      <c r="B64" s="19">
        <v>500002</v>
      </c>
      <c r="C64" t="s" s="20">
        <v>272</v>
      </c>
      <c r="D64" t="s" s="21">
        <v>23</v>
      </c>
      <c r="E64" t="s" s="21">
        <f>A64&amp;D64</f>
        <v>274</v>
      </c>
      <c r="F64" s="22">
        <v>23750</v>
      </c>
      <c r="G64" s="22">
        <v>14089</v>
      </c>
      <c r="H64" s="22">
        <v>990</v>
      </c>
      <c r="I64" s="22">
        <v>209</v>
      </c>
      <c r="J64" s="86">
        <f>INDEX('Sales Actual'!$H$5:$H$66,MATCH($A64,'Sales Actual'!$G$5:$G$66,0))</f>
        <v>0</v>
      </c>
      <c r="K64" s="86">
        <f>INDEX('Sales Actual'!$J$5:$J$66,MATCH($A64,'Sales Actual'!$I$5:$I$66,0))</f>
        <v>0</v>
      </c>
      <c r="L64" s="86">
        <f>INDEX('Sales Actual'!$L$5:$L$66,MATCH($A64,'Sales Actual'!$K$5:$K$66,0))</f>
        <v>0</v>
      </c>
      <c r="M64" s="86">
        <f>INDEX('Sales Actual'!$N$4:$N$65,MATCH($A64,'Sales Actual'!$M$4:$M$65,0))</f>
        <v>0</v>
      </c>
      <c r="N64" s="86">
        <f>INDEX('Sales Actual'!$P$4:$P$64,MATCH($A64,'Sales Actual'!$O$4:$O$65,0))</f>
        <v>0</v>
      </c>
      <c r="O64" s="86">
        <f>INDEX('Sales Actual'!$R$4:$R$65,MATCH($A64,'Sales Actual'!$Q$4:$Q$65,0))</f>
        <v>0</v>
      </c>
      <c r="P64" s="86">
        <f>INDEX('Sales Actual'!$T$4:$T$66,MATCH($A64,'Sales Actual'!$S$4:$S$66,0))</f>
        <v>0</v>
      </c>
      <c r="Q64" s="86">
        <f>INDEX('Sales Actual'!$V$4:$V$65,MATCH($A64,'Sales Actual'!$U$4:$U$65,0))</f>
        <v>0</v>
      </c>
      <c r="R64" s="86">
        <f>INDEX('Sales Actual'!$X$4:$X$65,MATCH($A64,'Sales Actual'!$W$4:$W$65,0))</f>
        <v>0</v>
      </c>
      <c r="S64" s="22"/>
      <c r="T64" s="22"/>
      <c r="U64" s="22"/>
      <c r="V64" s="22"/>
      <c r="W64" s="22"/>
      <c r="X64" s="22"/>
      <c r="Y64" s="22"/>
      <c r="Z64" s="22"/>
      <c r="AA64" s="22"/>
      <c r="AB64" s="22"/>
      <c r="AC64" s="22"/>
      <c r="AD64" s="22"/>
    </row>
    <row r="65" ht="12.7" customHeight="1">
      <c r="A65" t="s" s="18">
        <v>271</v>
      </c>
      <c r="B65" s="19">
        <v>500002</v>
      </c>
      <c r="C65" t="s" s="20">
        <v>272</v>
      </c>
      <c r="D65" t="s" s="21">
        <v>25</v>
      </c>
      <c r="E65" t="s" s="21">
        <f>A65&amp;D65</f>
        <v>275</v>
      </c>
      <c r="F65" s="57"/>
      <c r="G65" s="58"/>
      <c r="H65" s="58"/>
      <c r="I65" s="58"/>
      <c r="J65" s="58"/>
      <c r="K65" s="58"/>
      <c r="L65" s="58"/>
      <c r="M65" s="59"/>
      <c r="N65" s="22">
        <f>10*600</f>
        <v>6000</v>
      </c>
      <c r="O65" s="22">
        <f>10*1100</f>
        <v>11000</v>
      </c>
      <c r="P65" s="22">
        <f>10*1300</f>
        <v>13000</v>
      </c>
      <c r="Q65" s="22">
        <f>10*1900</f>
        <v>19000</v>
      </c>
      <c r="R65" s="22">
        <f t="shared" si="269"/>
        <v>29000</v>
      </c>
      <c r="S65" s="24">
        <v>0</v>
      </c>
      <c r="T65" s="24"/>
      <c r="U65" s="24"/>
      <c r="V65" s="24"/>
      <c r="W65" s="24"/>
      <c r="X65" s="24"/>
      <c r="Y65" s="24"/>
      <c r="Z65" s="24"/>
      <c r="AA65" s="24"/>
      <c r="AB65" s="24"/>
      <c r="AC65" s="24"/>
      <c r="AD65" s="24"/>
    </row>
    <row r="66" ht="12.7" customHeight="1">
      <c r="A66" t="s" s="18">
        <v>271</v>
      </c>
      <c r="B66" s="19">
        <v>500002</v>
      </c>
      <c r="C66" t="s" s="20">
        <v>272</v>
      </c>
      <c r="D66" t="s" s="21">
        <v>27</v>
      </c>
      <c r="E66" t="s" s="21">
        <f>A66&amp;D66</f>
        <v>276</v>
      </c>
      <c r="F66" s="60"/>
      <c r="G66" s="61"/>
      <c r="H66" s="61"/>
      <c r="I66" s="32"/>
      <c r="J66" s="32"/>
      <c r="K66" s="32"/>
      <c r="L66" s="32"/>
      <c r="M66" s="33"/>
      <c r="N66" s="22">
        <f>N65</f>
        <v>6000</v>
      </c>
      <c r="O66" s="22">
        <f>O65</f>
        <v>11000</v>
      </c>
      <c r="P66" s="22">
        <f>P65</f>
        <v>13000</v>
      </c>
      <c r="Q66" s="22">
        <f>Q65</f>
        <v>19000</v>
      </c>
      <c r="R66" s="22">
        <f>R65</f>
        <v>29000</v>
      </c>
      <c r="S66" s="24"/>
      <c r="T66" s="24"/>
      <c r="U66" s="24"/>
      <c r="V66" s="24"/>
      <c r="W66" s="24"/>
      <c r="X66" s="24"/>
      <c r="Y66" s="24"/>
      <c r="Z66" s="24"/>
      <c r="AA66" s="24"/>
      <c r="AB66" s="24"/>
      <c r="AC66" s="24"/>
      <c r="AD66" s="24"/>
    </row>
    <row r="67" ht="12.7" customHeight="1">
      <c r="A67" t="s" s="18">
        <v>271</v>
      </c>
      <c r="B67" s="19">
        <v>500002</v>
      </c>
      <c r="C67" t="s" s="20">
        <v>272</v>
      </c>
      <c r="D67" t="s" s="21">
        <v>29</v>
      </c>
      <c r="E67" t="s" s="21">
        <f>A67&amp;D67</f>
        <v>277</v>
      </c>
      <c r="F67" s="60"/>
      <c r="G67" s="61"/>
      <c r="H67" s="62"/>
      <c r="I67" s="22">
        <f>H68+I66-(I63-I64)-I71</f>
        <v>209</v>
      </c>
      <c r="J67" s="22">
        <f>IF((I67+J66-(J63-J64)-J71)&lt;0,0,(I67+J66-(J63-J64)-J71))</f>
        <v>209</v>
      </c>
      <c r="K67" s="22">
        <f>IF((J67+K66-(K63-K64)-K71)&lt;0,0,(J67+K66-(K63-K64)-K71))</f>
        <v>209</v>
      </c>
      <c r="L67" s="22">
        <f>IF((K67+L66-(L63-L64)-L71)&lt;0,0,(K67+L66-(L63-L64)-L71))</f>
        <v>209</v>
      </c>
      <c r="M67" s="22">
        <f>IF((L67+M66-(M63-M64)-M71)&lt;0,0,(L67+M66-(M63-M64)-M71))</f>
        <v>209</v>
      </c>
      <c r="N67" s="22">
        <f>IF((M67+N66-(N63-N64)-N71)&lt;0,0,(M67+N66-(N63-N64)-N71))</f>
        <v>3709</v>
      </c>
      <c r="O67" s="22">
        <f>IF((N67+O66-(O63-O64)-O71)&lt;0,0,(N67+O66-(O63-O64)-O71))</f>
        <v>6919.716</v>
      </c>
      <c r="P67" s="22">
        <f>IF((O67+P66-(P63-P64)-P71)&lt;0,0,(O67+P66-(P63-P64)-P71))</f>
        <v>13396.108</v>
      </c>
      <c r="Q67" s="22">
        <f>IF((P67+Q66-(Q63-Q64)-Q71)&lt;0,0,(P67+Q66-(Q63-Q64)-Q71))</f>
        <v>17127.028</v>
      </c>
      <c r="R67" s="22">
        <f>IF((Q67+R66-(R63-R64)-R71)&lt;0,0,(Q67+R66-(R63-R64)-R71))</f>
        <v>18577.028</v>
      </c>
      <c r="S67" s="22"/>
      <c r="T67" s="22"/>
      <c r="U67" s="22"/>
      <c r="V67" s="22"/>
      <c r="W67" s="22"/>
      <c r="X67" s="22"/>
      <c r="Y67" s="22"/>
      <c r="Z67" s="22"/>
      <c r="AA67" s="22"/>
      <c r="AB67" s="22"/>
      <c r="AC67" s="22"/>
      <c r="AD67" s="22"/>
    </row>
    <row r="68" ht="12.7" customHeight="1">
      <c r="A68" t="s" s="18">
        <v>271</v>
      </c>
      <c r="B68" s="19">
        <v>500002</v>
      </c>
      <c r="C68" t="s" s="20">
        <v>272</v>
      </c>
      <c r="D68" t="s" s="21">
        <v>31</v>
      </c>
      <c r="E68" t="s" s="21">
        <f>A68&amp;D68</f>
        <v>278</v>
      </c>
      <c r="F68" s="31"/>
      <c r="G68" s="87"/>
      <c r="H68" s="33"/>
      <c r="I68" s="22">
        <v>0</v>
      </c>
      <c r="J68" s="48"/>
      <c r="K68" s="48"/>
      <c r="L68" s="48"/>
      <c r="M68" s="48"/>
      <c r="N68" s="48"/>
      <c r="O68" s="48"/>
      <c r="P68" s="48"/>
      <c r="Q68" s="48"/>
      <c r="R68" s="48"/>
      <c r="S68" s="22"/>
      <c r="T68" s="22"/>
      <c r="U68" s="22"/>
      <c r="V68" s="22"/>
      <c r="W68" s="22"/>
      <c r="X68" s="22"/>
      <c r="Y68" s="22"/>
      <c r="Z68" s="22"/>
      <c r="AA68" s="22"/>
      <c r="AB68" s="22"/>
      <c r="AC68" s="22"/>
      <c r="AD68" s="22"/>
    </row>
    <row r="69" ht="12.7" customHeight="1">
      <c r="A69" t="s" s="18">
        <v>271</v>
      </c>
      <c r="B69" s="19">
        <v>500002</v>
      </c>
      <c r="C69" t="s" s="20">
        <v>272</v>
      </c>
      <c r="D69" t="s" s="21">
        <v>33</v>
      </c>
      <c r="E69" t="s" s="21">
        <f>A69&amp;D69</f>
        <v>279</v>
      </c>
      <c r="F69" s="22">
        <v>0</v>
      </c>
      <c r="G69" s="22">
        <v>0</v>
      </c>
      <c r="H69" s="22">
        <v>0</v>
      </c>
      <c r="I69" s="22">
        <v>0</v>
      </c>
      <c r="J69" s="22">
        <f>IF((I67+J66-(J63-J64)-J71)&gt;0,0,(I67+J66-(J63-J64)-J71))</f>
        <v>0</v>
      </c>
      <c r="K69" s="22">
        <f>IF((J67+K66-(K63-K64)-K71)&gt;0,0,(J67+K66-(K63-K64)-K71))</f>
        <v>0</v>
      </c>
      <c r="L69" s="22">
        <f>IF((K67+L66-(L63-L64)-L71)&gt;0,0,(K67+L66-(L63-L64)-L71))</f>
        <v>0</v>
      </c>
      <c r="M69" s="22">
        <f>IF((L67+M66-(M63-M64)-M71)&gt;0,0,(L67+M66-(M63-M64)-M71))</f>
        <v>0</v>
      </c>
      <c r="N69" s="22">
        <f>IF((M67+N66-(N63-N64)-N71)&gt;0,0,(M67+N66-(N63-N64)-N71))</f>
        <v>0</v>
      </c>
      <c r="O69" s="22">
        <f>IF((N67+O66-(O63-O64)-O71)&gt;0,0,(N67+O66-(O63-O64)-O71))</f>
        <v>0</v>
      </c>
      <c r="P69" s="22">
        <f>IF((O67+P66-(P63-P64)-P71)&gt;0,0,(O67+P66-(P63-P64)-P71))</f>
        <v>0</v>
      </c>
      <c r="Q69" s="22">
        <f>IF((P67+Q66-(Q63-Q64)-Q71)&gt;0,0,(P67+Q66-(Q63-Q64)-Q71))</f>
        <v>0</v>
      </c>
      <c r="R69" s="22">
        <f>IF((Q67+R66-(R63-R64)-R71)&gt;0,0,(Q67+R66-(R63-R64)-R71))</f>
        <v>0</v>
      </c>
      <c r="S69" s="24">
        <f>IF((R67+S66-(S63-S64)-S71)&gt;0,0,(R67+S66-(S63-S64)-S71))</f>
        <v>-8972.972000000002</v>
      </c>
      <c r="T69" s="24"/>
      <c r="U69" s="24"/>
      <c r="V69" s="24"/>
      <c r="W69" s="24"/>
      <c r="X69" s="24"/>
      <c r="Y69" s="24"/>
      <c r="Z69" s="24"/>
      <c r="AA69" s="24"/>
      <c r="AB69" s="24"/>
      <c r="AC69" s="24"/>
      <c r="AD69" s="24"/>
    </row>
    <row r="70" ht="12.7" customHeight="1">
      <c r="A70" t="s" s="18">
        <v>271</v>
      </c>
      <c r="B70" s="19">
        <v>500002</v>
      </c>
      <c r="C70" t="s" s="20">
        <v>272</v>
      </c>
      <c r="D70" t="s" s="21">
        <v>35</v>
      </c>
      <c r="E70" t="s" s="21">
        <f>A70&amp;D70</f>
        <v>280</v>
      </c>
      <c r="F70" s="46"/>
      <c r="G70" s="49"/>
      <c r="H70" s="47"/>
      <c r="I70" s="22">
        <v>0</v>
      </c>
      <c r="J70" s="22">
        <v>0</v>
      </c>
      <c r="K70" s="22">
        <v>0</v>
      </c>
      <c r="L70" s="22">
        <v>0</v>
      </c>
      <c r="M70" s="22">
        <v>0</v>
      </c>
      <c r="N70" s="46"/>
      <c r="O70" s="58"/>
      <c r="P70" s="58"/>
      <c r="Q70" s="58"/>
      <c r="R70" s="59"/>
      <c r="S70" s="24"/>
      <c r="T70" s="24"/>
      <c r="U70" s="24"/>
      <c r="V70" s="24"/>
      <c r="W70" s="24"/>
      <c r="X70" s="24"/>
      <c r="Y70" s="24"/>
      <c r="Z70" s="24"/>
      <c r="AA70" s="24"/>
      <c r="AB70" s="24"/>
      <c r="AC70" s="24"/>
      <c r="AD70" s="24"/>
    </row>
    <row r="71" ht="12.7" customHeight="1">
      <c r="A71" t="s" s="18">
        <v>271</v>
      </c>
      <c r="B71" s="19">
        <v>500002</v>
      </c>
      <c r="C71" t="s" s="20">
        <v>272</v>
      </c>
      <c r="D71" t="s" s="21">
        <v>37</v>
      </c>
      <c r="E71" t="s" s="21">
        <f>A71&amp;D71</f>
        <v>281</v>
      </c>
      <c r="F71" s="22">
        <v>0</v>
      </c>
      <c r="G71" s="22">
        <v>0</v>
      </c>
      <c r="H71" s="30">
        <v>0</v>
      </c>
      <c r="I71" s="22">
        <f>IF(I70&gt;0,IF(I70-(I63-I64)&gt;0,(I70-(I63-I64)),0),0)</f>
        <v>0</v>
      </c>
      <c r="J71" s="22">
        <f>IF(J70&gt;0,IF(J70-(J63-J64)&gt;0,(J70-(J63-J64)),0),0)</f>
        <v>0</v>
      </c>
      <c r="K71" s="22">
        <f>IF(K70&gt;0,IF(K70-(K63-K64)&gt;0,(K70-(K63-K64)),0),0)</f>
        <v>0</v>
      </c>
      <c r="L71" s="22">
        <f>IF(L70&gt;0,IF(L70-(L63-L64)&gt;0,(L70-(L63-L64)),0),0)</f>
        <v>0</v>
      </c>
      <c r="M71" s="22">
        <v>0</v>
      </c>
      <c r="N71" s="22">
        <v>0</v>
      </c>
      <c r="O71" s="31"/>
      <c r="P71" s="32"/>
      <c r="Q71" s="32"/>
      <c r="R71" s="33"/>
      <c r="S71" s="24"/>
      <c r="T71" s="24"/>
      <c r="U71" s="24"/>
      <c r="V71" s="24"/>
      <c r="W71" s="24"/>
      <c r="X71" s="24"/>
      <c r="Y71" s="24"/>
      <c r="Z71" s="24"/>
      <c r="AA71" s="24"/>
      <c r="AB71" s="24"/>
      <c r="AC71" s="24"/>
      <c r="AD71" s="24"/>
    </row>
    <row r="72" ht="12.7" customHeight="1">
      <c r="A72" t="s" s="34">
        <v>271</v>
      </c>
      <c r="B72" s="35">
        <v>500002</v>
      </c>
      <c r="C72" t="s" s="36">
        <v>272</v>
      </c>
      <c r="D72" t="s" s="37">
        <v>39</v>
      </c>
      <c r="E72" t="s" s="37">
        <f>A72&amp;D72</f>
        <v>282</v>
      </c>
      <c r="F72" s="38">
        <f>IFERROR(F68/AVERAGE(G63:H63)*30,0)</f>
        <v>0</v>
      </c>
      <c r="G72" s="38">
        <f>IFERROR(G68/AVERAGE(H63:I63)*30,0)</f>
        <v>0</v>
      </c>
      <c r="H72" s="38">
        <f>IFERROR(H67/AVERAGE(I63:J63)*30,0)</f>
        <v>0</v>
      </c>
      <c r="I72" s="38">
        <f>IFERROR(I67/AVERAGE(J63:K63)*30,0)</f>
        <v>0</v>
      </c>
      <c r="J72" s="38">
        <f>IFERROR(J67/AVERAGE(K63:L63)*30,0)</f>
        <v>0</v>
      </c>
      <c r="K72" s="38">
        <f>IFERROR(K67/AVERAGE(L63:M63)*30,0)</f>
        <v>0</v>
      </c>
      <c r="L72" s="38">
        <f>IFERROR(L67/AVERAGE(M63:N63)*30,0)</f>
        <v>5.016</v>
      </c>
      <c r="M72" s="38">
        <f>IFERROR(M67/AVERAGE(N63:O63)*30,0)</f>
        <v>1.218743694896555</v>
      </c>
      <c r="N72" s="38">
        <f>IFERROR(N67/AVERAGE(O63:P63)*30,0)</f>
        <v>15.54822044349947</v>
      </c>
      <c r="O72" s="38">
        <f>IFERROR(O67/AVERAGE(P63:Q63)*30,0)</f>
        <v>19.05148001935328</v>
      </c>
      <c r="P72" s="38">
        <f>IFERROR(P67/AVERAGE(Q63:R63)*30,0)</f>
        <v>18.7712225484527</v>
      </c>
      <c r="Q72" s="38">
        <f>IFERROR(Q67/AVERAGE(R63:S63)*30,0)</f>
        <v>18.65012123411978</v>
      </c>
      <c r="R72" s="38">
        <f>IFERROR(R67/AVERAGE(S63:T63)*30,0)</f>
        <v>20.22906860254083</v>
      </c>
      <c r="S72" s="38">
        <f>IFERROR(S67/AVERAGE(T63:U63)*30,0)</f>
        <v>0</v>
      </c>
      <c r="T72" s="38"/>
      <c r="U72" s="38"/>
      <c r="V72" s="38"/>
      <c r="W72" s="38"/>
      <c r="X72" s="38"/>
      <c r="Y72" s="38"/>
      <c r="Z72" s="38"/>
      <c r="AA72" s="38"/>
      <c r="AB72" s="38"/>
      <c r="AC72" s="38"/>
      <c r="AD72" s="38"/>
    </row>
    <row r="73" ht="12" customHeight="1">
      <c r="A73" s="39"/>
      <c r="B73" s="40"/>
      <c r="C73" s="40"/>
      <c r="D73" s="40"/>
      <c r="E73" s="40"/>
      <c r="F73" s="40"/>
      <c r="G73" t="s" s="90">
        <v>2</v>
      </c>
      <c r="H73" s="91"/>
      <c r="I73" s="91"/>
      <c r="J73" s="91"/>
      <c r="K73" s="91"/>
      <c r="L73" s="91"/>
      <c r="M73" s="91"/>
      <c r="N73" s="91"/>
      <c r="O73" s="91"/>
      <c r="P73" s="91"/>
      <c r="Q73" s="91"/>
      <c r="R73" s="91"/>
      <c r="S73" t="s" s="90">
        <v>3</v>
      </c>
      <c r="T73" s="91"/>
      <c r="U73" s="91"/>
      <c r="V73" s="91"/>
      <c r="W73" s="91"/>
      <c r="X73" s="91"/>
      <c r="Y73" s="91"/>
      <c r="Z73" s="91"/>
      <c r="AA73" s="91"/>
      <c r="AB73" s="91"/>
      <c r="AC73" s="91"/>
      <c r="AD73" s="92"/>
    </row>
    <row r="74" ht="13.5" customHeight="1">
      <c r="A74" t="s" s="8">
        <v>4</v>
      </c>
      <c r="B74" t="s" s="9">
        <v>5</v>
      </c>
      <c r="C74" t="s" s="9">
        <v>6</v>
      </c>
      <c r="D74" t="s" s="9">
        <v>7</v>
      </c>
      <c r="E74" s="10"/>
      <c r="F74" t="s" s="9">
        <v>18</v>
      </c>
      <c r="G74" t="s" s="9">
        <v>8</v>
      </c>
      <c r="H74" t="s" s="9">
        <v>9</v>
      </c>
      <c r="I74" t="s" s="9">
        <v>10</v>
      </c>
      <c r="J74" t="s" s="9">
        <v>11</v>
      </c>
      <c r="K74" t="s" s="9">
        <v>1</v>
      </c>
      <c r="L74" t="s" s="9">
        <v>12</v>
      </c>
      <c r="M74" t="s" s="9">
        <v>13</v>
      </c>
      <c r="N74" t="s" s="9">
        <v>14</v>
      </c>
      <c r="O74" t="s" s="9">
        <v>15</v>
      </c>
      <c r="P74" t="s" s="9">
        <v>16</v>
      </c>
      <c r="Q74" t="s" s="9">
        <v>17</v>
      </c>
      <c r="R74" t="s" s="9">
        <v>18</v>
      </c>
      <c r="S74" t="s" s="9">
        <v>8</v>
      </c>
      <c r="T74" t="s" s="9">
        <v>9</v>
      </c>
      <c r="U74" t="s" s="9">
        <v>10</v>
      </c>
      <c r="V74" t="s" s="9">
        <v>11</v>
      </c>
      <c r="W74" t="s" s="9">
        <v>1</v>
      </c>
      <c r="X74" t="s" s="9">
        <v>12</v>
      </c>
      <c r="Y74" t="s" s="9">
        <v>13</v>
      </c>
      <c r="Z74" t="s" s="9">
        <v>14</v>
      </c>
      <c r="AA74" t="s" s="9">
        <v>15</v>
      </c>
      <c r="AB74" t="s" s="9">
        <v>16</v>
      </c>
      <c r="AC74" t="s" s="9">
        <v>17</v>
      </c>
      <c r="AD74" t="s" s="11">
        <v>18</v>
      </c>
    </row>
    <row r="75" ht="12.7" customHeight="1">
      <c r="A75" t="s" s="12">
        <v>283</v>
      </c>
      <c r="B75" s="13">
        <v>500003</v>
      </c>
      <c r="C75" t="s" s="14">
        <v>284</v>
      </c>
      <c r="D75" t="s" s="15">
        <v>21</v>
      </c>
      <c r="E75" t="s" s="15">
        <f>A75&amp;D75</f>
        <v>285</v>
      </c>
      <c r="F75" s="93"/>
      <c r="G75" s="83"/>
      <c r="H75" s="84"/>
      <c r="I75" s="85"/>
      <c r="J75" s="17">
        <v>0</v>
      </c>
      <c r="K75" s="17">
        <v>0</v>
      </c>
      <c r="L75" s="17">
        <v>0</v>
      </c>
      <c r="M75" s="17">
        <v>0</v>
      </c>
      <c r="N75" s="17">
        <v>3000</v>
      </c>
      <c r="O75" s="17">
        <v>8233.68</v>
      </c>
      <c r="P75" s="17">
        <v>4482.239999999999</v>
      </c>
      <c r="Q75" s="17">
        <v>13894.48</v>
      </c>
      <c r="R75" s="17">
        <v>31683.08</v>
      </c>
      <c r="S75" s="17">
        <v>31683.08</v>
      </c>
      <c r="T75" s="17"/>
      <c r="U75" s="17"/>
      <c r="V75" s="17"/>
      <c r="W75" s="17"/>
      <c r="X75" s="17"/>
      <c r="Y75" s="17"/>
      <c r="Z75" s="17"/>
      <c r="AA75" s="17"/>
      <c r="AB75" s="17"/>
      <c r="AC75" s="17"/>
      <c r="AD75" s="17"/>
    </row>
    <row r="76" ht="12.7" customHeight="1">
      <c r="A76" t="s" s="18">
        <v>283</v>
      </c>
      <c r="B76" s="19">
        <v>500003</v>
      </c>
      <c r="C76" t="s" s="20">
        <v>284</v>
      </c>
      <c r="D76" t="s" s="21">
        <v>23</v>
      </c>
      <c r="E76" t="s" s="21">
        <f>A76&amp;D76</f>
        <v>286</v>
      </c>
      <c r="F76" s="22">
        <v>27313</v>
      </c>
      <c r="G76" s="22">
        <v>13462</v>
      </c>
      <c r="H76" s="22">
        <v>210</v>
      </c>
      <c r="I76" s="22">
        <v>294</v>
      </c>
      <c r="J76" s="86">
        <f>INDEX('Sales Actual'!$H$5:$H$66,MATCH($A76,'Sales Actual'!$G$5:$G$66,0))</f>
        <v>0</v>
      </c>
      <c r="K76" s="86">
        <f>INDEX('Sales Actual'!$J$5:$J$66,MATCH($A76,'Sales Actual'!$I$5:$I$66,0))</f>
        <v>0</v>
      </c>
      <c r="L76" s="86">
        <f>INDEX('Sales Actual'!$L$5:$L$66,MATCH($A76,'Sales Actual'!$K$5:$K$66,0))</f>
        <v>0</v>
      </c>
      <c r="M76" s="86">
        <f>INDEX('Sales Actual'!$N$4:$N$65,MATCH($A76,'Sales Actual'!$M$4:$M$65,0))</f>
        <v>0</v>
      </c>
      <c r="N76" s="86">
        <f>INDEX('Sales Actual'!$P$4:$P$64,MATCH($A76,'Sales Actual'!$O$4:$O$65,0))</f>
        <v>0</v>
      </c>
      <c r="O76" s="86">
        <f>INDEX('Sales Actual'!$R$4:$R$65,MATCH($A76,'Sales Actual'!$Q$4:$Q$65,0))</f>
        <v>0</v>
      </c>
      <c r="P76" s="86">
        <f>INDEX('Sales Actual'!$T$4:$T$66,MATCH($A76,'Sales Actual'!$S$4:$S$66,0))</f>
        <v>0</v>
      </c>
      <c r="Q76" s="86">
        <f>INDEX('Sales Actual'!$V$4:$V$65,MATCH($A76,'Sales Actual'!$U$4:$U$65,0))</f>
        <v>0</v>
      </c>
      <c r="R76" s="86">
        <f>INDEX('Sales Actual'!$X$4:$X$65,MATCH($A76,'Sales Actual'!$W$4:$W$65,0))</f>
        <v>0</v>
      </c>
      <c r="S76" s="22"/>
      <c r="T76" s="22"/>
      <c r="U76" s="22"/>
      <c r="V76" s="22"/>
      <c r="W76" s="22"/>
      <c r="X76" s="22"/>
      <c r="Y76" s="22"/>
      <c r="Z76" s="22"/>
      <c r="AA76" s="22"/>
      <c r="AB76" s="22"/>
      <c r="AC76" s="22"/>
      <c r="AD76" s="22"/>
    </row>
    <row r="77" ht="12.7" customHeight="1">
      <c r="A77" t="s" s="18">
        <v>283</v>
      </c>
      <c r="B77" s="19">
        <v>500003</v>
      </c>
      <c r="C77" t="s" s="20">
        <v>284</v>
      </c>
      <c r="D77" t="s" s="21">
        <v>25</v>
      </c>
      <c r="E77" t="s" s="21">
        <f>A77&amp;D77</f>
        <v>287</v>
      </c>
      <c r="F77" s="57"/>
      <c r="G77" s="58"/>
      <c r="H77" s="58"/>
      <c r="I77" s="58"/>
      <c r="J77" s="58"/>
      <c r="K77" s="58"/>
      <c r="L77" s="58"/>
      <c r="M77" s="59"/>
      <c r="N77" s="22">
        <f>10*580</f>
        <v>5800</v>
      </c>
      <c r="O77" s="22">
        <f t="shared" si="402" ref="O77:P77">10*1200</f>
        <v>12000</v>
      </c>
      <c r="P77" s="22">
        <f t="shared" si="402"/>
        <v>12000</v>
      </c>
      <c r="Q77" s="22">
        <f>10*2000</f>
        <v>20000</v>
      </c>
      <c r="R77" s="22">
        <f>10*3300</f>
        <v>33000</v>
      </c>
      <c r="S77" s="24">
        <v>0</v>
      </c>
      <c r="T77" s="24"/>
      <c r="U77" s="24"/>
      <c r="V77" s="24"/>
      <c r="W77" s="24"/>
      <c r="X77" s="24"/>
      <c r="Y77" s="24"/>
      <c r="Z77" s="24"/>
      <c r="AA77" s="24"/>
      <c r="AB77" s="24"/>
      <c r="AC77" s="24"/>
      <c r="AD77" s="24"/>
    </row>
    <row r="78" ht="12.7" customHeight="1">
      <c r="A78" t="s" s="18">
        <v>283</v>
      </c>
      <c r="B78" s="19">
        <v>500003</v>
      </c>
      <c r="C78" t="s" s="20">
        <v>284</v>
      </c>
      <c r="D78" t="s" s="21">
        <v>27</v>
      </c>
      <c r="E78" t="s" s="21">
        <f>A78&amp;D78</f>
        <v>288</v>
      </c>
      <c r="F78" s="60"/>
      <c r="G78" s="61"/>
      <c r="H78" s="61"/>
      <c r="I78" s="32"/>
      <c r="J78" s="32"/>
      <c r="K78" s="32"/>
      <c r="L78" s="32"/>
      <c r="M78" s="33"/>
      <c r="N78" s="22">
        <f>N77</f>
        <v>5800</v>
      </c>
      <c r="O78" s="22">
        <f>O77</f>
        <v>12000</v>
      </c>
      <c r="P78" s="22">
        <f>P77</f>
        <v>12000</v>
      </c>
      <c r="Q78" s="22">
        <f>Q77</f>
        <v>20000</v>
      </c>
      <c r="R78" s="22">
        <f>R77</f>
        <v>33000</v>
      </c>
      <c r="S78" s="24"/>
      <c r="T78" s="24"/>
      <c r="U78" s="24"/>
      <c r="V78" s="24"/>
      <c r="W78" s="24"/>
      <c r="X78" s="24"/>
      <c r="Y78" s="24"/>
      <c r="Z78" s="24"/>
      <c r="AA78" s="24"/>
      <c r="AB78" s="24"/>
      <c r="AC78" s="24"/>
      <c r="AD78" s="24"/>
    </row>
    <row r="79" ht="12.7" customHeight="1">
      <c r="A79" t="s" s="18">
        <v>283</v>
      </c>
      <c r="B79" s="19">
        <v>500003</v>
      </c>
      <c r="C79" t="s" s="20">
        <v>284</v>
      </c>
      <c r="D79" t="s" s="21">
        <v>29</v>
      </c>
      <c r="E79" t="s" s="21">
        <f>A79&amp;D79</f>
        <v>289</v>
      </c>
      <c r="F79" s="60"/>
      <c r="G79" s="61"/>
      <c r="H79" s="62"/>
      <c r="I79" s="22">
        <f>H80+I78-(I75-I76)-I83</f>
        <v>294</v>
      </c>
      <c r="J79" s="22">
        <f>IF((I79+J78-(J75-J76)-J83)&lt;0,0,(I79+J78-(J75-J76)-J83))</f>
        <v>294</v>
      </c>
      <c r="K79" s="22">
        <f>IF((J79+K78-(K75-K76)-K83)&lt;0,0,(J79+K78-(K75-K76)-K83))</f>
        <v>294</v>
      </c>
      <c r="L79" s="22">
        <f>IF((K79+L78-(L75-L76)-L83)&lt;0,0,(K79+L78-(L75-L76)-L83))</f>
        <v>294</v>
      </c>
      <c r="M79" s="22">
        <f>IF((L79+M78-(M75-M76)-M83)&lt;0,0,(L79+M78-(M75-M76)-M83))</f>
        <v>294</v>
      </c>
      <c r="N79" s="22">
        <f>IF((M79+N78-(N75-N76)-N83)&lt;0,0,(M79+N78-(N75-N76)-N83))</f>
        <v>3094</v>
      </c>
      <c r="O79" s="22">
        <f>IF((N79+O78-(O75-O76)-O83)&lt;0,0,(N79+O78-(O75-O76)-O83))</f>
        <v>6860.32</v>
      </c>
      <c r="P79" s="22">
        <f>IF((O79+P78-(P75-P76)-P83)&lt;0,0,(O79+P78-(P75-P76)-P83))</f>
        <v>14378.08</v>
      </c>
      <c r="Q79" s="22">
        <f>IF((P79+Q78-(Q75-Q76)-Q83)&lt;0,0,(P79+Q78-(Q75-Q76)-Q83))</f>
        <v>20483.6</v>
      </c>
      <c r="R79" s="22">
        <f>IF((Q79+R78-(R75-R76)-R83)&lt;0,0,(Q79+R78-(R75-R76)-R83))</f>
        <v>21800.52</v>
      </c>
      <c r="S79" s="22"/>
      <c r="T79" s="22"/>
      <c r="U79" s="22"/>
      <c r="V79" s="22"/>
      <c r="W79" s="22"/>
      <c r="X79" s="22"/>
      <c r="Y79" s="22"/>
      <c r="Z79" s="22"/>
      <c r="AA79" s="22"/>
      <c r="AB79" s="22"/>
      <c r="AC79" s="22"/>
      <c r="AD79" s="22"/>
    </row>
    <row r="80" ht="12.7" customHeight="1">
      <c r="A80" t="s" s="18">
        <v>283</v>
      </c>
      <c r="B80" s="19">
        <v>500003</v>
      </c>
      <c r="C80" t="s" s="20">
        <v>284</v>
      </c>
      <c r="D80" t="s" s="21">
        <v>31</v>
      </c>
      <c r="E80" t="s" s="21">
        <f>A80&amp;D80</f>
        <v>290</v>
      </c>
      <c r="F80" s="31"/>
      <c r="G80" s="87"/>
      <c r="H80" s="33"/>
      <c r="I80" s="22">
        <v>0</v>
      </c>
      <c r="J80" s="48"/>
      <c r="K80" s="48"/>
      <c r="L80" s="48"/>
      <c r="M80" s="48"/>
      <c r="N80" s="48"/>
      <c r="O80" s="48"/>
      <c r="P80" s="48"/>
      <c r="Q80" s="48"/>
      <c r="R80" s="48"/>
      <c r="S80" s="22"/>
      <c r="T80" s="22"/>
      <c r="U80" s="22"/>
      <c r="V80" s="22"/>
      <c r="W80" s="22"/>
      <c r="X80" s="22"/>
      <c r="Y80" s="22"/>
      <c r="Z80" s="22"/>
      <c r="AA80" s="22"/>
      <c r="AB80" s="22"/>
      <c r="AC80" s="22"/>
      <c r="AD80" s="22"/>
    </row>
    <row r="81" ht="12.7" customHeight="1">
      <c r="A81" t="s" s="18">
        <v>283</v>
      </c>
      <c r="B81" s="19">
        <v>500003</v>
      </c>
      <c r="C81" t="s" s="20">
        <v>284</v>
      </c>
      <c r="D81" t="s" s="21">
        <v>33</v>
      </c>
      <c r="E81" t="s" s="21">
        <f>A81&amp;D81</f>
        <v>291</v>
      </c>
      <c r="F81" s="22">
        <v>0</v>
      </c>
      <c r="G81" s="22">
        <v>0</v>
      </c>
      <c r="H81" s="22">
        <v>0</v>
      </c>
      <c r="I81" s="22">
        <v>0</v>
      </c>
      <c r="J81" s="22">
        <f>IF((I79+J78-(J75-J76)-J83)&gt;0,0,(I79+J78-(J75-J76)-J83))</f>
        <v>0</v>
      </c>
      <c r="K81" s="22">
        <f>IF((J79+K78-(K75-K76)-K83)&gt;0,0,(J79+K78-(K75-K76)-K83))</f>
        <v>0</v>
      </c>
      <c r="L81" s="22">
        <f>IF((K79+L78-(L75-L76)-L83)&gt;0,0,(K79+L78-(L75-L76)-L83))</f>
        <v>0</v>
      </c>
      <c r="M81" s="22">
        <f>IF((L79+M78-(M75-M76)-M83)&gt;0,0,(L79+M78-(M75-M76)-M83))</f>
        <v>0</v>
      </c>
      <c r="N81" s="22">
        <f>IF((M79+N78-(N75-N76)-N83)&gt;0,0,(M79+N78-(N75-N76)-N83))</f>
        <v>0</v>
      </c>
      <c r="O81" s="22">
        <f>IF((N79+O78-(O75-O76)-O83)&gt;0,0,(N79+O78-(O75-O76)-O83))</f>
        <v>0</v>
      </c>
      <c r="P81" s="22">
        <f>IF((O79+P78-(P75-P76)-P83)&gt;0,0,(O79+P78-(P75-P76)-P83))</f>
        <v>0</v>
      </c>
      <c r="Q81" s="22">
        <f>IF((P79+Q78-(Q75-Q76)-Q83)&gt;0,0,(P79+Q78-(Q75-Q76)-Q83))</f>
        <v>0</v>
      </c>
      <c r="R81" s="22">
        <f>IF((Q79+R78-(R75-R76)-R83)&gt;0,0,(Q79+R78-(R75-R76)-R83))</f>
        <v>0</v>
      </c>
      <c r="S81" s="24">
        <f>IF((R79+S78-(S75-S76)-S83)&gt;0,0,(R79+S78-(S75-S76)-S83))</f>
        <v>-9882.559999999998</v>
      </c>
      <c r="T81" s="24"/>
      <c r="U81" s="24"/>
      <c r="V81" s="24"/>
      <c r="W81" s="24"/>
      <c r="X81" s="24"/>
      <c r="Y81" s="24"/>
      <c r="Z81" s="24"/>
      <c r="AA81" s="24"/>
      <c r="AB81" s="24"/>
      <c r="AC81" s="24"/>
      <c r="AD81" s="24"/>
    </row>
    <row r="82" ht="12.7" customHeight="1">
      <c r="A82" t="s" s="18">
        <v>283</v>
      </c>
      <c r="B82" s="19">
        <v>500003</v>
      </c>
      <c r="C82" t="s" s="20">
        <v>284</v>
      </c>
      <c r="D82" t="s" s="21">
        <v>35</v>
      </c>
      <c r="E82" t="s" s="21">
        <f>A82&amp;D82</f>
        <v>292</v>
      </c>
      <c r="F82" s="46"/>
      <c r="G82" s="49"/>
      <c r="H82" s="47"/>
      <c r="I82" s="22">
        <v>0</v>
      </c>
      <c r="J82" s="22">
        <v>0</v>
      </c>
      <c r="K82" s="22">
        <v>0</v>
      </c>
      <c r="L82" s="22">
        <v>0</v>
      </c>
      <c r="M82" s="22">
        <v>0</v>
      </c>
      <c r="N82" s="46"/>
      <c r="O82" s="58"/>
      <c r="P82" s="58"/>
      <c r="Q82" s="58"/>
      <c r="R82" s="59"/>
      <c r="S82" s="24"/>
      <c r="T82" s="24"/>
      <c r="U82" s="24"/>
      <c r="V82" s="24"/>
      <c r="W82" s="24"/>
      <c r="X82" s="24"/>
      <c r="Y82" s="24"/>
      <c r="Z82" s="24"/>
      <c r="AA82" s="24"/>
      <c r="AB82" s="24"/>
      <c r="AC82" s="24"/>
      <c r="AD82" s="24"/>
    </row>
    <row r="83" ht="12.7" customHeight="1">
      <c r="A83" t="s" s="18">
        <v>283</v>
      </c>
      <c r="B83" s="19">
        <v>500003</v>
      </c>
      <c r="C83" t="s" s="20">
        <v>284</v>
      </c>
      <c r="D83" t="s" s="21">
        <v>37</v>
      </c>
      <c r="E83" t="s" s="21">
        <f>A83&amp;D83</f>
        <v>293</v>
      </c>
      <c r="F83" s="22">
        <v>0</v>
      </c>
      <c r="G83" s="22">
        <v>0</v>
      </c>
      <c r="H83" s="30">
        <v>0</v>
      </c>
      <c r="I83" s="22">
        <f>IF(I82&gt;0,IF(I82-(I75-I76)&gt;0,(I82-(I75-I76)),0),0)</f>
        <v>0</v>
      </c>
      <c r="J83" s="22">
        <f>IF(J82&gt;0,IF(J82-(J75-J76)&gt;0,(J82-(J75-J76)),0),0)</f>
        <v>0</v>
      </c>
      <c r="K83" s="22">
        <f>IF(K82&gt;0,IF(K82-(K75-K76)&gt;0,(K82-(K75-K76)),0),0)</f>
        <v>0</v>
      </c>
      <c r="L83" s="22">
        <f>IF(L82&gt;0,IF(L82-(L75-L76)&gt;0,(L82-(L75-L76)),0),0)</f>
        <v>0</v>
      </c>
      <c r="M83" s="22">
        <v>0</v>
      </c>
      <c r="N83" s="22">
        <v>0</v>
      </c>
      <c r="O83" s="31"/>
      <c r="P83" s="32"/>
      <c r="Q83" s="32"/>
      <c r="R83" s="33"/>
      <c r="S83" s="24"/>
      <c r="T83" s="24"/>
      <c r="U83" s="24"/>
      <c r="V83" s="24"/>
      <c r="W83" s="24"/>
      <c r="X83" s="24"/>
      <c r="Y83" s="24"/>
      <c r="Z83" s="24"/>
      <c r="AA83" s="24"/>
      <c r="AB83" s="24"/>
      <c r="AC83" s="24"/>
      <c r="AD83" s="24"/>
    </row>
    <row r="84" ht="12.7" customHeight="1">
      <c r="A84" t="s" s="34">
        <v>283</v>
      </c>
      <c r="B84" s="35">
        <v>500003</v>
      </c>
      <c r="C84" t="s" s="36">
        <v>284</v>
      </c>
      <c r="D84" t="s" s="37">
        <v>39</v>
      </c>
      <c r="E84" t="s" s="37">
        <f>A84&amp;D84</f>
        <v>294</v>
      </c>
      <c r="F84" s="38">
        <f>IFERROR(F80/AVERAGE(G75:H75)*30,0)</f>
        <v>0</v>
      </c>
      <c r="G84" s="38">
        <f>IFERROR(G80/AVERAGE(H75:I75)*30,0)</f>
        <v>0</v>
      </c>
      <c r="H84" s="38">
        <f>IFERROR(H79/AVERAGE(I75:J75)*30,0)</f>
        <v>0</v>
      </c>
      <c r="I84" s="38">
        <f>IFERROR(I79/AVERAGE(J75:K75)*30,0)</f>
        <v>0</v>
      </c>
      <c r="J84" s="38">
        <f>IFERROR(J79/AVERAGE(K75:L75)*30,0)</f>
        <v>0</v>
      </c>
      <c r="K84" s="38">
        <f>IFERROR(K79/AVERAGE(L75:M75)*30,0)</f>
        <v>0</v>
      </c>
      <c r="L84" s="38">
        <f>IFERROR(L79/AVERAGE(M75:N75)*30,0)</f>
        <v>5.88</v>
      </c>
      <c r="M84" s="38">
        <f>IFERROR(M79/AVERAGE(N75:O75)*30,0)</f>
        <v>1.570277949879291</v>
      </c>
      <c r="N84" s="38">
        <f>IFERROR(N79/AVERAGE(O75:P75)*30,0)</f>
        <v>14.5990223279165</v>
      </c>
      <c r="O84" s="38">
        <f>IFERROR(O79/AVERAGE(P75:Q75)*30,0)</f>
        <v>22.3989482345054</v>
      </c>
      <c r="P84" s="38">
        <f>IFERROR(P79/AVERAGE(Q75:R75)*30,0)</f>
        <v>18.92784080587026</v>
      </c>
      <c r="Q84" s="38">
        <f>IFERROR(Q79/AVERAGE(R75:S75)*30,0)</f>
        <v>19.3954628148526</v>
      </c>
      <c r="R84" s="38">
        <f>IFERROR(R79/AVERAGE(S75:T75)*30,0)</f>
        <v>20.64242491575946</v>
      </c>
      <c r="S84" s="38">
        <f>IFERROR(S79/AVERAGE(T75:U75)*30,0)</f>
        <v>0</v>
      </c>
      <c r="T84" s="38"/>
      <c r="U84" s="38"/>
      <c r="V84" s="38"/>
      <c r="W84" s="38"/>
      <c r="X84" s="38"/>
      <c r="Y84" s="38"/>
      <c r="Z84" s="38"/>
      <c r="AA84" s="38"/>
      <c r="AB84" s="38"/>
      <c r="AC84" s="38"/>
      <c r="AD84" s="38"/>
    </row>
    <row r="85" ht="12" customHeight="1">
      <c r="A85" s="39"/>
      <c r="B85" s="40"/>
      <c r="C85" s="40"/>
      <c r="D85" s="40"/>
      <c r="E85" s="40"/>
      <c r="F85" s="40"/>
      <c r="G85" t="s" s="90">
        <v>2</v>
      </c>
      <c r="H85" s="91"/>
      <c r="I85" s="91"/>
      <c r="J85" s="91"/>
      <c r="K85" s="91"/>
      <c r="L85" s="91"/>
      <c r="M85" s="91"/>
      <c r="N85" s="91"/>
      <c r="O85" s="91"/>
      <c r="P85" s="91"/>
      <c r="Q85" s="91"/>
      <c r="R85" s="91"/>
      <c r="S85" t="s" s="90">
        <v>3</v>
      </c>
      <c r="T85" s="91"/>
      <c r="U85" s="91"/>
      <c r="V85" s="91"/>
      <c r="W85" s="91"/>
      <c r="X85" s="91"/>
      <c r="Y85" s="91"/>
      <c r="Z85" s="91"/>
      <c r="AA85" s="91"/>
      <c r="AB85" s="91"/>
      <c r="AC85" s="91"/>
      <c r="AD85" s="92"/>
    </row>
    <row r="86" ht="13.5" customHeight="1">
      <c r="A86" t="s" s="8">
        <v>4</v>
      </c>
      <c r="B86" t="s" s="9">
        <v>5</v>
      </c>
      <c r="C86" t="s" s="9">
        <v>6</v>
      </c>
      <c r="D86" t="s" s="9">
        <v>7</v>
      </c>
      <c r="E86" s="10"/>
      <c r="F86" t="s" s="9">
        <v>18</v>
      </c>
      <c r="G86" t="s" s="9">
        <v>8</v>
      </c>
      <c r="H86" t="s" s="9">
        <v>9</v>
      </c>
      <c r="I86" t="s" s="9">
        <v>10</v>
      </c>
      <c r="J86" t="s" s="9">
        <v>11</v>
      </c>
      <c r="K86" t="s" s="9">
        <v>1</v>
      </c>
      <c r="L86" t="s" s="9">
        <v>12</v>
      </c>
      <c r="M86" t="s" s="9">
        <v>13</v>
      </c>
      <c r="N86" t="s" s="9">
        <v>14</v>
      </c>
      <c r="O86" t="s" s="9">
        <v>15</v>
      </c>
      <c r="P86" t="s" s="9">
        <v>16</v>
      </c>
      <c r="Q86" t="s" s="9">
        <v>17</v>
      </c>
      <c r="R86" t="s" s="9">
        <v>18</v>
      </c>
      <c r="S86" t="s" s="9">
        <v>8</v>
      </c>
      <c r="T86" t="s" s="9">
        <v>9</v>
      </c>
      <c r="U86" t="s" s="9">
        <v>10</v>
      </c>
      <c r="V86" t="s" s="9">
        <v>11</v>
      </c>
      <c r="W86" t="s" s="9">
        <v>1</v>
      </c>
      <c r="X86" t="s" s="9">
        <v>12</v>
      </c>
      <c r="Y86" t="s" s="9">
        <v>13</v>
      </c>
      <c r="Z86" t="s" s="9">
        <v>14</v>
      </c>
      <c r="AA86" t="s" s="9">
        <v>15</v>
      </c>
      <c r="AB86" t="s" s="9">
        <v>16</v>
      </c>
      <c r="AC86" t="s" s="9">
        <v>17</v>
      </c>
      <c r="AD86" t="s" s="11">
        <v>18</v>
      </c>
    </row>
    <row r="87" ht="12.7" customHeight="1">
      <c r="A87" t="s" s="12">
        <v>295</v>
      </c>
      <c r="B87" s="13">
        <v>500025</v>
      </c>
      <c r="C87" t="s" s="14">
        <v>296</v>
      </c>
      <c r="D87" t="s" s="15">
        <v>21</v>
      </c>
      <c r="E87" t="s" s="15">
        <f>A87&amp;D87</f>
        <v>297</v>
      </c>
      <c r="F87" s="93"/>
      <c r="G87" s="83"/>
      <c r="H87" s="84"/>
      <c r="I87" s="85"/>
      <c r="J87" s="17">
        <v>0</v>
      </c>
      <c r="K87" s="17">
        <v>0</v>
      </c>
      <c r="L87" s="17">
        <v>0</v>
      </c>
      <c r="M87" s="17">
        <v>0</v>
      </c>
      <c r="N87" s="17">
        <v>8000</v>
      </c>
      <c r="O87" s="17">
        <v>15256.32</v>
      </c>
      <c r="P87" s="17">
        <v>14611.534</v>
      </c>
      <c r="Q87" s="17">
        <v>53012.232</v>
      </c>
      <c r="R87" s="17">
        <v>85391.196</v>
      </c>
      <c r="S87" s="17">
        <v>87099.019919999992</v>
      </c>
      <c r="T87" s="17"/>
      <c r="U87" s="17"/>
      <c r="V87" s="17"/>
      <c r="W87" s="17"/>
      <c r="X87" s="17"/>
      <c r="Y87" s="17"/>
      <c r="Z87" s="17"/>
      <c r="AA87" s="17"/>
      <c r="AB87" s="17"/>
      <c r="AC87" s="17"/>
      <c r="AD87" s="17"/>
    </row>
    <row r="88" ht="12.7" customHeight="1">
      <c r="A88" t="s" s="18">
        <v>295</v>
      </c>
      <c r="B88" s="19">
        <v>500025</v>
      </c>
      <c r="C88" t="s" s="20">
        <v>296</v>
      </c>
      <c r="D88" t="s" s="21">
        <v>23</v>
      </c>
      <c r="E88" t="s" s="21">
        <f>A88&amp;D88</f>
        <v>298</v>
      </c>
      <c r="F88" s="22">
        <v>66921</v>
      </c>
      <c r="G88" s="22">
        <v>51549</v>
      </c>
      <c r="H88" s="22">
        <v>1918</v>
      </c>
      <c r="I88" s="22">
        <v>0</v>
      </c>
      <c r="J88" s="86">
        <f>INDEX('Sales Actual'!$H$5:$H$66,MATCH($A88,'Sales Actual'!$G$5:$G$66,0))</f>
        <v>0</v>
      </c>
      <c r="K88" s="86">
        <f>INDEX('Sales Actual'!$J$5:$J$66,MATCH($A88,'Sales Actual'!$I$5:$I$66,0))</f>
        <v>0</v>
      </c>
      <c r="L88" s="86">
        <f>INDEX('Sales Actual'!$L$5:$L$66,MATCH($A88,'Sales Actual'!$K$5:$K$66,0))</f>
        <v>0</v>
      </c>
      <c r="M88" s="86">
        <f>INDEX('Sales Actual'!$N$4:$N$65,MATCH($A88,'Sales Actual'!$M$4:$M$65,0))</f>
        <v>0</v>
      </c>
      <c r="N88" s="86">
        <f>INDEX('Sales Actual'!$P$4:$P$64,MATCH($A88,'Sales Actual'!$O$4:$O$65,0))</f>
        <v>0</v>
      </c>
      <c r="O88" s="86">
        <f>INDEX('Sales Actual'!$R$4:$R$65,MATCH($A88,'Sales Actual'!$Q$4:$Q$65,0))</f>
        <v>0</v>
      </c>
      <c r="P88" s="86">
        <f>INDEX('Sales Actual'!$T$4:$T$66,MATCH($A88,'Sales Actual'!$S$4:$S$66,0))</f>
        <v>0</v>
      </c>
      <c r="Q88" s="86">
        <f>INDEX('Sales Actual'!$V$4:$V$65,MATCH($A88,'Sales Actual'!$U$4:$U$65,0))</f>
        <v>0</v>
      </c>
      <c r="R88" s="86">
        <f>INDEX('Sales Actual'!$X$4:$X$65,MATCH($A88,'Sales Actual'!$W$4:$W$65,0))</f>
        <v>0</v>
      </c>
      <c r="S88" s="22"/>
      <c r="T88" s="22"/>
      <c r="U88" s="22"/>
      <c r="V88" s="22"/>
      <c r="W88" s="22"/>
      <c r="X88" s="22"/>
      <c r="Y88" s="22"/>
      <c r="Z88" s="22"/>
      <c r="AA88" s="22"/>
      <c r="AB88" s="22"/>
      <c r="AC88" s="22"/>
      <c r="AD88" s="22"/>
    </row>
    <row r="89" ht="12.7" customHeight="1">
      <c r="A89" t="s" s="18">
        <v>295</v>
      </c>
      <c r="B89" s="19">
        <v>500025</v>
      </c>
      <c r="C89" t="s" s="20">
        <v>296</v>
      </c>
      <c r="D89" t="s" s="21">
        <v>25</v>
      </c>
      <c r="E89" t="s" s="21">
        <f>A89&amp;D89</f>
        <v>299</v>
      </c>
      <c r="F89" s="57"/>
      <c r="G89" s="58"/>
      <c r="H89" s="58"/>
      <c r="I89" s="58"/>
      <c r="J89" s="58"/>
      <c r="K89" s="58"/>
      <c r="L89" s="58"/>
      <c r="M89" s="59"/>
      <c r="N89" s="22">
        <f>10*1600</f>
        <v>16000</v>
      </c>
      <c r="O89" s="22">
        <f>10*3000</f>
        <v>30000</v>
      </c>
      <c r="P89" s="22">
        <f>10*3550</f>
        <v>35500</v>
      </c>
      <c r="Q89" s="22">
        <f>10*6000</f>
        <v>60000</v>
      </c>
      <c r="R89" s="22">
        <f>10*9000</f>
        <v>90000</v>
      </c>
      <c r="S89" s="24">
        <v>0</v>
      </c>
      <c r="T89" s="24"/>
      <c r="U89" s="24"/>
      <c r="V89" s="24"/>
      <c r="W89" s="24"/>
      <c r="X89" s="24"/>
      <c r="Y89" s="24"/>
      <c r="Z89" s="24"/>
      <c r="AA89" s="24"/>
      <c r="AB89" s="24"/>
      <c r="AC89" s="24"/>
      <c r="AD89" s="24"/>
    </row>
    <row r="90" ht="12.7" customHeight="1">
      <c r="A90" t="s" s="18">
        <v>295</v>
      </c>
      <c r="B90" s="19">
        <v>500025</v>
      </c>
      <c r="C90" t="s" s="20">
        <v>296</v>
      </c>
      <c r="D90" t="s" s="21">
        <v>27</v>
      </c>
      <c r="E90" t="s" s="21">
        <f>A90&amp;D90</f>
        <v>300</v>
      </c>
      <c r="F90" s="60"/>
      <c r="G90" s="61"/>
      <c r="H90" s="61"/>
      <c r="I90" s="32"/>
      <c r="J90" s="32"/>
      <c r="K90" s="32"/>
      <c r="L90" s="32"/>
      <c r="M90" s="33"/>
      <c r="N90" s="22">
        <f>N89</f>
        <v>16000</v>
      </c>
      <c r="O90" s="22">
        <f>O89</f>
        <v>30000</v>
      </c>
      <c r="P90" s="22">
        <f>P89</f>
        <v>35500</v>
      </c>
      <c r="Q90" s="22">
        <f>Q89</f>
        <v>60000</v>
      </c>
      <c r="R90" s="22">
        <f>R89</f>
        <v>90000</v>
      </c>
      <c r="S90" s="24"/>
      <c r="T90" s="24"/>
      <c r="U90" s="24"/>
      <c r="V90" s="24"/>
      <c r="W90" s="24"/>
      <c r="X90" s="24"/>
      <c r="Y90" s="24"/>
      <c r="Z90" s="24"/>
      <c r="AA90" s="24"/>
      <c r="AB90" s="24"/>
      <c r="AC90" s="24"/>
      <c r="AD90" s="24"/>
    </row>
    <row r="91" ht="12.7" customHeight="1">
      <c r="A91" t="s" s="18">
        <v>295</v>
      </c>
      <c r="B91" s="19">
        <v>500025</v>
      </c>
      <c r="C91" t="s" s="20">
        <v>296</v>
      </c>
      <c r="D91" t="s" s="21">
        <v>29</v>
      </c>
      <c r="E91" t="s" s="21">
        <f>A91&amp;D91</f>
        <v>301</v>
      </c>
      <c r="F91" s="60"/>
      <c r="G91" s="61"/>
      <c r="H91" s="62"/>
      <c r="I91" s="22">
        <f>H92+I90-(I87-I88)-I95</f>
        <v>0</v>
      </c>
      <c r="J91" s="22">
        <f>IF((I91+J90-(J87-J88)-J95)&lt;0,0,(I91+J90-(J87-J88)-J95))</f>
        <v>0</v>
      </c>
      <c r="K91" s="22">
        <f>IF((J91+K90-(K87-K88)-K95)&lt;0,0,(J91+K90-(K87-K88)-K95))</f>
        <v>0</v>
      </c>
      <c r="L91" s="22">
        <f>IF((K91+L90-(L87-L88)-L95)&lt;0,0,(K91+L90-(L87-L88)-L95))</f>
        <v>0</v>
      </c>
      <c r="M91" s="22">
        <f>IF((L91+M90-(M87-M88)-M95)&lt;0,0,(L91+M90-(M87-M88)-M95))</f>
        <v>0</v>
      </c>
      <c r="N91" s="22">
        <f>IF((M91+N90-(N87-N88)-N95)&lt;0,0,(M91+N90-(N87-N88)-N95))</f>
        <v>8000</v>
      </c>
      <c r="O91" s="22">
        <f>IF((N91+O90-(O87-O88)-O95)&lt;0,0,(N91+O90-(O87-O88)-O95))</f>
        <v>22743.68</v>
      </c>
      <c r="P91" s="22">
        <f>IF((O91+P90-(P87-P88)-P95)&lt;0,0,(O91+P90-(P87-P88)-P95))</f>
        <v>43632.146</v>
      </c>
      <c r="Q91" s="22">
        <f>IF((P91+Q90-(Q87-Q88)-Q95)&lt;0,0,(P91+Q90-(Q87-Q88)-Q95))</f>
        <v>50619.914</v>
      </c>
      <c r="R91" s="22">
        <f>IF((Q91+R90-(R87-R88)-R95)&lt;0,0,(Q91+R90-(R87-R88)-R95))</f>
        <v>55228.717999999993</v>
      </c>
      <c r="S91" s="22"/>
      <c r="T91" s="22"/>
      <c r="U91" s="22"/>
      <c r="V91" s="22"/>
      <c r="W91" s="22"/>
      <c r="X91" s="22"/>
      <c r="Y91" s="22"/>
      <c r="Z91" s="22"/>
      <c r="AA91" s="22"/>
      <c r="AB91" s="22"/>
      <c r="AC91" s="22"/>
      <c r="AD91" s="22"/>
    </row>
    <row r="92" ht="12.7" customHeight="1">
      <c r="A92" t="s" s="18">
        <v>295</v>
      </c>
      <c r="B92" s="19">
        <v>500025</v>
      </c>
      <c r="C92" t="s" s="20">
        <v>296</v>
      </c>
      <c r="D92" t="s" s="21">
        <v>31</v>
      </c>
      <c r="E92" t="s" s="21">
        <f>A92&amp;D92</f>
        <v>302</v>
      </c>
      <c r="F92" s="31"/>
      <c r="G92" s="87"/>
      <c r="H92" s="33"/>
      <c r="I92" s="22">
        <v>0</v>
      </c>
      <c r="J92" s="48"/>
      <c r="K92" s="48"/>
      <c r="L92" s="48"/>
      <c r="M92" s="48"/>
      <c r="N92" s="48"/>
      <c r="O92" s="48"/>
      <c r="P92" s="48"/>
      <c r="Q92" s="48"/>
      <c r="R92" s="48"/>
      <c r="S92" s="22"/>
      <c r="T92" s="22"/>
      <c r="U92" s="22"/>
      <c r="V92" s="22"/>
      <c r="W92" s="22"/>
      <c r="X92" s="22"/>
      <c r="Y92" s="22"/>
      <c r="Z92" s="22"/>
      <c r="AA92" s="22"/>
      <c r="AB92" s="22"/>
      <c r="AC92" s="22"/>
      <c r="AD92" s="22"/>
    </row>
    <row r="93" ht="12.7" customHeight="1">
      <c r="A93" t="s" s="18">
        <v>295</v>
      </c>
      <c r="B93" s="19">
        <v>500025</v>
      </c>
      <c r="C93" t="s" s="20">
        <v>296</v>
      </c>
      <c r="D93" t="s" s="21">
        <v>33</v>
      </c>
      <c r="E93" t="s" s="21">
        <f>A93&amp;D93</f>
        <v>303</v>
      </c>
      <c r="F93" s="22">
        <v>0</v>
      </c>
      <c r="G93" s="22">
        <v>0</v>
      </c>
      <c r="H93" s="22">
        <v>0</v>
      </c>
      <c r="I93" s="22">
        <v>0</v>
      </c>
      <c r="J93" s="22">
        <f>IF((I91+J90-(J87-J88)-J95)&gt;0,0,(I91+J90-(J87-J88)-J95))</f>
        <v>0</v>
      </c>
      <c r="K93" s="22">
        <f>IF((J91+K90-(K87-K88)-K95)&gt;0,0,(J91+K90-(K87-K88)-K95))</f>
        <v>0</v>
      </c>
      <c r="L93" s="22">
        <f>IF((K91+L90-(L87-L88)-L95)&gt;0,0,(K91+L90-(L87-L88)-L95))</f>
        <v>0</v>
      </c>
      <c r="M93" s="22">
        <f>IF((L91+M90-(M87-M88)-M95)&gt;0,0,(L91+M90-(M87-M88)-M95))</f>
        <v>0</v>
      </c>
      <c r="N93" s="22">
        <f>IF((M91+N90-(N87-N88)-N95)&gt;0,0,(M91+N90-(N87-N88)-N95))</f>
        <v>0</v>
      </c>
      <c r="O93" s="22">
        <f>IF((N91+O90-(O87-O88)-O95)&gt;0,0,(N91+O90-(O87-O88)-O95))</f>
        <v>0</v>
      </c>
      <c r="P93" s="22">
        <f>IF((O91+P90-(P87-P88)-P95)&gt;0,0,(O91+P90-(P87-P88)-P95))</f>
        <v>0</v>
      </c>
      <c r="Q93" s="22">
        <f>IF((P91+Q90-(Q87-Q88)-Q95)&gt;0,0,(P91+Q90-(Q87-Q88)-Q95))</f>
        <v>0</v>
      </c>
      <c r="R93" s="22">
        <f>IF((Q91+R90-(R87-R88)-R95)&gt;0,0,(Q91+R90-(R87-R88)-R95))</f>
        <v>0</v>
      </c>
      <c r="S93" s="24">
        <f>IF((R91+S90-(S87-S88)-S95)&gt;0,0,(R91+S90-(S87-S88)-S95))</f>
        <v>-31870.30192</v>
      </c>
      <c r="T93" s="24"/>
      <c r="U93" s="24"/>
      <c r="V93" s="24"/>
      <c r="W93" s="24"/>
      <c r="X93" s="24"/>
      <c r="Y93" s="24"/>
      <c r="Z93" s="24"/>
      <c r="AA93" s="24"/>
      <c r="AB93" s="24"/>
      <c r="AC93" s="24"/>
      <c r="AD93" s="24"/>
    </row>
    <row r="94" ht="12.7" customHeight="1">
      <c r="A94" t="s" s="18">
        <v>295</v>
      </c>
      <c r="B94" s="19">
        <v>500025</v>
      </c>
      <c r="C94" t="s" s="20">
        <v>296</v>
      </c>
      <c r="D94" t="s" s="21">
        <v>35</v>
      </c>
      <c r="E94" t="s" s="21">
        <f>A94&amp;D94</f>
        <v>304</v>
      </c>
      <c r="F94" s="46"/>
      <c r="G94" s="49"/>
      <c r="H94" s="47"/>
      <c r="I94" s="22">
        <v>0</v>
      </c>
      <c r="J94" s="22">
        <v>0</v>
      </c>
      <c r="K94" s="22">
        <v>0</v>
      </c>
      <c r="L94" s="22">
        <v>0</v>
      </c>
      <c r="M94" s="22">
        <v>0</v>
      </c>
      <c r="N94" s="46"/>
      <c r="O94" s="58"/>
      <c r="P94" s="58"/>
      <c r="Q94" s="58"/>
      <c r="R94" s="59"/>
      <c r="S94" s="24"/>
      <c r="T94" s="24"/>
      <c r="U94" s="24"/>
      <c r="V94" s="24"/>
      <c r="W94" s="24"/>
      <c r="X94" s="24"/>
      <c r="Y94" s="24"/>
      <c r="Z94" s="24"/>
      <c r="AA94" s="24"/>
      <c r="AB94" s="24"/>
      <c r="AC94" s="24"/>
      <c r="AD94" s="24"/>
    </row>
    <row r="95" ht="12.7" customHeight="1">
      <c r="A95" t="s" s="18">
        <v>295</v>
      </c>
      <c r="B95" s="19">
        <v>500025</v>
      </c>
      <c r="C95" t="s" s="20">
        <v>296</v>
      </c>
      <c r="D95" t="s" s="21">
        <v>37</v>
      </c>
      <c r="E95" t="s" s="21">
        <f>A95&amp;D95</f>
        <v>305</v>
      </c>
      <c r="F95" s="22">
        <v>0</v>
      </c>
      <c r="G95" s="22">
        <v>0</v>
      </c>
      <c r="H95" s="30">
        <v>0</v>
      </c>
      <c r="I95" s="22">
        <f>IF(I94&gt;0,IF(I94-(I87-I88)&gt;0,(I94-(I87-I88)),0),0)</f>
        <v>0</v>
      </c>
      <c r="J95" s="22">
        <f>IF(J94&gt;0,IF(J94-(J87-J88)&gt;0,(J94-(J87-J88)),0),0)</f>
        <v>0</v>
      </c>
      <c r="K95" s="22">
        <f>IF(K94&gt;0,IF(K94-(K87-K88)&gt;0,(K94-(K87-K88)),0),0)</f>
        <v>0</v>
      </c>
      <c r="L95" s="22">
        <f>IF(L94&gt;0,IF(L94-(L87-L88)&gt;0,(L94-(L87-L88)),0),0)</f>
        <v>0</v>
      </c>
      <c r="M95" s="22">
        <v>0</v>
      </c>
      <c r="N95" s="22">
        <v>0</v>
      </c>
      <c r="O95" s="31"/>
      <c r="P95" s="32"/>
      <c r="Q95" s="32"/>
      <c r="R95" s="33"/>
      <c r="S95" s="24"/>
      <c r="T95" s="24"/>
      <c r="U95" s="24"/>
      <c r="V95" s="24"/>
      <c r="W95" s="24"/>
      <c r="X95" s="24"/>
      <c r="Y95" s="24"/>
      <c r="Z95" s="24"/>
      <c r="AA95" s="24"/>
      <c r="AB95" s="24"/>
      <c r="AC95" s="24"/>
      <c r="AD95" s="24"/>
    </row>
    <row r="96" ht="12.7" customHeight="1">
      <c r="A96" t="s" s="34">
        <v>295</v>
      </c>
      <c r="B96" s="35">
        <v>500025</v>
      </c>
      <c r="C96" t="s" s="36">
        <v>296</v>
      </c>
      <c r="D96" t="s" s="37">
        <v>39</v>
      </c>
      <c r="E96" t="s" s="37">
        <f>A96&amp;D96</f>
        <v>306</v>
      </c>
      <c r="F96" s="38">
        <f>IFERROR(F92/AVERAGE(G87:H87)*30,0)</f>
        <v>0</v>
      </c>
      <c r="G96" s="38">
        <f>IFERROR(G92/AVERAGE(H87:I87)*30,0)</f>
        <v>0</v>
      </c>
      <c r="H96" s="38">
        <f>IFERROR(H91/AVERAGE(I87:J87)*30,0)</f>
        <v>0</v>
      </c>
      <c r="I96" s="38">
        <f>IFERROR(I91/AVERAGE(J87:K87)*30,0)</f>
        <v>0</v>
      </c>
      <c r="J96" s="38">
        <f>IFERROR(J91/AVERAGE(K87:L87)*30,0)</f>
        <v>0</v>
      </c>
      <c r="K96" s="38">
        <f>IFERROR(K91/AVERAGE(L87:M87)*30,0)</f>
        <v>0</v>
      </c>
      <c r="L96" s="38">
        <f>IFERROR(L91/AVERAGE(M87:N87)*30,0)</f>
        <v>0</v>
      </c>
      <c r="M96" s="38">
        <f>IFERROR(M91/AVERAGE(N87:O87)*30,0)</f>
        <v>0</v>
      </c>
      <c r="N96" s="38">
        <f>IFERROR(N91/AVERAGE(O87:P87)*30,0)</f>
        <v>16.07078968579397</v>
      </c>
      <c r="O96" s="38">
        <f>IFERROR(O91/AVERAGE(P87:Q87)*30,0)</f>
        <v>20.17960372097585</v>
      </c>
      <c r="P96" s="38">
        <f>IFERROR(P91/AVERAGE(Q87:R87)*30,0)</f>
        <v>18.9152017246278</v>
      </c>
      <c r="Q96" s="38">
        <f>IFERROR(Q91/AVERAGE(R87:S87)*30,0)</f>
        <v>17.6079253179707</v>
      </c>
      <c r="R96" s="38">
        <f>IFERROR(R91/AVERAGE(S87:T87)*30,0)</f>
        <v>19.02273460162719</v>
      </c>
      <c r="S96" s="38">
        <f>IFERROR(S91/AVERAGE(T87:U87)*30,0)</f>
        <v>0</v>
      </c>
      <c r="T96" s="38"/>
      <c r="U96" s="38"/>
      <c r="V96" s="38"/>
      <c r="W96" s="38"/>
      <c r="X96" s="38"/>
      <c r="Y96" s="38"/>
      <c r="Z96" s="38"/>
      <c r="AA96" s="38"/>
      <c r="AB96" s="38"/>
      <c r="AC96" s="38"/>
      <c r="AD96" s="38"/>
    </row>
    <row r="97" ht="12" customHeight="1">
      <c r="A97" s="39"/>
      <c r="B97" s="40"/>
      <c r="C97" s="40"/>
      <c r="D97" s="40"/>
      <c r="E97" s="40"/>
      <c r="F97" s="40"/>
      <c r="G97" t="s" s="90">
        <v>2</v>
      </c>
      <c r="H97" s="91"/>
      <c r="I97" s="91"/>
      <c r="J97" s="91"/>
      <c r="K97" s="91"/>
      <c r="L97" s="91"/>
      <c r="M97" s="91"/>
      <c r="N97" s="91"/>
      <c r="O97" s="91"/>
      <c r="P97" s="91"/>
      <c r="Q97" s="91"/>
      <c r="R97" s="91"/>
      <c r="S97" t="s" s="90">
        <v>3</v>
      </c>
      <c r="T97" s="91"/>
      <c r="U97" s="91"/>
      <c r="V97" s="91"/>
      <c r="W97" s="91"/>
      <c r="X97" s="91"/>
      <c r="Y97" s="91"/>
      <c r="Z97" s="91"/>
      <c r="AA97" s="91"/>
      <c r="AB97" s="91"/>
      <c r="AC97" s="91"/>
      <c r="AD97" s="92"/>
    </row>
    <row r="98" ht="13.5" customHeight="1">
      <c r="A98" t="s" s="8">
        <v>4</v>
      </c>
      <c r="B98" t="s" s="9">
        <v>5</v>
      </c>
      <c r="C98" t="s" s="9">
        <v>6</v>
      </c>
      <c r="D98" t="s" s="9">
        <v>7</v>
      </c>
      <c r="E98" s="10"/>
      <c r="F98" t="s" s="9">
        <v>18</v>
      </c>
      <c r="G98" t="s" s="9">
        <v>8</v>
      </c>
      <c r="H98" t="s" s="9">
        <v>9</v>
      </c>
      <c r="I98" t="s" s="9">
        <v>10</v>
      </c>
      <c r="J98" t="s" s="9">
        <v>11</v>
      </c>
      <c r="K98" t="s" s="9">
        <v>1</v>
      </c>
      <c r="L98" t="s" s="9">
        <v>12</v>
      </c>
      <c r="M98" t="s" s="9">
        <v>13</v>
      </c>
      <c r="N98" t="s" s="9">
        <v>14</v>
      </c>
      <c r="O98" t="s" s="9">
        <v>15</v>
      </c>
      <c r="P98" t="s" s="9">
        <v>16</v>
      </c>
      <c r="Q98" t="s" s="9">
        <v>17</v>
      </c>
      <c r="R98" t="s" s="9">
        <v>18</v>
      </c>
      <c r="S98" t="s" s="9">
        <v>8</v>
      </c>
      <c r="T98" t="s" s="9">
        <v>9</v>
      </c>
      <c r="U98" t="s" s="9">
        <v>10</v>
      </c>
      <c r="V98" t="s" s="9">
        <v>11</v>
      </c>
      <c r="W98" t="s" s="9">
        <v>1</v>
      </c>
      <c r="X98" t="s" s="9">
        <v>12</v>
      </c>
      <c r="Y98" t="s" s="9">
        <v>13</v>
      </c>
      <c r="Z98" t="s" s="9">
        <v>14</v>
      </c>
      <c r="AA98" t="s" s="9">
        <v>15</v>
      </c>
      <c r="AB98" t="s" s="9">
        <v>16</v>
      </c>
      <c r="AC98" t="s" s="9">
        <v>17</v>
      </c>
      <c r="AD98" t="s" s="11">
        <v>18</v>
      </c>
    </row>
    <row r="99" ht="12.7" customHeight="1">
      <c r="A99" t="s" s="12">
        <v>307</v>
      </c>
      <c r="B99" s="13">
        <v>500005</v>
      </c>
      <c r="C99" t="s" s="14">
        <v>308</v>
      </c>
      <c r="D99" t="s" s="15">
        <v>21</v>
      </c>
      <c r="E99" t="s" s="15">
        <f>A99&amp;D99</f>
        <v>309</v>
      </c>
      <c r="F99" s="93"/>
      <c r="G99" s="83"/>
      <c r="H99" s="84"/>
      <c r="I99" s="94"/>
      <c r="J99" s="17">
        <v>0</v>
      </c>
      <c r="K99" s="17">
        <v>0</v>
      </c>
      <c r="L99" s="17">
        <v>0</v>
      </c>
      <c r="M99" s="17">
        <v>0</v>
      </c>
      <c r="N99" s="17">
        <v>2000</v>
      </c>
      <c r="O99" s="17">
        <v>4926.636</v>
      </c>
      <c r="P99" s="17">
        <v>4718.532</v>
      </c>
      <c r="Q99" s="17">
        <v>13847.964</v>
      </c>
      <c r="R99" s="17">
        <v>22520.124</v>
      </c>
      <c r="S99" s="17">
        <v>22520.124</v>
      </c>
      <c r="T99" s="17"/>
      <c r="U99" s="17"/>
      <c r="V99" s="17"/>
      <c r="W99" s="17"/>
      <c r="X99" s="17"/>
      <c r="Y99" s="17"/>
      <c r="Z99" s="17"/>
      <c r="AA99" s="17"/>
      <c r="AB99" s="17"/>
      <c r="AC99" s="17"/>
      <c r="AD99" s="17"/>
    </row>
    <row r="100" ht="12.7" customHeight="1">
      <c r="A100" t="s" s="18">
        <v>307</v>
      </c>
      <c r="B100" s="19">
        <v>500005</v>
      </c>
      <c r="C100" t="s" s="20">
        <v>308</v>
      </c>
      <c r="D100" t="s" s="21">
        <v>23</v>
      </c>
      <c r="E100" t="s" s="21">
        <f>A100&amp;D100</f>
        <v>310</v>
      </c>
      <c r="F100" s="22">
        <v>17649</v>
      </c>
      <c r="G100" s="22">
        <v>6091</v>
      </c>
      <c r="H100" s="22">
        <v>72</v>
      </c>
      <c r="I100" s="95"/>
      <c r="J100" s="86">
        <f>INDEX('Sales Actual'!$H$5:$H$66,MATCH($A100,'Sales Actual'!$G$5:$G$66,0))</f>
        <v>0</v>
      </c>
      <c r="K100" s="86">
        <f>INDEX('Sales Actual'!$J$5:$J$66,MATCH($A100,'Sales Actual'!$I$5:$I$66,0))</f>
        <v>0</v>
      </c>
      <c r="L100" s="86">
        <f>INDEX('Sales Actual'!$L$5:$L$66,MATCH($A100,'Sales Actual'!$K$5:$K$66,0))</f>
        <v>0</v>
      </c>
      <c r="M100" s="86">
        <f>INDEX('Sales Actual'!$N$4:$N$65,MATCH($A100,'Sales Actual'!$M$4:$M$65,0))</f>
        <v>0</v>
      </c>
      <c r="N100" s="86">
        <f>INDEX('Sales Actual'!$P$4:$P$64,MATCH($A100,'Sales Actual'!$O$4:$O$65,0))</f>
        <v>0</v>
      </c>
      <c r="O100" s="86">
        <f>INDEX('Sales Actual'!$R$4:$R$65,MATCH($A100,'Sales Actual'!$Q$4:$Q$65,0))</f>
        <v>0</v>
      </c>
      <c r="P100" s="86">
        <f>INDEX('Sales Actual'!$T$4:$T$66,MATCH($A100,'Sales Actual'!$S$4:$S$66,0))</f>
        <v>0</v>
      </c>
      <c r="Q100" s="86">
        <f>INDEX('Sales Actual'!$V$4:$V$65,MATCH($A100,'Sales Actual'!$U$4:$U$65,0))</f>
        <v>0</v>
      </c>
      <c r="R100" s="86">
        <f>INDEX('Sales Actual'!$X$4:$X$65,MATCH($A100,'Sales Actual'!$W$4:$W$65,0))</f>
        <v>0</v>
      </c>
      <c r="S100" s="22"/>
      <c r="T100" s="22"/>
      <c r="U100" s="22"/>
      <c r="V100" s="22"/>
      <c r="W100" s="22"/>
      <c r="X100" s="22"/>
      <c r="Y100" s="22"/>
      <c r="Z100" s="22"/>
      <c r="AA100" s="22"/>
      <c r="AB100" s="22"/>
      <c r="AC100" s="22"/>
      <c r="AD100" s="22"/>
    </row>
    <row r="101" ht="12.7" customHeight="1">
      <c r="A101" t="s" s="18">
        <v>307</v>
      </c>
      <c r="B101" s="19">
        <v>500005</v>
      </c>
      <c r="C101" t="s" s="20">
        <v>308</v>
      </c>
      <c r="D101" t="s" s="21">
        <v>25</v>
      </c>
      <c r="E101" t="s" s="21">
        <f>A101&amp;D101</f>
        <v>311</v>
      </c>
      <c r="F101" s="57"/>
      <c r="G101" s="58"/>
      <c r="H101" s="58"/>
      <c r="I101" s="61"/>
      <c r="J101" s="58"/>
      <c r="K101" s="58"/>
      <c r="L101" s="58"/>
      <c r="M101" s="59"/>
      <c r="N101" s="22">
        <f>8*580</f>
        <v>4640</v>
      </c>
      <c r="O101" s="22">
        <f>8*1100</f>
        <v>8800</v>
      </c>
      <c r="P101" s="22">
        <f t="shared" si="537" ref="P101:R173">8*1200</f>
        <v>9600</v>
      </c>
      <c r="Q101" s="22">
        <f>8*2200</f>
        <v>17600</v>
      </c>
      <c r="R101" s="22">
        <f>8*2900</f>
        <v>23200</v>
      </c>
      <c r="S101" s="24">
        <v>0</v>
      </c>
      <c r="T101" s="24"/>
      <c r="U101" s="24"/>
      <c r="V101" s="24"/>
      <c r="W101" s="24"/>
      <c r="X101" s="24"/>
      <c r="Y101" s="24"/>
      <c r="Z101" s="24"/>
      <c r="AA101" s="24"/>
      <c r="AB101" s="24"/>
      <c r="AC101" s="24"/>
      <c r="AD101" s="24"/>
    </row>
    <row r="102" ht="12.7" customHeight="1">
      <c r="A102" t="s" s="18">
        <v>307</v>
      </c>
      <c r="B102" s="19">
        <v>500005</v>
      </c>
      <c r="C102" t="s" s="20">
        <v>308</v>
      </c>
      <c r="D102" t="s" s="21">
        <v>27</v>
      </c>
      <c r="E102" t="s" s="21">
        <f>A102&amp;D102</f>
        <v>312</v>
      </c>
      <c r="F102" s="60"/>
      <c r="G102" s="61"/>
      <c r="H102" s="61"/>
      <c r="I102" s="32"/>
      <c r="J102" s="32"/>
      <c r="K102" s="32"/>
      <c r="L102" s="32"/>
      <c r="M102" s="33"/>
      <c r="N102" s="22">
        <f>N101</f>
        <v>4640</v>
      </c>
      <c r="O102" s="22">
        <f>O101</f>
        <v>8800</v>
      </c>
      <c r="P102" s="22">
        <f>P101</f>
        <v>9600</v>
      </c>
      <c r="Q102" s="22">
        <f>Q101</f>
        <v>17600</v>
      </c>
      <c r="R102" s="22">
        <f>R101</f>
        <v>23200</v>
      </c>
      <c r="S102" s="24"/>
      <c r="T102" s="24"/>
      <c r="U102" s="24"/>
      <c r="V102" s="24"/>
      <c r="W102" s="24"/>
      <c r="X102" s="24"/>
      <c r="Y102" s="24"/>
      <c r="Z102" s="24"/>
      <c r="AA102" s="24"/>
      <c r="AB102" s="24"/>
      <c r="AC102" s="24"/>
      <c r="AD102" s="24"/>
    </row>
    <row r="103" ht="12.7" customHeight="1">
      <c r="A103" t="s" s="18">
        <v>307</v>
      </c>
      <c r="B103" s="19">
        <v>500005</v>
      </c>
      <c r="C103" t="s" s="20">
        <v>308</v>
      </c>
      <c r="D103" t="s" s="21">
        <v>29</v>
      </c>
      <c r="E103" t="s" s="21">
        <f>A103&amp;D103</f>
        <v>313</v>
      </c>
      <c r="F103" s="60"/>
      <c r="G103" s="61"/>
      <c r="H103" s="62"/>
      <c r="I103" s="22">
        <f>H104+I102-(I99-I100)-I107</f>
        <v>0</v>
      </c>
      <c r="J103" s="22">
        <f>IF((I103+J102-(J99-J100)-J107)&lt;0,0,(I103+J102-(J99-J100)-J107))</f>
        <v>0</v>
      </c>
      <c r="K103" s="22">
        <f>IF((J103+K102-(K99-K100)-K107)&lt;0,0,(J103+K102-(K99-K100)-K107))</f>
        <v>0</v>
      </c>
      <c r="L103" s="22">
        <f>IF((K103+L102-(L99-L100)-L107)&lt;0,0,(K103+L102-(L99-L100)-L107))</f>
        <v>0</v>
      </c>
      <c r="M103" s="22">
        <f>IF((L103+M102-(M99-M100)-M107)&lt;0,0,(L103+M102-(M99-M100)-M107))</f>
        <v>0</v>
      </c>
      <c r="N103" s="22">
        <f>IF((M103+N102-(N99-N100)-N107)&lt;0,0,(M103+N102-(N99-N100)-N107))</f>
        <v>2640</v>
      </c>
      <c r="O103" s="22">
        <f>IF((N103+O102-(O99-O100)-O107)&lt;0,0,(N103+O102-(O99-O100)-O107))</f>
        <v>6513.364</v>
      </c>
      <c r="P103" s="22">
        <f>IF((O103+P102-(P99-P100)-P107)&lt;0,0,(O103+P102-(P99-P100)-P107))</f>
        <v>11394.832</v>
      </c>
      <c r="Q103" s="22">
        <f>IF((P103+Q102-(Q99-Q100)-Q107)&lt;0,0,(P103+Q102-(Q99-Q100)-Q107))</f>
        <v>15146.868</v>
      </c>
      <c r="R103" s="22">
        <f>IF((Q103+R102-(R99-R100)-R107)&lt;0,0,(Q103+R102-(R99-R100)-R107))</f>
        <v>15826.744</v>
      </c>
      <c r="S103" s="22"/>
      <c r="T103" s="22"/>
      <c r="U103" s="22"/>
      <c r="V103" s="22"/>
      <c r="W103" s="22"/>
      <c r="X103" s="22"/>
      <c r="Y103" s="22"/>
      <c r="Z103" s="22"/>
      <c r="AA103" s="22"/>
      <c r="AB103" s="22"/>
      <c r="AC103" s="22"/>
      <c r="AD103" s="22"/>
    </row>
    <row r="104" ht="12.7" customHeight="1">
      <c r="A104" t="s" s="18">
        <v>307</v>
      </c>
      <c r="B104" s="19">
        <v>500005</v>
      </c>
      <c r="C104" t="s" s="20">
        <v>308</v>
      </c>
      <c r="D104" t="s" s="21">
        <v>31</v>
      </c>
      <c r="E104" t="s" s="21">
        <f>A104&amp;D104</f>
        <v>314</v>
      </c>
      <c r="F104" s="31"/>
      <c r="G104" s="87"/>
      <c r="H104" s="33"/>
      <c r="I104" s="22">
        <v>0</v>
      </c>
      <c r="J104" s="48"/>
      <c r="K104" s="48"/>
      <c r="L104" s="48"/>
      <c r="M104" s="48"/>
      <c r="N104" s="48"/>
      <c r="O104" s="48"/>
      <c r="P104" s="48"/>
      <c r="Q104" s="48"/>
      <c r="R104" s="48"/>
      <c r="S104" s="22"/>
      <c r="T104" s="22"/>
      <c r="U104" s="22"/>
      <c r="V104" s="22"/>
      <c r="W104" s="22"/>
      <c r="X104" s="22"/>
      <c r="Y104" s="22"/>
      <c r="Z104" s="22"/>
      <c r="AA104" s="22"/>
      <c r="AB104" s="22"/>
      <c r="AC104" s="22"/>
      <c r="AD104" s="22"/>
    </row>
    <row r="105" ht="12.7" customHeight="1">
      <c r="A105" t="s" s="18">
        <v>307</v>
      </c>
      <c r="B105" s="19">
        <v>500005</v>
      </c>
      <c r="C105" t="s" s="20">
        <v>308</v>
      </c>
      <c r="D105" t="s" s="21">
        <v>33</v>
      </c>
      <c r="E105" t="s" s="21">
        <f>A105&amp;D105</f>
        <v>315</v>
      </c>
      <c r="F105" s="22">
        <v>0</v>
      </c>
      <c r="G105" s="22">
        <v>0</v>
      </c>
      <c r="H105" s="22">
        <v>0</v>
      </c>
      <c r="I105" s="22">
        <v>0</v>
      </c>
      <c r="J105" s="22">
        <f>IF((I103+J102-(J99-J100)-J107)&gt;0,0,(I103+J102-(J99-J100)-J107))</f>
        <v>0</v>
      </c>
      <c r="K105" s="22">
        <f>IF((J103+K102-(K99-K100)-K107)&gt;0,0,(J103+K102-(K99-K100)-K107))</f>
        <v>0</v>
      </c>
      <c r="L105" s="22">
        <f>IF((K103+L102-(L99-L100)-L107)&gt;0,0,(K103+L102-(L99-L100)-L107))</f>
        <v>0</v>
      </c>
      <c r="M105" s="22">
        <f>IF((L103+M102-(M99-M100)-M107)&gt;0,0,(L103+M102-(M99-M100)-M107))</f>
        <v>0</v>
      </c>
      <c r="N105" s="22">
        <f>IF((M103+N102-(N99-N100)-N107)&gt;0,0,(M103+N102-(N99-N100)-N107))</f>
        <v>0</v>
      </c>
      <c r="O105" s="22">
        <f>IF((N103+O102-(O99-O100)-O107)&gt;0,0,(N103+O102-(O99-O100)-O107))</f>
        <v>0</v>
      </c>
      <c r="P105" s="22">
        <f>IF((O103+P102-(P99-P100)-P107)&gt;0,0,(O103+P102-(P99-P100)-P107))</f>
        <v>0</v>
      </c>
      <c r="Q105" s="22">
        <f>IF((P103+Q102-(Q99-Q100)-Q107)&gt;0,0,(P103+Q102-(Q99-Q100)-Q107))</f>
        <v>0</v>
      </c>
      <c r="R105" s="22">
        <f>IF((Q103+R102-(R99-R100)-R107)&gt;0,0,(Q103+R102-(R99-R100)-R107))</f>
        <v>0</v>
      </c>
      <c r="S105" s="24">
        <f>IF((R103+S102-(S99-S100)-S107)&gt;0,0,(R103+S102-(S99-S100)-S107))</f>
        <v>-6693.379999999997</v>
      </c>
      <c r="T105" s="24"/>
      <c r="U105" s="24"/>
      <c r="V105" s="24"/>
      <c r="W105" s="24"/>
      <c r="X105" s="24"/>
      <c r="Y105" s="24"/>
      <c r="Z105" s="24"/>
      <c r="AA105" s="24"/>
      <c r="AB105" s="24"/>
      <c r="AC105" s="24"/>
      <c r="AD105" s="24"/>
    </row>
    <row r="106" ht="12.7" customHeight="1">
      <c r="A106" t="s" s="18">
        <v>307</v>
      </c>
      <c r="B106" s="19">
        <v>500005</v>
      </c>
      <c r="C106" t="s" s="20">
        <v>308</v>
      </c>
      <c r="D106" t="s" s="21">
        <v>35</v>
      </c>
      <c r="E106" t="s" s="21">
        <f>A106&amp;D106</f>
        <v>316</v>
      </c>
      <c r="F106" s="46"/>
      <c r="G106" s="49"/>
      <c r="H106" s="47"/>
      <c r="I106" s="22">
        <v>0</v>
      </c>
      <c r="J106" s="22">
        <v>0</v>
      </c>
      <c r="K106" s="22">
        <v>0</v>
      </c>
      <c r="L106" s="22">
        <v>0</v>
      </c>
      <c r="M106" s="22">
        <v>0</v>
      </c>
      <c r="N106" s="46"/>
      <c r="O106" s="58"/>
      <c r="P106" s="58"/>
      <c r="Q106" s="58"/>
      <c r="R106" s="59"/>
      <c r="S106" s="24"/>
      <c r="T106" s="24"/>
      <c r="U106" s="24"/>
      <c r="V106" s="24"/>
      <c r="W106" s="24"/>
      <c r="X106" s="24"/>
      <c r="Y106" s="24"/>
      <c r="Z106" s="24"/>
      <c r="AA106" s="24"/>
      <c r="AB106" s="24"/>
      <c r="AC106" s="24"/>
      <c r="AD106" s="24"/>
    </row>
    <row r="107" ht="12.7" customHeight="1">
      <c r="A107" t="s" s="18">
        <v>307</v>
      </c>
      <c r="B107" s="19">
        <v>500005</v>
      </c>
      <c r="C107" t="s" s="20">
        <v>308</v>
      </c>
      <c r="D107" t="s" s="21">
        <v>37</v>
      </c>
      <c r="E107" t="s" s="21">
        <f>A107&amp;D107</f>
        <v>317</v>
      </c>
      <c r="F107" s="22">
        <v>0</v>
      </c>
      <c r="G107" s="22">
        <v>0</v>
      </c>
      <c r="H107" s="30">
        <v>0</v>
      </c>
      <c r="I107" s="22">
        <f>IF(I106&gt;0,IF(I106-(I99-I100)&gt;0,(I106-(I99-I100)),0),0)</f>
        <v>0</v>
      </c>
      <c r="J107" s="22">
        <f>IF(J106&gt;0,IF(J106-(J99-J100)&gt;0,(J106-(J99-J100)),0),0)</f>
        <v>0</v>
      </c>
      <c r="K107" s="22">
        <f>IF(K106&gt;0,IF(K106-(K99-K100)&gt;0,(K106-(K99-K100)),0),0)</f>
        <v>0</v>
      </c>
      <c r="L107" s="22">
        <f>IF(L106&gt;0,IF(L106-(L99-L100)&gt;0,(L106-(L99-L100)),0),0)</f>
        <v>0</v>
      </c>
      <c r="M107" s="22">
        <v>0</v>
      </c>
      <c r="N107" s="22">
        <v>0</v>
      </c>
      <c r="O107" s="31"/>
      <c r="P107" s="32"/>
      <c r="Q107" s="32"/>
      <c r="R107" s="33"/>
      <c r="S107" s="24"/>
      <c r="T107" s="24"/>
      <c r="U107" s="24"/>
      <c r="V107" s="24"/>
      <c r="W107" s="24"/>
      <c r="X107" s="24"/>
      <c r="Y107" s="24"/>
      <c r="Z107" s="24"/>
      <c r="AA107" s="24"/>
      <c r="AB107" s="24"/>
      <c r="AC107" s="24"/>
      <c r="AD107" s="24"/>
    </row>
    <row r="108" ht="12.7" customHeight="1">
      <c r="A108" t="s" s="34">
        <v>307</v>
      </c>
      <c r="B108" s="35">
        <v>500005</v>
      </c>
      <c r="C108" t="s" s="36">
        <v>308</v>
      </c>
      <c r="D108" t="s" s="37">
        <v>39</v>
      </c>
      <c r="E108" t="s" s="37">
        <f>A108&amp;D108</f>
        <v>318</v>
      </c>
      <c r="F108" s="38">
        <f>IFERROR(F104/AVERAGE(G99:H99)*30,0)</f>
        <v>0</v>
      </c>
      <c r="G108" s="38">
        <f>IFERROR(G104/AVERAGE(H99:I99)*30,0)</f>
        <v>0</v>
      </c>
      <c r="H108" s="38">
        <f>IFERROR(H103/AVERAGE(I99:J99)*30,0)</f>
        <v>0</v>
      </c>
      <c r="I108" s="38">
        <f>IFERROR(I103/AVERAGE(J99:K99)*30,0)</f>
        <v>0</v>
      </c>
      <c r="J108" s="38">
        <f>IFERROR(J103/AVERAGE(K99:L99)*30,0)</f>
        <v>0</v>
      </c>
      <c r="K108" s="38">
        <f>IFERROR(K103/AVERAGE(L99:M99)*30,0)</f>
        <v>0</v>
      </c>
      <c r="L108" s="38">
        <f>IFERROR(L103/AVERAGE(M99:N99)*30,0)</f>
        <v>0</v>
      </c>
      <c r="M108" s="38">
        <f>IFERROR(M103/AVERAGE(N99:O99)*30,0)</f>
        <v>0</v>
      </c>
      <c r="N108" s="38">
        <f>IFERROR(N103/AVERAGE(O99:P99)*30,0)</f>
        <v>16.42273105040783</v>
      </c>
      <c r="O108" s="38">
        <f>IFERROR(O103/AVERAGE(P99:Q99)*30,0)</f>
        <v>21.04876655239632</v>
      </c>
      <c r="P108" s="38">
        <f>IFERROR(P103/AVERAGE(Q99:R99)*30,0)</f>
        <v>18.79917140543654</v>
      </c>
      <c r="Q108" s="38">
        <f>IFERROR(Q103/AVERAGE(R99:S99)*30,0)</f>
        <v>20.17777699625455</v>
      </c>
      <c r="R108" s="38">
        <f>IFERROR(R103/AVERAGE(S99:T99)*30,0)</f>
        <v>21.08346827930433</v>
      </c>
      <c r="S108" s="38">
        <f>IFERROR(S103/AVERAGE(T99:U99)*30,0)</f>
        <v>0</v>
      </c>
      <c r="T108" s="38"/>
      <c r="U108" s="38"/>
      <c r="V108" s="38"/>
      <c r="W108" s="38"/>
      <c r="X108" s="38"/>
      <c r="Y108" s="38"/>
      <c r="Z108" s="38"/>
      <c r="AA108" s="38"/>
      <c r="AB108" s="38"/>
      <c r="AC108" s="38"/>
      <c r="AD108" s="38"/>
    </row>
    <row r="109" ht="12" customHeight="1">
      <c r="A109" s="39"/>
      <c r="B109" s="40"/>
      <c r="C109" s="40"/>
      <c r="D109" s="40"/>
      <c r="E109" s="40"/>
      <c r="F109" s="40"/>
      <c r="G109" t="s" s="90">
        <v>2</v>
      </c>
      <c r="H109" s="91"/>
      <c r="I109" s="91"/>
      <c r="J109" s="91"/>
      <c r="K109" s="91"/>
      <c r="L109" s="91"/>
      <c r="M109" s="91"/>
      <c r="N109" s="91"/>
      <c r="O109" s="91"/>
      <c r="P109" s="91"/>
      <c r="Q109" s="91"/>
      <c r="R109" s="91"/>
      <c r="S109" t="s" s="90">
        <v>3</v>
      </c>
      <c r="T109" s="91"/>
      <c r="U109" s="91"/>
      <c r="V109" s="91"/>
      <c r="W109" s="91"/>
      <c r="X109" s="91"/>
      <c r="Y109" s="91"/>
      <c r="Z109" s="91"/>
      <c r="AA109" s="91"/>
      <c r="AB109" s="91"/>
      <c r="AC109" s="91"/>
      <c r="AD109" s="92"/>
    </row>
    <row r="110" ht="13.5" customHeight="1">
      <c r="A110" t="s" s="8">
        <v>4</v>
      </c>
      <c r="B110" t="s" s="9">
        <v>5</v>
      </c>
      <c r="C110" t="s" s="9">
        <v>6</v>
      </c>
      <c r="D110" t="s" s="9">
        <v>7</v>
      </c>
      <c r="E110" s="10"/>
      <c r="F110" t="s" s="9">
        <v>18</v>
      </c>
      <c r="G110" t="s" s="9">
        <v>8</v>
      </c>
      <c r="H110" t="s" s="9">
        <v>9</v>
      </c>
      <c r="I110" t="s" s="9">
        <v>10</v>
      </c>
      <c r="J110" t="s" s="9">
        <v>11</v>
      </c>
      <c r="K110" t="s" s="9">
        <v>1</v>
      </c>
      <c r="L110" t="s" s="9">
        <v>12</v>
      </c>
      <c r="M110" t="s" s="9">
        <v>13</v>
      </c>
      <c r="N110" t="s" s="9">
        <v>14</v>
      </c>
      <c r="O110" t="s" s="9">
        <v>15</v>
      </c>
      <c r="P110" t="s" s="9">
        <v>16</v>
      </c>
      <c r="Q110" t="s" s="9">
        <v>17</v>
      </c>
      <c r="R110" t="s" s="9">
        <v>18</v>
      </c>
      <c r="S110" t="s" s="9">
        <v>8</v>
      </c>
      <c r="T110" t="s" s="9">
        <v>9</v>
      </c>
      <c r="U110" t="s" s="9">
        <v>10</v>
      </c>
      <c r="V110" t="s" s="9">
        <v>11</v>
      </c>
      <c r="W110" t="s" s="9">
        <v>1</v>
      </c>
      <c r="X110" t="s" s="9">
        <v>12</v>
      </c>
      <c r="Y110" t="s" s="9">
        <v>13</v>
      </c>
      <c r="Z110" t="s" s="9">
        <v>14</v>
      </c>
      <c r="AA110" t="s" s="9">
        <v>15</v>
      </c>
      <c r="AB110" t="s" s="9">
        <v>16</v>
      </c>
      <c r="AC110" t="s" s="9">
        <v>17</v>
      </c>
      <c r="AD110" t="s" s="11">
        <v>18</v>
      </c>
    </row>
    <row r="111" ht="12.7" customHeight="1">
      <c r="A111" t="s" s="12">
        <v>319</v>
      </c>
      <c r="B111" s="13">
        <v>500023</v>
      </c>
      <c r="C111" t="s" s="14">
        <v>320</v>
      </c>
      <c r="D111" t="s" s="15">
        <v>21</v>
      </c>
      <c r="E111" t="s" s="15">
        <f>A111&amp;D111</f>
        <v>321</v>
      </c>
      <c r="F111" s="93"/>
      <c r="G111" s="83"/>
      <c r="H111" s="84"/>
      <c r="I111" s="85"/>
      <c r="J111" s="17">
        <v>0</v>
      </c>
      <c r="K111" s="17">
        <v>0</v>
      </c>
      <c r="L111" s="17">
        <v>0</v>
      </c>
      <c r="M111" s="17">
        <v>0</v>
      </c>
      <c r="N111" s="17">
        <v>2500</v>
      </c>
      <c r="O111" s="17">
        <v>4318.6</v>
      </c>
      <c r="P111" s="17">
        <v>4396.8</v>
      </c>
      <c r="Q111" s="17">
        <v>13069.35</v>
      </c>
      <c r="R111" s="17">
        <v>23393.7</v>
      </c>
      <c r="S111" s="17">
        <v>23393.7</v>
      </c>
      <c r="T111" s="17"/>
      <c r="U111" s="17"/>
      <c r="V111" s="17"/>
      <c r="W111" s="17"/>
      <c r="X111" s="17"/>
      <c r="Y111" s="17"/>
      <c r="Z111" s="17"/>
      <c r="AA111" s="17"/>
      <c r="AB111" s="17"/>
      <c r="AC111" s="17"/>
      <c r="AD111" s="17"/>
    </row>
    <row r="112" ht="12.7" customHeight="1">
      <c r="A112" t="s" s="18">
        <v>319</v>
      </c>
      <c r="B112" s="19">
        <v>500023</v>
      </c>
      <c r="C112" t="s" s="20">
        <v>320</v>
      </c>
      <c r="D112" t="s" s="21">
        <v>23</v>
      </c>
      <c r="E112" t="s" s="21">
        <f>A112&amp;D112</f>
        <v>322</v>
      </c>
      <c r="F112" s="22">
        <v>22935</v>
      </c>
      <c r="G112" s="22">
        <v>4504</v>
      </c>
      <c r="H112" s="22">
        <v>-59</v>
      </c>
      <c r="I112" s="22">
        <v>9</v>
      </c>
      <c r="J112" s="86">
        <f>INDEX('Sales Actual'!$H$5:$H$66,MATCH($A112,'Sales Actual'!$G$5:$G$66,0))</f>
        <v>0</v>
      </c>
      <c r="K112" s="86">
        <f>INDEX('Sales Actual'!$J$5:$J$66,MATCH($A112,'Sales Actual'!$I$5:$I$66,0))</f>
        <v>0</v>
      </c>
      <c r="L112" s="86">
        <f>INDEX('Sales Actual'!$L$5:$L$66,MATCH($A112,'Sales Actual'!$K$5:$K$66,0))</f>
        <v>0</v>
      </c>
      <c r="M112" s="86">
        <f>INDEX('Sales Actual'!$N$4:$N$65,MATCH($A112,'Sales Actual'!$M$4:$M$65,0))</f>
        <v>0</v>
      </c>
      <c r="N112" s="86">
        <f>INDEX('Sales Actual'!$P$4:$P$64,MATCH($A112,'Sales Actual'!$O$4:$O$65,0))</f>
        <v>0</v>
      </c>
      <c r="O112" s="86">
        <f>INDEX('Sales Actual'!$R$4:$R$65,MATCH($A112,'Sales Actual'!$Q$4:$Q$65,0))</f>
        <v>0</v>
      </c>
      <c r="P112" s="86">
        <f>INDEX('Sales Actual'!$T$4:$T$66,MATCH($A112,'Sales Actual'!$S$4:$S$66,0))</f>
        <v>0</v>
      </c>
      <c r="Q112" s="86">
        <f>INDEX('Sales Actual'!$V$4:$V$65,MATCH($A112,'Sales Actual'!$U$4:$U$65,0))</f>
        <v>0</v>
      </c>
      <c r="R112" s="86">
        <f>INDEX('Sales Actual'!$X$4:$X$65,MATCH($A112,'Sales Actual'!$W$4:$W$65,0))</f>
        <v>0</v>
      </c>
      <c r="S112" s="22"/>
      <c r="T112" s="22"/>
      <c r="U112" s="22"/>
      <c r="V112" s="22"/>
      <c r="W112" s="22"/>
      <c r="X112" s="22"/>
      <c r="Y112" s="22"/>
      <c r="Z112" s="22"/>
      <c r="AA112" s="22"/>
      <c r="AB112" s="22"/>
      <c r="AC112" s="22"/>
      <c r="AD112" s="22"/>
    </row>
    <row r="113" ht="12.7" customHeight="1">
      <c r="A113" t="s" s="18">
        <v>319</v>
      </c>
      <c r="B113" s="19">
        <v>500023</v>
      </c>
      <c r="C113" t="s" s="20">
        <v>320</v>
      </c>
      <c r="D113" t="s" s="21">
        <v>25</v>
      </c>
      <c r="E113" t="s" s="21">
        <f>A113&amp;D113</f>
        <v>323</v>
      </c>
      <c r="F113" s="57"/>
      <c r="G113" s="58"/>
      <c r="H113" s="58"/>
      <c r="I113" s="58"/>
      <c r="J113" s="58"/>
      <c r="K113" s="58"/>
      <c r="L113" s="58"/>
      <c r="M113" s="59"/>
      <c r="N113" s="22">
        <f>8*600</f>
        <v>4800</v>
      </c>
      <c r="O113" s="22">
        <f>8*950</f>
        <v>7600</v>
      </c>
      <c r="P113" s="22">
        <f t="shared" si="537"/>
        <v>9600</v>
      </c>
      <c r="Q113" s="22">
        <f>8*2000</f>
        <v>16000</v>
      </c>
      <c r="R113" s="22">
        <f>8*3300</f>
        <v>26400</v>
      </c>
      <c r="S113" s="24">
        <v>0</v>
      </c>
      <c r="T113" s="24"/>
      <c r="U113" s="24"/>
      <c r="V113" s="24"/>
      <c r="W113" s="24"/>
      <c r="X113" s="24"/>
      <c r="Y113" s="24"/>
      <c r="Z113" s="24"/>
      <c r="AA113" s="24"/>
      <c r="AB113" s="24"/>
      <c r="AC113" s="24"/>
      <c r="AD113" s="24"/>
    </row>
    <row r="114" ht="12.7" customHeight="1">
      <c r="A114" t="s" s="18">
        <v>319</v>
      </c>
      <c r="B114" s="19">
        <v>500023</v>
      </c>
      <c r="C114" t="s" s="20">
        <v>320</v>
      </c>
      <c r="D114" t="s" s="21">
        <v>27</v>
      </c>
      <c r="E114" t="s" s="21">
        <f>A114&amp;D114</f>
        <v>324</v>
      </c>
      <c r="F114" s="60"/>
      <c r="G114" s="61"/>
      <c r="H114" s="61"/>
      <c r="I114" s="32"/>
      <c r="J114" s="32"/>
      <c r="K114" s="32"/>
      <c r="L114" s="32"/>
      <c r="M114" s="33"/>
      <c r="N114" s="22">
        <f>N113</f>
        <v>4800</v>
      </c>
      <c r="O114" s="22">
        <f>O113</f>
        <v>7600</v>
      </c>
      <c r="P114" s="22">
        <f>P113</f>
        <v>9600</v>
      </c>
      <c r="Q114" s="22">
        <f>Q113</f>
        <v>16000</v>
      </c>
      <c r="R114" s="22">
        <f>R113</f>
        <v>26400</v>
      </c>
      <c r="S114" s="24"/>
      <c r="T114" s="24"/>
      <c r="U114" s="24"/>
      <c r="V114" s="24"/>
      <c r="W114" s="24"/>
      <c r="X114" s="24"/>
      <c r="Y114" s="24"/>
      <c r="Z114" s="24"/>
      <c r="AA114" s="24"/>
      <c r="AB114" s="24"/>
      <c r="AC114" s="24"/>
      <c r="AD114" s="24"/>
    </row>
    <row r="115" ht="12.7" customHeight="1">
      <c r="A115" t="s" s="18">
        <v>319</v>
      </c>
      <c r="B115" s="19">
        <v>500023</v>
      </c>
      <c r="C115" t="s" s="20">
        <v>320</v>
      </c>
      <c r="D115" t="s" s="21">
        <v>29</v>
      </c>
      <c r="E115" t="s" s="21">
        <f>A115&amp;D115</f>
        <v>325</v>
      </c>
      <c r="F115" s="60"/>
      <c r="G115" s="61"/>
      <c r="H115" s="62"/>
      <c r="I115" s="22">
        <v>0</v>
      </c>
      <c r="J115" s="22">
        <f>IF((I115+J114-(J111-J112)-J119)&lt;0,0,(I115+J114-(J111-J112)-J119))</f>
        <v>0</v>
      </c>
      <c r="K115" s="22">
        <f>IF((J115+K114-(K111-K112)-K119)&lt;0,0,(J115+K114-(K111-K112)-K119))</f>
        <v>0</v>
      </c>
      <c r="L115" s="22">
        <f>IF((K115+L114-(L111-L112)-L119)&lt;0,0,(K115+L114-(L111-L112)-L119))</f>
        <v>0</v>
      </c>
      <c r="M115" s="22">
        <f>IF((L115+M114-(M111-M112)-M119)&lt;0,0,(L115+M114-(M111-M112)-M119))</f>
        <v>0</v>
      </c>
      <c r="N115" s="22">
        <f>IF((M115+N114-(N111-N112)-N119)&lt;0,0,(M115+N114-(N111-N112)-N119))</f>
        <v>2300</v>
      </c>
      <c r="O115" s="22">
        <f>IF((N115+O114-(O111-O112)-O119)&lt;0,0,(N115+O114-(O111-O112)-O119))</f>
        <v>5581.4</v>
      </c>
      <c r="P115" s="22">
        <f>IF((O115+P114-(P111-P112)-P119)&lt;0,0,(O115+P114-(P111-P112)-P119))</f>
        <v>10784.6</v>
      </c>
      <c r="Q115" s="22">
        <f>IF((P115+Q114-(Q111-Q112)-Q119)&lt;0,0,(P115+Q114-(Q111-Q112)-Q119))</f>
        <v>13715.25</v>
      </c>
      <c r="R115" s="22">
        <f>IF((Q115+R114-(R111-R112)-R119)&lt;0,0,(Q115+R114-(R111-R112)-R119))</f>
        <v>16721.55</v>
      </c>
      <c r="S115" s="22"/>
      <c r="T115" s="22"/>
      <c r="U115" s="22"/>
      <c r="V115" s="22"/>
      <c r="W115" s="22"/>
      <c r="X115" s="22"/>
      <c r="Y115" s="22"/>
      <c r="Z115" s="22"/>
      <c r="AA115" s="22"/>
      <c r="AB115" s="22"/>
      <c r="AC115" s="22"/>
      <c r="AD115" s="22"/>
    </row>
    <row r="116" ht="12.7" customHeight="1">
      <c r="A116" t="s" s="18">
        <v>319</v>
      </c>
      <c r="B116" s="19">
        <v>500023</v>
      </c>
      <c r="C116" t="s" s="20">
        <v>320</v>
      </c>
      <c r="D116" t="s" s="21">
        <v>31</v>
      </c>
      <c r="E116" t="s" s="21">
        <f>A116&amp;D116</f>
        <v>326</v>
      </c>
      <c r="F116" s="31"/>
      <c r="G116" s="87"/>
      <c r="H116" s="33"/>
      <c r="I116" s="22">
        <v>0</v>
      </c>
      <c r="J116" s="48"/>
      <c r="K116" s="48"/>
      <c r="L116" s="48"/>
      <c r="M116" s="48"/>
      <c r="N116" s="48"/>
      <c r="O116" s="48"/>
      <c r="P116" s="48"/>
      <c r="Q116" s="48"/>
      <c r="R116" s="48"/>
      <c r="S116" s="22"/>
      <c r="T116" s="22"/>
      <c r="U116" s="22"/>
      <c r="V116" s="22"/>
      <c r="W116" s="22"/>
      <c r="X116" s="22"/>
      <c r="Y116" s="22"/>
      <c r="Z116" s="22"/>
      <c r="AA116" s="22"/>
      <c r="AB116" s="22"/>
      <c r="AC116" s="22"/>
      <c r="AD116" s="22"/>
    </row>
    <row r="117" ht="12.7" customHeight="1">
      <c r="A117" t="s" s="18">
        <v>319</v>
      </c>
      <c r="B117" s="19">
        <v>500023</v>
      </c>
      <c r="C117" t="s" s="20">
        <v>320</v>
      </c>
      <c r="D117" t="s" s="21">
        <v>33</v>
      </c>
      <c r="E117" t="s" s="21">
        <f>A117&amp;D117</f>
        <v>327</v>
      </c>
      <c r="F117" s="22">
        <v>0</v>
      </c>
      <c r="G117" s="22">
        <v>0</v>
      </c>
      <c r="H117" s="22">
        <v>0</v>
      </c>
      <c r="I117" s="22">
        <v>0</v>
      </c>
      <c r="J117" s="22">
        <f>IF((I115+J114-(J111-J112)-J119)&gt;0,0,(I115+J114-(J111-J112)-J119))</f>
        <v>0</v>
      </c>
      <c r="K117" s="22">
        <f>IF((J115+K114-(K111-K112)-K119)&gt;0,0,(J115+K114-(K111-K112)-K119))</f>
        <v>0</v>
      </c>
      <c r="L117" s="22">
        <f>IF((K115+L114-(L111-L112)-L119)&gt;0,0,(K115+L114-(L111-L112)-L119))</f>
        <v>0</v>
      </c>
      <c r="M117" s="22">
        <f>IF((L115+M114-(M111-M112)-M119)&gt;0,0,(L115+M114-(M111-M112)-M119))</f>
        <v>0</v>
      </c>
      <c r="N117" s="22">
        <f>IF((M115+N114-(N111-N112)-N119)&gt;0,0,(M115+N114-(N111-N112)-N119))</f>
        <v>0</v>
      </c>
      <c r="O117" s="22">
        <f>IF((N115+O114-(O111-O112)-O119)&gt;0,0,(N115+O114-(O111-O112)-O119))</f>
        <v>0</v>
      </c>
      <c r="P117" s="22">
        <f>IF((O115+P114-(P111-P112)-P119)&gt;0,0,(O115+P114-(P111-P112)-P119))</f>
        <v>0</v>
      </c>
      <c r="Q117" s="22">
        <f>IF((P115+Q114-(Q111-Q112)-Q119)&gt;0,0,(P115+Q114-(Q111-Q112)-Q119))</f>
        <v>0</v>
      </c>
      <c r="R117" s="22">
        <f>IF((Q115+R114-(R111-R112)-R119)&gt;0,0,(Q115+R114-(R111-R112)-R119))</f>
        <v>0</v>
      </c>
      <c r="S117" s="24">
        <f>IF((R115+S114-(S111-S112)-S119)&gt;0,0,(R115+S114-(S111-S112)-S119))</f>
        <v>-6672.150000000001</v>
      </c>
      <c r="T117" s="24"/>
      <c r="U117" s="24"/>
      <c r="V117" s="24"/>
      <c r="W117" s="24"/>
      <c r="X117" s="24"/>
      <c r="Y117" s="24"/>
      <c r="Z117" s="24"/>
      <c r="AA117" s="24"/>
      <c r="AB117" s="24"/>
      <c r="AC117" s="24"/>
      <c r="AD117" s="24"/>
    </row>
    <row r="118" ht="12.7" customHeight="1">
      <c r="A118" t="s" s="18">
        <v>319</v>
      </c>
      <c r="B118" s="19">
        <v>500023</v>
      </c>
      <c r="C118" t="s" s="20">
        <v>320</v>
      </c>
      <c r="D118" t="s" s="21">
        <v>35</v>
      </c>
      <c r="E118" t="s" s="21">
        <f>A118&amp;D118</f>
        <v>328</v>
      </c>
      <c r="F118" s="46"/>
      <c r="G118" s="49"/>
      <c r="H118" s="47"/>
      <c r="I118" s="22">
        <v>0</v>
      </c>
      <c r="J118" s="22">
        <v>0</v>
      </c>
      <c r="K118" s="22">
        <v>0</v>
      </c>
      <c r="L118" s="22">
        <v>0</v>
      </c>
      <c r="M118" s="22">
        <v>0</v>
      </c>
      <c r="N118" s="46"/>
      <c r="O118" s="58"/>
      <c r="P118" s="58"/>
      <c r="Q118" s="58"/>
      <c r="R118" s="59"/>
      <c r="S118" s="24"/>
      <c r="T118" s="24"/>
      <c r="U118" s="24"/>
      <c r="V118" s="24"/>
      <c r="W118" s="24"/>
      <c r="X118" s="24"/>
      <c r="Y118" s="24"/>
      <c r="Z118" s="24"/>
      <c r="AA118" s="24"/>
      <c r="AB118" s="24"/>
      <c r="AC118" s="24"/>
      <c r="AD118" s="24"/>
    </row>
    <row r="119" ht="12.7" customHeight="1">
      <c r="A119" t="s" s="18">
        <v>319</v>
      </c>
      <c r="B119" s="19">
        <v>500023</v>
      </c>
      <c r="C119" t="s" s="20">
        <v>320</v>
      </c>
      <c r="D119" t="s" s="21">
        <v>37</v>
      </c>
      <c r="E119" t="s" s="21">
        <f>A119&amp;D119</f>
        <v>329</v>
      </c>
      <c r="F119" s="22">
        <v>0</v>
      </c>
      <c r="G119" s="22">
        <v>0</v>
      </c>
      <c r="H119" s="30">
        <v>0</v>
      </c>
      <c r="I119" s="22">
        <f>IF(I118&gt;0,IF(I118-(I111-I112)&gt;0,(I118-(I111-I112)),0),0)</f>
        <v>0</v>
      </c>
      <c r="J119" s="22">
        <f>IF(J118&gt;0,IF(J118-(J111-J112)&gt;0,(J118-(J111-J112)),0),0)</f>
        <v>0</v>
      </c>
      <c r="K119" s="22">
        <f>IF(K118&gt;0,IF(K118-(K111-K112)&gt;0,(K118-(K111-K112)),0),0)</f>
        <v>0</v>
      </c>
      <c r="L119" s="22">
        <f>IF(L118&gt;0,IF(L118-(L111-L112)&gt;0,(L118-(L111-L112)),0),0)</f>
        <v>0</v>
      </c>
      <c r="M119" s="22">
        <v>0</v>
      </c>
      <c r="N119" s="22">
        <v>0</v>
      </c>
      <c r="O119" s="31"/>
      <c r="P119" s="32"/>
      <c r="Q119" s="32"/>
      <c r="R119" s="33"/>
      <c r="S119" s="24"/>
      <c r="T119" s="24"/>
      <c r="U119" s="24"/>
      <c r="V119" s="24"/>
      <c r="W119" s="24"/>
      <c r="X119" s="24"/>
      <c r="Y119" s="24"/>
      <c r="Z119" s="24"/>
      <c r="AA119" s="24"/>
      <c r="AB119" s="24"/>
      <c r="AC119" s="24"/>
      <c r="AD119" s="24"/>
    </row>
    <row r="120" ht="12.7" customHeight="1">
      <c r="A120" t="s" s="34">
        <v>319</v>
      </c>
      <c r="B120" s="35">
        <v>500023</v>
      </c>
      <c r="C120" t="s" s="36">
        <v>320</v>
      </c>
      <c r="D120" t="s" s="37">
        <v>39</v>
      </c>
      <c r="E120" t="s" s="37">
        <f>A120&amp;D120</f>
        <v>330</v>
      </c>
      <c r="F120" s="38">
        <f>IFERROR(F116/AVERAGE(G111:H111)*30,0)</f>
        <v>0</v>
      </c>
      <c r="G120" s="38">
        <f>IFERROR(G116/AVERAGE(H111:I111)*30,0)</f>
        <v>0</v>
      </c>
      <c r="H120" s="38">
        <f>IFERROR(H115/AVERAGE(I111:J111)*30,0)</f>
        <v>0</v>
      </c>
      <c r="I120" s="38">
        <f>IFERROR(I115/AVERAGE(J111:K111)*30,0)</f>
        <v>0</v>
      </c>
      <c r="J120" s="38">
        <f>IFERROR(J115/AVERAGE(K111:L111)*30,0)</f>
        <v>0</v>
      </c>
      <c r="K120" s="38">
        <f>IFERROR(K115/AVERAGE(L111:M111)*30,0)</f>
        <v>0</v>
      </c>
      <c r="L120" s="38">
        <f>IFERROR(L115/AVERAGE(M111:N111)*30,0)</f>
        <v>0</v>
      </c>
      <c r="M120" s="38">
        <f>IFERROR(M115/AVERAGE(N111:O111)*30,0)</f>
        <v>0</v>
      </c>
      <c r="N120" s="38">
        <f>IFERROR(N115/AVERAGE(O111:P111)*30,0)</f>
        <v>15.8340408931317</v>
      </c>
      <c r="O120" s="38">
        <f>IFERROR(O115/AVERAGE(P111:Q111)*30,0)</f>
        <v>19.17331524119511</v>
      </c>
      <c r="P120" s="38">
        <f>IFERROR(P115/AVERAGE(Q111:R111)*30,0)</f>
        <v>17.74607445071106</v>
      </c>
      <c r="Q120" s="38">
        <f>IFERROR(Q115/AVERAGE(R111:S111)*30,0)</f>
        <v>17.58838918170276</v>
      </c>
      <c r="R120" s="38">
        <f>IFERROR(R115/AVERAGE(S111:T111)*30,0)</f>
        <v>21.44365790789828</v>
      </c>
      <c r="S120" s="38">
        <f>IFERROR(S115/AVERAGE(T111:U111)*30,0)</f>
        <v>0</v>
      </c>
      <c r="T120" s="38"/>
      <c r="U120" s="38"/>
      <c r="V120" s="38"/>
      <c r="W120" s="38"/>
      <c r="X120" s="38"/>
      <c r="Y120" s="38"/>
      <c r="Z120" s="38"/>
      <c r="AA120" s="38"/>
      <c r="AB120" s="38"/>
      <c r="AC120" s="38"/>
      <c r="AD120" s="38"/>
    </row>
    <row r="121" ht="12" customHeight="1">
      <c r="A121" s="39"/>
      <c r="B121" s="40"/>
      <c r="C121" s="40"/>
      <c r="D121" s="40"/>
      <c r="E121" s="40"/>
      <c r="F121" s="40"/>
      <c r="G121" t="s" s="90">
        <v>2</v>
      </c>
      <c r="H121" s="91"/>
      <c r="I121" s="91"/>
      <c r="J121" s="91"/>
      <c r="K121" s="91"/>
      <c r="L121" s="91"/>
      <c r="M121" s="91"/>
      <c r="N121" s="91"/>
      <c r="O121" s="91"/>
      <c r="P121" s="91"/>
      <c r="Q121" s="91"/>
      <c r="R121" s="91"/>
      <c r="S121" t="s" s="90">
        <v>3</v>
      </c>
      <c r="T121" s="91"/>
      <c r="U121" s="91"/>
      <c r="V121" s="91"/>
      <c r="W121" s="91"/>
      <c r="X121" s="91"/>
      <c r="Y121" s="91"/>
      <c r="Z121" s="91"/>
      <c r="AA121" s="91"/>
      <c r="AB121" s="91"/>
      <c r="AC121" s="91"/>
      <c r="AD121" s="92"/>
    </row>
    <row r="122" ht="13.5" customHeight="1">
      <c r="A122" t="s" s="8">
        <v>4</v>
      </c>
      <c r="B122" t="s" s="9">
        <v>5</v>
      </c>
      <c r="C122" t="s" s="9">
        <v>6</v>
      </c>
      <c r="D122" t="s" s="9">
        <v>7</v>
      </c>
      <c r="E122" s="10"/>
      <c r="F122" t="s" s="9">
        <v>18</v>
      </c>
      <c r="G122" t="s" s="9">
        <v>8</v>
      </c>
      <c r="H122" t="s" s="9">
        <v>9</v>
      </c>
      <c r="I122" t="s" s="9">
        <v>10</v>
      </c>
      <c r="J122" t="s" s="9">
        <v>11</v>
      </c>
      <c r="K122" t="s" s="9">
        <v>1</v>
      </c>
      <c r="L122" t="s" s="9">
        <v>12</v>
      </c>
      <c r="M122" t="s" s="9">
        <v>13</v>
      </c>
      <c r="N122" t="s" s="9">
        <v>14</v>
      </c>
      <c r="O122" t="s" s="9">
        <v>15</v>
      </c>
      <c r="P122" t="s" s="9">
        <v>16</v>
      </c>
      <c r="Q122" t="s" s="9">
        <v>17</v>
      </c>
      <c r="R122" t="s" s="9">
        <v>18</v>
      </c>
      <c r="S122" t="s" s="9">
        <v>8</v>
      </c>
      <c r="T122" t="s" s="9">
        <v>9</v>
      </c>
      <c r="U122" t="s" s="9">
        <v>10</v>
      </c>
      <c r="V122" t="s" s="9">
        <v>11</v>
      </c>
      <c r="W122" t="s" s="9">
        <v>1</v>
      </c>
      <c r="X122" t="s" s="9">
        <v>12</v>
      </c>
      <c r="Y122" t="s" s="9">
        <v>13</v>
      </c>
      <c r="Z122" t="s" s="9">
        <v>14</v>
      </c>
      <c r="AA122" t="s" s="9">
        <v>15</v>
      </c>
      <c r="AB122" t="s" s="9">
        <v>16</v>
      </c>
      <c r="AC122" t="s" s="9">
        <v>17</v>
      </c>
      <c r="AD122" t="s" s="11">
        <v>18</v>
      </c>
    </row>
    <row r="123" ht="12.7" customHeight="1">
      <c r="A123" t="s" s="12">
        <v>331</v>
      </c>
      <c r="B123" s="13">
        <v>500007</v>
      </c>
      <c r="C123" t="s" s="14">
        <v>332</v>
      </c>
      <c r="D123" t="s" s="15">
        <v>21</v>
      </c>
      <c r="E123" t="s" s="15">
        <f>A123&amp;D123</f>
        <v>333</v>
      </c>
      <c r="F123" s="93"/>
      <c r="G123" s="83"/>
      <c r="H123" s="84"/>
      <c r="I123" s="85"/>
      <c r="J123" s="17">
        <v>1640</v>
      </c>
      <c r="K123" s="17">
        <v>720</v>
      </c>
      <c r="L123" s="17">
        <v>163</v>
      </c>
      <c r="M123" s="17">
        <v>416</v>
      </c>
      <c r="N123" s="17">
        <v>1044</v>
      </c>
      <c r="O123" s="17">
        <v>0</v>
      </c>
      <c r="P123" s="17">
        <v>5299.344</v>
      </c>
      <c r="Q123" s="17">
        <v>6601.559999999999</v>
      </c>
      <c r="R123" s="17">
        <v>8141.111999999999</v>
      </c>
      <c r="S123" s="17">
        <v>8220</v>
      </c>
      <c r="T123" s="17"/>
      <c r="U123" s="17"/>
      <c r="V123" s="17"/>
      <c r="W123" s="17"/>
      <c r="X123" s="17"/>
      <c r="Y123" s="17"/>
      <c r="Z123" s="17"/>
      <c r="AA123" s="17"/>
      <c r="AB123" s="17"/>
      <c r="AC123" s="17"/>
      <c r="AD123" s="17"/>
    </row>
    <row r="124" ht="12.7" customHeight="1">
      <c r="A124" t="s" s="18">
        <v>331</v>
      </c>
      <c r="B124" s="19">
        <v>500007</v>
      </c>
      <c r="C124" t="s" s="20">
        <v>332</v>
      </c>
      <c r="D124" t="s" s="21">
        <v>23</v>
      </c>
      <c r="E124" t="s" s="21">
        <f>A124&amp;D124</f>
        <v>334</v>
      </c>
      <c r="F124" s="22">
        <v>7798</v>
      </c>
      <c r="G124" s="22">
        <v>6850</v>
      </c>
      <c r="H124" s="22">
        <v>3601</v>
      </c>
      <c r="I124" s="22">
        <v>307</v>
      </c>
      <c r="J124" s="86">
        <f>INDEX('Sales Actual'!$H$5:$H$66,MATCH($A124,'Sales Actual'!$G$5:$G$66,0))</f>
        <v>0</v>
      </c>
      <c r="K124" s="86">
        <f>INDEX('Sales Actual'!$J$5:$J$66,MATCH($A124,'Sales Actual'!$I$5:$I$66,0))</f>
        <v>0</v>
      </c>
      <c r="L124" s="86">
        <f>INDEX('Sales Actual'!$L$5:$L$66,MATCH($A124,'Sales Actual'!$K$5:$K$66,0))</f>
        <v>0</v>
      </c>
      <c r="M124" s="86">
        <f>INDEX('Sales Actual'!$N$4:$N$65,MATCH($A124,'Sales Actual'!$M$4:$M$65,0))</f>
        <v>0</v>
      </c>
      <c r="N124" s="86">
        <f>INDEX('Sales Actual'!$P$4:$P$64,MATCH($A124,'Sales Actual'!$O$4:$O$65,0))</f>
        <v>0</v>
      </c>
      <c r="O124" s="86">
        <f>INDEX('Sales Actual'!$R$4:$R$65,MATCH($A124,'Sales Actual'!$Q$4:$Q$65,0))</f>
        <v>0</v>
      </c>
      <c r="P124" s="86">
        <f>INDEX('Sales Actual'!$T$4:$T$66,MATCH($A124,'Sales Actual'!$S$4:$S$66,0))</f>
        <v>0</v>
      </c>
      <c r="Q124" s="86">
        <f>INDEX('Sales Actual'!$V$4:$V$65,MATCH($A124,'Sales Actual'!$U$4:$U$65,0))</f>
        <v>0</v>
      </c>
      <c r="R124" s="86">
        <f>INDEX('Sales Actual'!$X$4:$X$65,MATCH($A124,'Sales Actual'!$W$4:$W$65,0))</f>
        <v>0</v>
      </c>
      <c r="S124" s="22"/>
      <c r="T124" s="22"/>
      <c r="U124" s="22"/>
      <c r="V124" s="22"/>
      <c r="W124" s="22"/>
      <c r="X124" s="22"/>
      <c r="Y124" s="22"/>
      <c r="Z124" s="22"/>
      <c r="AA124" s="22"/>
      <c r="AB124" s="22"/>
      <c r="AC124" s="22"/>
      <c r="AD124" s="22"/>
    </row>
    <row r="125" ht="12.7" customHeight="1">
      <c r="A125" t="s" s="18">
        <v>331</v>
      </c>
      <c r="B125" s="19">
        <v>500007</v>
      </c>
      <c r="C125" t="s" s="20">
        <v>332</v>
      </c>
      <c r="D125" t="s" s="21">
        <v>25</v>
      </c>
      <c r="E125" t="s" s="21">
        <f>A125&amp;D125</f>
        <v>335</v>
      </c>
      <c r="F125" s="22">
        <v>1440</v>
      </c>
      <c r="G125" s="22">
        <v>1440</v>
      </c>
      <c r="H125" s="96"/>
      <c r="I125" s="22">
        <v>1440</v>
      </c>
      <c r="J125" s="22">
        <v>1440</v>
      </c>
      <c r="K125" s="57"/>
      <c r="L125" s="58"/>
      <c r="M125" s="59"/>
      <c r="N125" s="22">
        <f>36*60</f>
        <v>2160</v>
      </c>
      <c r="O125" s="22">
        <f>36*70</f>
        <v>2520</v>
      </c>
      <c r="P125" s="22">
        <f>36*170</f>
        <v>6120</v>
      </c>
      <c r="Q125" s="22">
        <f>36*190</f>
        <v>6840</v>
      </c>
      <c r="R125" s="22">
        <f>36*250</f>
        <v>9000</v>
      </c>
      <c r="S125" s="24">
        <v>0</v>
      </c>
      <c r="T125" s="24"/>
      <c r="U125" s="24"/>
      <c r="V125" s="24"/>
      <c r="W125" s="24"/>
      <c r="X125" s="24"/>
      <c r="Y125" s="24"/>
      <c r="Z125" s="24"/>
      <c r="AA125" s="24"/>
      <c r="AB125" s="24"/>
      <c r="AC125" s="24"/>
      <c r="AD125" s="24"/>
    </row>
    <row r="126" ht="12.7" customHeight="1">
      <c r="A126" t="s" s="18">
        <v>331</v>
      </c>
      <c r="B126" s="19">
        <v>500007</v>
      </c>
      <c r="C126" t="s" s="20">
        <v>332</v>
      </c>
      <c r="D126" t="s" s="21">
        <v>27</v>
      </c>
      <c r="E126" t="s" s="21">
        <f>A126&amp;D126</f>
        <v>336</v>
      </c>
      <c r="F126" s="22">
        <v>1440</v>
      </c>
      <c r="G126" s="22">
        <v>1440</v>
      </c>
      <c r="H126" s="95"/>
      <c r="I126" s="22">
        <v>1440</v>
      </c>
      <c r="J126" s="22">
        <v>1440</v>
      </c>
      <c r="K126" s="31"/>
      <c r="L126" s="32"/>
      <c r="M126" s="33"/>
      <c r="N126" s="22">
        <f>N125</f>
        <v>2160</v>
      </c>
      <c r="O126" s="22">
        <f>O125</f>
        <v>2520</v>
      </c>
      <c r="P126" s="22">
        <f>P125</f>
        <v>6120</v>
      </c>
      <c r="Q126" s="22">
        <f>Q125</f>
        <v>6840</v>
      </c>
      <c r="R126" s="22">
        <f>R125</f>
        <v>9000</v>
      </c>
      <c r="S126" s="24"/>
      <c r="T126" s="24"/>
      <c r="U126" s="24"/>
      <c r="V126" s="24"/>
      <c r="W126" s="24"/>
      <c r="X126" s="24"/>
      <c r="Y126" s="24"/>
      <c r="Z126" s="24"/>
      <c r="AA126" s="24"/>
      <c r="AB126" s="24"/>
      <c r="AC126" s="24"/>
      <c r="AD126" s="24"/>
    </row>
    <row r="127" ht="12.7" customHeight="1">
      <c r="A127" t="s" s="18">
        <v>331</v>
      </c>
      <c r="B127" s="19">
        <v>500007</v>
      </c>
      <c r="C127" t="s" s="20">
        <v>332</v>
      </c>
      <c r="D127" t="s" s="21">
        <v>29</v>
      </c>
      <c r="E127" t="s" s="21">
        <f>A127&amp;D127</f>
        <v>337</v>
      </c>
      <c r="F127" s="57"/>
      <c r="G127" s="58"/>
      <c r="H127" s="62"/>
      <c r="I127" s="22">
        <f>H128+I126-(I123-I124)-I131</f>
        <v>1747</v>
      </c>
      <c r="J127" s="22">
        <f>IF((I127+J126-(J123-J124)-J131)&lt;0,0,(I127+J126-(J123-J124)-J131))</f>
        <v>1547</v>
      </c>
      <c r="K127" s="22">
        <f>IF((J127+K126-(K123-K124)-K131)&lt;0,0,(J127+K126-(K123-K124)-K131))</f>
        <v>827</v>
      </c>
      <c r="L127" s="22">
        <f>IF((K127+L126-(L123-L124)-L131)&lt;0,0,(K127+L126-(L123-L124)-L131))</f>
        <v>664</v>
      </c>
      <c r="M127" s="22">
        <f>IF((L127+M126-(M123-M124)-M131)&lt;0,0,(L127+M126-(M123-M124)-M131))</f>
        <v>248</v>
      </c>
      <c r="N127" s="22">
        <f>IF((M127+N126-(N123-N124)-N131)&lt;0,0,(M127+N126-(N123-N124)-N131))</f>
        <v>1364</v>
      </c>
      <c r="O127" s="22">
        <f>IF((N127+O126-(O123-O124)-O131)&lt;0,0,(N127+O126-(O123-O124)-O131))</f>
        <v>3884</v>
      </c>
      <c r="P127" s="22">
        <f>IF((O127+P126-(P123-P124)-P131)&lt;0,0,(O127+P126-(P123-P124)-P131))</f>
        <v>4704.656</v>
      </c>
      <c r="Q127" s="22">
        <f>IF((P127+Q126-(Q123-Q124)-Q131)&lt;0,0,(P127+Q126-(Q123-Q124)-Q131))</f>
        <v>4943.096</v>
      </c>
      <c r="R127" s="22">
        <f>IF((Q127+R126-(R123-R124)-R131)&lt;0,0,(Q127+R126-(R123-R124)-R131))</f>
        <v>5801.984000000002</v>
      </c>
      <c r="S127" s="22"/>
      <c r="T127" s="22"/>
      <c r="U127" s="22"/>
      <c r="V127" s="22"/>
      <c r="W127" s="22"/>
      <c r="X127" s="22"/>
      <c r="Y127" s="22"/>
      <c r="Z127" s="22"/>
      <c r="AA127" s="22"/>
      <c r="AB127" s="22"/>
      <c r="AC127" s="22"/>
      <c r="AD127" s="22"/>
    </row>
    <row r="128" ht="12.7" customHeight="1">
      <c r="A128" t="s" s="18">
        <v>331</v>
      </c>
      <c r="B128" s="19">
        <v>500007</v>
      </c>
      <c r="C128" t="s" s="20">
        <v>332</v>
      </c>
      <c r="D128" t="s" s="21">
        <v>31</v>
      </c>
      <c r="E128" t="s" s="21">
        <f>A128&amp;D128</f>
        <v>338</v>
      </c>
      <c r="F128" s="31"/>
      <c r="G128" s="87"/>
      <c r="H128" s="33"/>
      <c r="I128" s="22">
        <v>0</v>
      </c>
      <c r="J128" s="48"/>
      <c r="K128" s="48"/>
      <c r="L128" s="48"/>
      <c r="M128" s="48"/>
      <c r="N128" s="48"/>
      <c r="O128" s="48"/>
      <c r="P128" s="48"/>
      <c r="Q128" s="48"/>
      <c r="R128" s="48"/>
      <c r="S128" s="22"/>
      <c r="T128" s="22"/>
      <c r="U128" s="22"/>
      <c r="V128" s="22"/>
      <c r="W128" s="22"/>
      <c r="X128" s="22"/>
      <c r="Y128" s="22"/>
      <c r="Z128" s="22"/>
      <c r="AA128" s="22"/>
      <c r="AB128" s="22"/>
      <c r="AC128" s="22"/>
      <c r="AD128" s="22"/>
    </row>
    <row r="129" ht="12.7" customHeight="1">
      <c r="A129" t="s" s="18">
        <v>331</v>
      </c>
      <c r="B129" s="19">
        <v>500007</v>
      </c>
      <c r="C129" t="s" s="20">
        <v>332</v>
      </c>
      <c r="D129" t="s" s="21">
        <v>33</v>
      </c>
      <c r="E129" t="s" s="21">
        <f>A129&amp;D129</f>
        <v>339</v>
      </c>
      <c r="F129" s="22">
        <v>0</v>
      </c>
      <c r="G129" s="22">
        <v>0</v>
      </c>
      <c r="H129" s="22">
        <v>0</v>
      </c>
      <c r="I129" s="22">
        <v>0</v>
      </c>
      <c r="J129" s="22">
        <f>IF((I127+J126-(J123-J124)-J131)&gt;0,0,(I127+J126-(J123-J124)-J131))</f>
        <v>0</v>
      </c>
      <c r="K129" s="22">
        <f>IF((J127+K126-(K123-K124)-K131)&gt;0,0,(J127+K126-(K123-K124)-K131))</f>
        <v>0</v>
      </c>
      <c r="L129" s="22">
        <f>IF((K127+L126-(L123-L124)-L131)&gt;0,0,(K127+L126-(L123-L124)-L131))</f>
        <v>0</v>
      </c>
      <c r="M129" s="22">
        <f>IF((L127+M126-(M123-M124)-M131)&gt;0,0,(L127+M126-(M123-M124)-M131))</f>
        <v>0</v>
      </c>
      <c r="N129" s="22">
        <f>IF((M127+N126-(N123-N124)-N131)&gt;0,0,(M127+N126-(N123-N124)-N131))</f>
        <v>0</v>
      </c>
      <c r="O129" s="22">
        <f>IF((N127+O126-(O123-O124)-O131)&gt;0,0,(N127+O126-(O123-O124)-O131))</f>
        <v>0</v>
      </c>
      <c r="P129" s="22">
        <f>IF((O127+P126-(P123-P124)-P131)&gt;0,0,(O127+P126-(P123-P124)-P131))</f>
        <v>0</v>
      </c>
      <c r="Q129" s="22">
        <f>IF((P127+Q126-(Q123-Q124)-Q131)&gt;0,0,(P127+Q126-(Q123-Q124)-Q131))</f>
        <v>0</v>
      </c>
      <c r="R129" s="22">
        <f>IF((Q127+R126-(R123-R124)-R131)&gt;0,0,(Q127+R126-(R123-R124)-R131))</f>
        <v>0</v>
      </c>
      <c r="S129" s="24">
        <f>IF((R127+S126-(S123-S124)-S131)&gt;0,0,(R127+S126-(S123-S124)-S131))</f>
        <v>-2418.015999999998</v>
      </c>
      <c r="T129" s="24"/>
      <c r="U129" s="24"/>
      <c r="V129" s="24"/>
      <c r="W129" s="24"/>
      <c r="X129" s="24"/>
      <c r="Y129" s="24"/>
      <c r="Z129" s="24"/>
      <c r="AA129" s="24"/>
      <c r="AB129" s="24"/>
      <c r="AC129" s="24"/>
      <c r="AD129" s="24"/>
    </row>
    <row r="130" ht="12.7" customHeight="1">
      <c r="A130" t="s" s="18">
        <v>331</v>
      </c>
      <c r="B130" s="19">
        <v>500007</v>
      </c>
      <c r="C130" t="s" s="20">
        <v>332</v>
      </c>
      <c r="D130" t="s" s="21">
        <v>35</v>
      </c>
      <c r="E130" t="s" s="21">
        <f>A130&amp;D130</f>
        <v>340</v>
      </c>
      <c r="F130" s="46"/>
      <c r="G130" s="49"/>
      <c r="H130" s="47"/>
      <c r="I130" s="22">
        <v>0</v>
      </c>
      <c r="J130" s="22">
        <v>0</v>
      </c>
      <c r="K130" s="22">
        <v>0</v>
      </c>
      <c r="L130" s="22">
        <v>0</v>
      </c>
      <c r="M130" s="22">
        <v>0</v>
      </c>
      <c r="N130" s="46"/>
      <c r="O130" s="58"/>
      <c r="P130" s="58"/>
      <c r="Q130" s="58"/>
      <c r="R130" s="59"/>
      <c r="S130" s="24"/>
      <c r="T130" s="24"/>
      <c r="U130" s="24"/>
      <c r="V130" s="24"/>
      <c r="W130" s="24"/>
      <c r="X130" s="24"/>
      <c r="Y130" s="24"/>
      <c r="Z130" s="24"/>
      <c r="AA130" s="24"/>
      <c r="AB130" s="24"/>
      <c r="AC130" s="24"/>
      <c r="AD130" s="24"/>
    </row>
    <row r="131" ht="12.7" customHeight="1">
      <c r="A131" t="s" s="18">
        <v>331</v>
      </c>
      <c r="B131" s="19">
        <v>500007</v>
      </c>
      <c r="C131" t="s" s="20">
        <v>332</v>
      </c>
      <c r="D131" t="s" s="21">
        <v>37</v>
      </c>
      <c r="E131" t="s" s="21">
        <f>A131&amp;D131</f>
        <v>341</v>
      </c>
      <c r="F131" s="22">
        <v>0</v>
      </c>
      <c r="G131" s="22">
        <v>0</v>
      </c>
      <c r="H131" s="30">
        <v>0</v>
      </c>
      <c r="I131" s="22">
        <f>IF(I130&gt;0,IF(I130-(I123-I124)&gt;0,(I130-(I123-I124)),0),0)</f>
        <v>0</v>
      </c>
      <c r="J131" s="22">
        <f>IF(J130&gt;0,IF(J130-(J123-J124)&gt;0,(J130-(J123-J124)),0),0)</f>
        <v>0</v>
      </c>
      <c r="K131" s="22">
        <f>IF(K130&gt;0,IF(K130-(K123-K124)&gt;0,(K130-(K123-K124)),0),0)</f>
        <v>0</v>
      </c>
      <c r="L131" s="22">
        <f>IF(L130&gt;0,IF(L130-(L123-L124)&gt;0,(L130-(L123-L124)),0),0)</f>
        <v>0</v>
      </c>
      <c r="M131" s="22">
        <v>0</v>
      </c>
      <c r="N131" s="22">
        <v>0</v>
      </c>
      <c r="O131" s="31"/>
      <c r="P131" s="32"/>
      <c r="Q131" s="32"/>
      <c r="R131" s="33"/>
      <c r="S131" s="24"/>
      <c r="T131" s="24"/>
      <c r="U131" s="24"/>
      <c r="V131" s="24"/>
      <c r="W131" s="24"/>
      <c r="X131" s="24"/>
      <c r="Y131" s="24"/>
      <c r="Z131" s="24"/>
      <c r="AA131" s="24"/>
      <c r="AB131" s="24"/>
      <c r="AC131" s="24"/>
      <c r="AD131" s="24"/>
    </row>
    <row r="132" ht="12.7" customHeight="1">
      <c r="A132" t="s" s="34">
        <v>331</v>
      </c>
      <c r="B132" s="35">
        <v>500007</v>
      </c>
      <c r="C132" t="s" s="36">
        <v>332</v>
      </c>
      <c r="D132" t="s" s="37">
        <v>39</v>
      </c>
      <c r="E132" t="s" s="37">
        <f>A132&amp;D132</f>
        <v>342</v>
      </c>
      <c r="F132" s="38">
        <f>IFERROR(F128/AVERAGE(G123:H123)*30,0)</f>
        <v>0</v>
      </c>
      <c r="G132" s="38">
        <f>IFERROR(G128/AVERAGE(H123:I123)*30,0)</f>
        <v>0</v>
      </c>
      <c r="H132" s="38">
        <f>IFERROR(H127/AVERAGE(I123:J123)*30,0)</f>
        <v>0</v>
      </c>
      <c r="I132" s="38">
        <f>IFERROR(I127/AVERAGE(J123:K123)*30,0)</f>
        <v>44.41525423728813</v>
      </c>
      <c r="J132" s="38">
        <f>IFERROR(J127/AVERAGE(K123:L123)*30,0)</f>
        <v>105.118912797282</v>
      </c>
      <c r="K132" s="38">
        <f>IFERROR(K127/AVERAGE(L123:M123)*30,0)</f>
        <v>85.69948186528497</v>
      </c>
      <c r="L132" s="38">
        <f>IFERROR(L127/AVERAGE(M123:N123)*30,0)</f>
        <v>27.28767123287671</v>
      </c>
      <c r="M132" s="38">
        <f>IFERROR(M127/AVERAGE(N123:O123)*30,0)</f>
        <v>14.25287356321839</v>
      </c>
      <c r="N132" s="38">
        <f>IFERROR(N127/AVERAGE(O123:P123)*30,0)</f>
        <v>15.44342092153293</v>
      </c>
      <c r="O132" s="38">
        <f>IFERROR(O127/AVERAGE(P123:Q123)*30,0)</f>
        <v>19.58170572588435</v>
      </c>
      <c r="P132" s="38">
        <f>IFERROR(P127/AVERAGE(Q123:R123)*30,0)</f>
        <v>19.14709626586008</v>
      </c>
      <c r="Q132" s="38">
        <f>IFERROR(Q127/AVERAGE(R123:S123)*30,0)</f>
        <v>18.12748179952561</v>
      </c>
      <c r="R132" s="38">
        <f>IFERROR(R127/AVERAGE(S123:T123)*30,0)</f>
        <v>21.17512408759125</v>
      </c>
      <c r="S132" s="38">
        <f>IFERROR(S127/AVERAGE(T123:U123)*30,0)</f>
        <v>0</v>
      </c>
      <c r="T132" s="38"/>
      <c r="U132" s="38"/>
      <c r="V132" s="38"/>
      <c r="W132" s="38"/>
      <c r="X132" s="38"/>
      <c r="Y132" s="38"/>
      <c r="Z132" s="38"/>
      <c r="AA132" s="38"/>
      <c r="AB132" s="38"/>
      <c r="AC132" s="38"/>
      <c r="AD132" s="38"/>
    </row>
    <row r="133" ht="12" customHeight="1">
      <c r="A133" s="39"/>
      <c r="B133" s="40"/>
      <c r="C133" s="40"/>
      <c r="D133" s="40"/>
      <c r="E133" s="40"/>
      <c r="F133" s="40"/>
      <c r="G133" t="s" s="90">
        <v>2</v>
      </c>
      <c r="H133" s="91"/>
      <c r="I133" s="91"/>
      <c r="J133" s="91"/>
      <c r="K133" s="91"/>
      <c r="L133" s="91"/>
      <c r="M133" s="91"/>
      <c r="N133" s="91"/>
      <c r="O133" s="91"/>
      <c r="P133" s="91"/>
      <c r="Q133" s="91"/>
      <c r="R133" s="91"/>
      <c r="S133" t="s" s="90">
        <v>3</v>
      </c>
      <c r="T133" s="91"/>
      <c r="U133" s="91"/>
      <c r="V133" s="91"/>
      <c r="W133" s="91"/>
      <c r="X133" s="91"/>
      <c r="Y133" s="91"/>
      <c r="Z133" s="91"/>
      <c r="AA133" s="91"/>
      <c r="AB133" s="91"/>
      <c r="AC133" s="91"/>
      <c r="AD133" s="92"/>
    </row>
    <row r="134" ht="13.5" customHeight="1">
      <c r="A134" t="s" s="8">
        <v>4</v>
      </c>
      <c r="B134" t="s" s="9">
        <v>5</v>
      </c>
      <c r="C134" t="s" s="9">
        <v>6</v>
      </c>
      <c r="D134" t="s" s="9">
        <v>7</v>
      </c>
      <c r="E134" s="10"/>
      <c r="F134" t="s" s="9">
        <v>18</v>
      </c>
      <c r="G134" t="s" s="9">
        <v>8</v>
      </c>
      <c r="H134" t="s" s="9">
        <v>9</v>
      </c>
      <c r="I134" t="s" s="9">
        <v>10</v>
      </c>
      <c r="J134" t="s" s="9">
        <v>11</v>
      </c>
      <c r="K134" t="s" s="9">
        <v>1</v>
      </c>
      <c r="L134" t="s" s="9">
        <v>12</v>
      </c>
      <c r="M134" t="s" s="9">
        <v>13</v>
      </c>
      <c r="N134" t="s" s="9">
        <v>14</v>
      </c>
      <c r="O134" t="s" s="9">
        <v>15</v>
      </c>
      <c r="P134" t="s" s="9">
        <v>16</v>
      </c>
      <c r="Q134" t="s" s="9">
        <v>17</v>
      </c>
      <c r="R134" t="s" s="9">
        <v>18</v>
      </c>
      <c r="S134" t="s" s="9">
        <v>8</v>
      </c>
      <c r="T134" t="s" s="9">
        <v>9</v>
      </c>
      <c r="U134" t="s" s="9">
        <v>10</v>
      </c>
      <c r="V134" t="s" s="9">
        <v>11</v>
      </c>
      <c r="W134" t="s" s="9">
        <v>1</v>
      </c>
      <c r="X134" t="s" s="9">
        <v>12</v>
      </c>
      <c r="Y134" t="s" s="9">
        <v>13</v>
      </c>
      <c r="Z134" t="s" s="9">
        <v>14</v>
      </c>
      <c r="AA134" t="s" s="9">
        <v>15</v>
      </c>
      <c r="AB134" t="s" s="9">
        <v>16</v>
      </c>
      <c r="AC134" t="s" s="9">
        <v>17</v>
      </c>
      <c r="AD134" t="s" s="11">
        <v>18</v>
      </c>
    </row>
    <row r="135" ht="12.7" customHeight="1">
      <c r="A135" t="s" s="12">
        <v>343</v>
      </c>
      <c r="B135" s="13">
        <v>500009</v>
      </c>
      <c r="C135" t="s" s="14">
        <v>344</v>
      </c>
      <c r="D135" t="s" s="15">
        <v>21</v>
      </c>
      <c r="E135" t="s" s="15">
        <f>A135&amp;D135</f>
        <v>345</v>
      </c>
      <c r="F135" s="93"/>
      <c r="G135" s="83"/>
      <c r="H135" s="84"/>
      <c r="I135" s="85"/>
      <c r="J135" s="17">
        <v>0</v>
      </c>
      <c r="K135" s="17">
        <v>0</v>
      </c>
      <c r="L135" s="17">
        <v>0</v>
      </c>
      <c r="M135" s="17">
        <v>0</v>
      </c>
      <c r="N135" s="17">
        <v>0</v>
      </c>
      <c r="O135" s="17">
        <v>0</v>
      </c>
      <c r="P135" s="17">
        <v>962.8</v>
      </c>
      <c r="Q135" s="17">
        <v>2411.64</v>
      </c>
      <c r="R135" s="17">
        <v>2819.96</v>
      </c>
      <c r="S135" s="17">
        <v>364.8</v>
      </c>
      <c r="T135" s="17"/>
      <c r="U135" s="17"/>
      <c r="V135" s="17"/>
      <c r="W135" s="17"/>
      <c r="X135" s="17"/>
      <c r="Y135" s="17"/>
      <c r="Z135" s="17"/>
      <c r="AA135" s="17"/>
      <c r="AB135" s="17"/>
      <c r="AC135" s="17"/>
      <c r="AD135" s="17"/>
    </row>
    <row r="136" ht="12.7" customHeight="1">
      <c r="A136" t="s" s="18">
        <v>343</v>
      </c>
      <c r="B136" s="19">
        <v>500009</v>
      </c>
      <c r="C136" t="s" s="20">
        <v>344</v>
      </c>
      <c r="D136" t="s" s="21">
        <v>23</v>
      </c>
      <c r="E136" t="s" s="21">
        <f>A136&amp;D136</f>
        <v>346</v>
      </c>
      <c r="F136" s="22">
        <v>2210</v>
      </c>
      <c r="G136" s="22">
        <v>304</v>
      </c>
      <c r="H136" s="22">
        <v>89</v>
      </c>
      <c r="I136" s="22">
        <v>11</v>
      </c>
      <c r="J136" s="86">
        <f>INDEX('Sales Actual'!$H$5:$H$66,MATCH($A136,'Sales Actual'!$G$5:$G$66,0))</f>
        <v>0</v>
      </c>
      <c r="K136" s="86">
        <f>INDEX('Sales Actual'!$J$5:$J$66,MATCH($A136,'Sales Actual'!$I$5:$I$66,0))</f>
        <v>0</v>
      </c>
      <c r="L136" s="86">
        <f>INDEX('Sales Actual'!$L$5:$L$66,MATCH($A136,'Sales Actual'!$K$5:$K$66,0))</f>
        <v>0</v>
      </c>
      <c r="M136" s="86">
        <f>INDEX('Sales Actual'!$N$4:$N$65,MATCH($A136,'Sales Actual'!$M$4:$M$65,0))</f>
        <v>0</v>
      </c>
      <c r="N136" s="86">
        <f>INDEX('Sales Actual'!$P$4:$P$64,MATCH($A136,'Sales Actual'!$O$4:$O$65,0))</f>
        <v>0</v>
      </c>
      <c r="O136" s="86">
        <f>INDEX('Sales Actual'!$R$4:$R$65,MATCH($A136,'Sales Actual'!$Q$4:$Q$65,0))</f>
        <v>0</v>
      </c>
      <c r="P136" s="86">
        <f>INDEX('Sales Actual'!$T$4:$T$66,MATCH($A136,'Sales Actual'!$S$4:$S$66,0))</f>
        <v>0</v>
      </c>
      <c r="Q136" s="86">
        <f>INDEX('Sales Actual'!$V$4:$V$65,MATCH($A136,'Sales Actual'!$U$4:$U$65,0))</f>
        <v>0</v>
      </c>
      <c r="R136" s="86">
        <f>INDEX('Sales Actual'!$X$4:$X$65,MATCH($A136,'Sales Actual'!$W$4:$W$65,0))</f>
        <v>0</v>
      </c>
      <c r="S136" s="22"/>
      <c r="T136" s="22"/>
      <c r="U136" s="22"/>
      <c r="V136" s="22"/>
      <c r="W136" s="22"/>
      <c r="X136" s="22"/>
      <c r="Y136" s="22"/>
      <c r="Z136" s="22"/>
      <c r="AA136" s="22"/>
      <c r="AB136" s="22"/>
      <c r="AC136" s="22"/>
      <c r="AD136" s="22"/>
    </row>
    <row r="137" ht="12.7" customHeight="1">
      <c r="A137" t="s" s="18">
        <v>343</v>
      </c>
      <c r="B137" s="19">
        <v>500009</v>
      </c>
      <c r="C137" t="s" s="20">
        <v>344</v>
      </c>
      <c r="D137" t="s" s="21">
        <v>25</v>
      </c>
      <c r="E137" t="s" s="21">
        <f>A137&amp;D137</f>
        <v>347</v>
      </c>
      <c r="F137" s="57"/>
      <c r="G137" s="58"/>
      <c r="H137" s="58"/>
      <c r="I137" s="58"/>
      <c r="J137" s="58"/>
      <c r="K137" s="58"/>
      <c r="L137" s="58"/>
      <c r="M137" s="59"/>
      <c r="N137" s="22">
        <v>0</v>
      </c>
      <c r="O137" s="22">
        <f>10*50</f>
        <v>500</v>
      </c>
      <c r="P137" s="22">
        <f>10*180</f>
        <v>1800</v>
      </c>
      <c r="Q137" s="22">
        <f>10*185</f>
        <v>1850</v>
      </c>
      <c r="R137" s="22">
        <f t="shared" si="738" ref="R137:R197">10*230</f>
        <v>2300</v>
      </c>
      <c r="S137" s="24">
        <v>0</v>
      </c>
      <c r="T137" s="24"/>
      <c r="U137" s="24"/>
      <c r="V137" s="24"/>
      <c r="W137" s="24"/>
      <c r="X137" s="24"/>
      <c r="Y137" s="24"/>
      <c r="Z137" s="24"/>
      <c r="AA137" s="24"/>
      <c r="AB137" s="24"/>
      <c r="AC137" s="24"/>
      <c r="AD137" s="24"/>
    </row>
    <row r="138" ht="12.7" customHeight="1">
      <c r="A138" t="s" s="18">
        <v>343</v>
      </c>
      <c r="B138" s="19">
        <v>500009</v>
      </c>
      <c r="C138" t="s" s="20">
        <v>344</v>
      </c>
      <c r="D138" t="s" s="21">
        <v>27</v>
      </c>
      <c r="E138" t="s" s="21">
        <f>A138&amp;D138</f>
        <v>348</v>
      </c>
      <c r="F138" s="60"/>
      <c r="G138" s="61"/>
      <c r="H138" s="61"/>
      <c r="I138" s="32"/>
      <c r="J138" s="32"/>
      <c r="K138" s="32"/>
      <c r="L138" s="32"/>
      <c r="M138" s="33"/>
      <c r="N138" s="22">
        <f>N137</f>
        <v>0</v>
      </c>
      <c r="O138" s="22">
        <f>O137</f>
        <v>500</v>
      </c>
      <c r="P138" s="22">
        <f>P137</f>
        <v>1800</v>
      </c>
      <c r="Q138" s="22">
        <f>Q137</f>
        <v>1850</v>
      </c>
      <c r="R138" s="22">
        <f>R137</f>
        <v>2300</v>
      </c>
      <c r="S138" s="24"/>
      <c r="T138" s="24"/>
      <c r="U138" s="24"/>
      <c r="V138" s="24"/>
      <c r="W138" s="24"/>
      <c r="X138" s="24"/>
      <c r="Y138" s="24"/>
      <c r="Z138" s="24"/>
      <c r="AA138" s="24"/>
      <c r="AB138" s="24"/>
      <c r="AC138" s="24"/>
      <c r="AD138" s="24"/>
    </row>
    <row r="139" ht="12.7" customHeight="1">
      <c r="A139" t="s" s="18">
        <v>343</v>
      </c>
      <c r="B139" s="19">
        <v>500009</v>
      </c>
      <c r="C139" t="s" s="20">
        <v>344</v>
      </c>
      <c r="D139" t="s" s="21">
        <v>29</v>
      </c>
      <c r="E139" t="s" s="21">
        <f>A139&amp;D139</f>
        <v>349</v>
      </c>
      <c r="F139" s="60"/>
      <c r="G139" s="61"/>
      <c r="H139" s="62"/>
      <c r="I139" s="22">
        <f>H140+I138-(I135-I136)-I143</f>
        <v>11</v>
      </c>
      <c r="J139" s="22">
        <f>IF((I139+J138-(J135-J136)-J143)&lt;0,0,(I139+J138-(J135-J136)-J143))</f>
        <v>11</v>
      </c>
      <c r="K139" s="22">
        <f>IF((J139+K138-(K135-K136)-K143)&lt;0,0,(J139+K138-(K135-K136)-K143))</f>
        <v>11</v>
      </c>
      <c r="L139" s="22">
        <f>IF((K139+L138-(L135-L136)-L143)&lt;0,0,(K139+L138-(L135-L136)-L143))</f>
        <v>11</v>
      </c>
      <c r="M139" s="22">
        <f>IF((L139+M138-(M135-M136)-M143)&lt;0,0,(L139+M138-(M135-M136)-M143))</f>
        <v>11</v>
      </c>
      <c r="N139" s="22">
        <f>IF((M139+N138-(N135-N136)-N143)&lt;0,0,(M139+N138-(N135-N136)-N143))</f>
        <v>11</v>
      </c>
      <c r="O139" s="22">
        <f>IF((N139+O138-(O135-O136)-O143)&lt;0,0,(N139+O138-(O135-O136)-O143))</f>
        <v>511</v>
      </c>
      <c r="P139" s="22">
        <f>IF((O139+P138-(P135-P136)-P143)&lt;0,0,(O139+P138-(P135-P136)-P143))</f>
        <v>1348.2</v>
      </c>
      <c r="Q139" s="22">
        <f>IF((P139+Q138-(Q135-Q136)-Q143)&lt;0,0,(P139+Q138-(Q135-Q136)-Q143))</f>
        <v>786.5599999999999</v>
      </c>
      <c r="R139" s="22">
        <f>IF((Q139+R138-(R135-R136)-R143)&lt;0,0,(Q139+R138-(R135-R136)-R143))</f>
        <v>266.5999999999999</v>
      </c>
      <c r="S139" s="22"/>
      <c r="T139" s="22"/>
      <c r="U139" s="22"/>
      <c r="V139" s="22"/>
      <c r="W139" s="22"/>
      <c r="X139" s="22"/>
      <c r="Y139" s="22"/>
      <c r="Z139" s="22"/>
      <c r="AA139" s="22"/>
      <c r="AB139" s="22"/>
      <c r="AC139" s="22"/>
      <c r="AD139" s="22"/>
    </row>
    <row r="140" ht="12.7" customHeight="1">
      <c r="A140" t="s" s="18">
        <v>343</v>
      </c>
      <c r="B140" s="19">
        <v>500009</v>
      </c>
      <c r="C140" t="s" s="20">
        <v>344</v>
      </c>
      <c r="D140" t="s" s="21">
        <v>31</v>
      </c>
      <c r="E140" t="s" s="21">
        <f>A140&amp;D140</f>
        <v>350</v>
      </c>
      <c r="F140" s="31"/>
      <c r="G140" s="87"/>
      <c r="H140" s="33"/>
      <c r="I140" s="22">
        <v>0</v>
      </c>
      <c r="J140" s="48"/>
      <c r="K140" s="48"/>
      <c r="L140" s="48"/>
      <c r="M140" s="48"/>
      <c r="N140" s="48"/>
      <c r="O140" s="48"/>
      <c r="P140" s="48"/>
      <c r="Q140" s="48"/>
      <c r="R140" s="48"/>
      <c r="S140" s="22"/>
      <c r="T140" s="22"/>
      <c r="U140" s="22"/>
      <c r="V140" s="22"/>
      <c r="W140" s="22"/>
      <c r="X140" s="22"/>
      <c r="Y140" s="22"/>
      <c r="Z140" s="22"/>
      <c r="AA140" s="22"/>
      <c r="AB140" s="22"/>
      <c r="AC140" s="22"/>
      <c r="AD140" s="22"/>
    </row>
    <row r="141" ht="12.7" customHeight="1">
      <c r="A141" t="s" s="18">
        <v>343</v>
      </c>
      <c r="B141" s="19">
        <v>500009</v>
      </c>
      <c r="C141" t="s" s="20">
        <v>344</v>
      </c>
      <c r="D141" t="s" s="21">
        <v>33</v>
      </c>
      <c r="E141" t="s" s="21">
        <f>A141&amp;D141</f>
        <v>351</v>
      </c>
      <c r="F141" s="22">
        <v>0</v>
      </c>
      <c r="G141" s="22">
        <v>0</v>
      </c>
      <c r="H141" s="22">
        <v>0</v>
      </c>
      <c r="I141" s="22">
        <v>0</v>
      </c>
      <c r="J141" s="22">
        <f>IF((I139+J138-(J135-J136)-J143)&gt;0,0,(I139+J138-(J135-J136)-J143))</f>
        <v>0</v>
      </c>
      <c r="K141" s="22">
        <f>IF((J139+K138-(K135-K136)-K143)&gt;0,0,(J139+K138-(K135-K136)-K143))</f>
        <v>0</v>
      </c>
      <c r="L141" s="22">
        <f>IF((K139+L138-(L135-L136)-L143)&gt;0,0,(K139+L138-(L135-L136)-L143))</f>
        <v>0</v>
      </c>
      <c r="M141" s="22">
        <f>IF((L139+M138-(M135-M136)-M143)&gt;0,0,(L139+M138-(M135-M136)-M143))</f>
        <v>0</v>
      </c>
      <c r="N141" s="22">
        <f>IF((M139+N138-(N135-N136)-N143)&gt;0,0,(M139+N138-(N135-N136)-N143))</f>
        <v>0</v>
      </c>
      <c r="O141" s="22">
        <f>IF((N139+O138-(O135-O136)-O143)&gt;0,0,(N139+O138-(O135-O136)-O143))</f>
        <v>0</v>
      </c>
      <c r="P141" s="22">
        <f>IF((O139+P138-(P135-P136)-P143)&gt;0,0,(O139+P138-(P135-P136)-P143))</f>
        <v>0</v>
      </c>
      <c r="Q141" s="22">
        <f>IF((P139+Q138-(Q135-Q136)-Q143)&gt;0,0,(P139+Q138-(Q135-Q136)-Q143))</f>
        <v>0</v>
      </c>
      <c r="R141" s="22">
        <f>IF((Q139+R138-(R135-R136)-R143)&gt;0,0,(Q139+R138-(R135-R136)-R143))</f>
        <v>0</v>
      </c>
      <c r="S141" s="24">
        <f>IF((R139+S138-(S135-S136)-S143)&gt;0,0,(R139+S138-(S135-S136)-S143))</f>
        <v>-98.2000000000001</v>
      </c>
      <c r="T141" s="24"/>
      <c r="U141" s="24"/>
      <c r="V141" s="24"/>
      <c r="W141" s="24"/>
      <c r="X141" s="24"/>
      <c r="Y141" s="24"/>
      <c r="Z141" s="24"/>
      <c r="AA141" s="24"/>
      <c r="AB141" s="24"/>
      <c r="AC141" s="24"/>
      <c r="AD141" s="24"/>
    </row>
    <row r="142" ht="12.7" customHeight="1">
      <c r="A142" t="s" s="18">
        <v>343</v>
      </c>
      <c r="B142" s="19">
        <v>500009</v>
      </c>
      <c r="C142" t="s" s="20">
        <v>344</v>
      </c>
      <c r="D142" t="s" s="21">
        <v>35</v>
      </c>
      <c r="E142" t="s" s="21">
        <f>A142&amp;D142</f>
        <v>352</v>
      </c>
      <c r="F142" s="46"/>
      <c r="G142" s="49"/>
      <c r="H142" s="47"/>
      <c r="I142" s="22">
        <v>0</v>
      </c>
      <c r="J142" s="22">
        <v>0</v>
      </c>
      <c r="K142" s="22">
        <v>0</v>
      </c>
      <c r="L142" s="22">
        <v>0</v>
      </c>
      <c r="M142" s="22">
        <v>0</v>
      </c>
      <c r="N142" s="46"/>
      <c r="O142" s="58"/>
      <c r="P142" s="58"/>
      <c r="Q142" s="58"/>
      <c r="R142" s="59"/>
      <c r="S142" s="24"/>
      <c r="T142" s="24"/>
      <c r="U142" s="24"/>
      <c r="V142" s="24"/>
      <c r="W142" s="24"/>
      <c r="X142" s="24"/>
      <c r="Y142" s="24"/>
      <c r="Z142" s="24"/>
      <c r="AA142" s="24"/>
      <c r="AB142" s="24"/>
      <c r="AC142" s="24"/>
      <c r="AD142" s="24"/>
    </row>
    <row r="143" ht="12.7" customHeight="1">
      <c r="A143" t="s" s="18">
        <v>343</v>
      </c>
      <c r="B143" s="19">
        <v>500009</v>
      </c>
      <c r="C143" t="s" s="20">
        <v>344</v>
      </c>
      <c r="D143" t="s" s="21">
        <v>37</v>
      </c>
      <c r="E143" t="s" s="21">
        <f>A143&amp;D143</f>
        <v>353</v>
      </c>
      <c r="F143" s="22">
        <v>0</v>
      </c>
      <c r="G143" s="22">
        <v>0</v>
      </c>
      <c r="H143" s="30">
        <v>0</v>
      </c>
      <c r="I143" s="22">
        <f>IF(I142&gt;0,IF(I142-(I135-I136)&gt;0,(I142-(I135-I136)),0),0)</f>
        <v>0</v>
      </c>
      <c r="J143" s="22">
        <f>IF(J142&gt;0,IF(J142-(J135-J136)&gt;0,(J142-(J135-J136)),0),0)</f>
        <v>0</v>
      </c>
      <c r="K143" s="22">
        <f>IF(K142&gt;0,IF(K142-(K135-K136)&gt;0,(K142-(K135-K136)),0),0)</f>
        <v>0</v>
      </c>
      <c r="L143" s="22">
        <f>IF(L142&gt;0,IF(L142-(L135-L136)&gt;0,(L142-(L135-L136)),0),0)</f>
        <v>0</v>
      </c>
      <c r="M143" s="22">
        <v>0</v>
      </c>
      <c r="N143" s="22">
        <v>0</v>
      </c>
      <c r="O143" s="31"/>
      <c r="P143" s="32"/>
      <c r="Q143" s="32"/>
      <c r="R143" s="33"/>
      <c r="S143" s="24"/>
      <c r="T143" s="24"/>
      <c r="U143" s="24"/>
      <c r="V143" s="24"/>
      <c r="W143" s="24"/>
      <c r="X143" s="24"/>
      <c r="Y143" s="24"/>
      <c r="Z143" s="24"/>
      <c r="AA143" s="24"/>
      <c r="AB143" s="24"/>
      <c r="AC143" s="24"/>
      <c r="AD143" s="24"/>
    </row>
    <row r="144" ht="12.7" customHeight="1">
      <c r="A144" t="s" s="34">
        <v>343</v>
      </c>
      <c r="B144" s="35">
        <v>500009</v>
      </c>
      <c r="C144" t="s" s="36">
        <v>344</v>
      </c>
      <c r="D144" t="s" s="37">
        <v>39</v>
      </c>
      <c r="E144" t="s" s="37">
        <f>A144&amp;D144</f>
        <v>354</v>
      </c>
      <c r="F144" s="38">
        <f>IFERROR(F140/AVERAGE(G135:H135)*30,0)</f>
        <v>0</v>
      </c>
      <c r="G144" s="38">
        <f>IFERROR(G140/AVERAGE(H135:I135)*30,0)</f>
        <v>0</v>
      </c>
      <c r="H144" s="38">
        <f>IFERROR(H139/AVERAGE(I135:J135)*30,0)</f>
        <v>0</v>
      </c>
      <c r="I144" s="38">
        <f>IFERROR(I139/AVERAGE(J135:K135)*30,0)</f>
        <v>0</v>
      </c>
      <c r="J144" s="38">
        <f>IFERROR(J139/AVERAGE(K135:L135)*30,0)</f>
        <v>0</v>
      </c>
      <c r="K144" s="38">
        <f>IFERROR(K139/AVERAGE(L135:M135)*30,0)</f>
        <v>0</v>
      </c>
      <c r="L144" s="38">
        <f>IFERROR(L139/AVERAGE(M135:N135)*30,0)</f>
        <v>0</v>
      </c>
      <c r="M144" s="38">
        <f>IFERROR(M139/AVERAGE(N135:O135)*30,0)</f>
        <v>0</v>
      </c>
      <c r="N144" s="38">
        <f>IFERROR(N139/AVERAGE(O135:P135)*30,0)</f>
        <v>0.6855006231823847</v>
      </c>
      <c r="O144" s="38">
        <f>IFERROR(O139/AVERAGE(P135:Q135)*30,0)</f>
        <v>9.085952039449509</v>
      </c>
      <c r="P144" s="38">
        <f>IFERROR(P139/AVERAGE(Q135:R135)*30,0)</f>
        <v>15.46219129902898</v>
      </c>
      <c r="Q144" s="38">
        <f>IFERROR(Q139/AVERAGE(R135:S135)*30,0)</f>
        <v>14.8185734560846</v>
      </c>
      <c r="R144" s="38">
        <f>IFERROR(R139/AVERAGE(S135:T135)*30,0)</f>
        <v>21.92434210526315</v>
      </c>
      <c r="S144" s="38">
        <f>IFERROR(S139/AVERAGE(T135:U135)*30,0)</f>
        <v>0</v>
      </c>
      <c r="T144" s="38"/>
      <c r="U144" s="38"/>
      <c r="V144" s="38"/>
      <c r="W144" s="38"/>
      <c r="X144" s="38"/>
      <c r="Y144" s="38"/>
      <c r="Z144" s="38"/>
      <c r="AA144" s="38"/>
      <c r="AB144" s="38"/>
      <c r="AC144" s="38"/>
      <c r="AD144" s="38"/>
    </row>
    <row r="145" ht="12" customHeight="1">
      <c r="A145" s="39"/>
      <c r="B145" s="40"/>
      <c r="C145" s="40"/>
      <c r="D145" s="40"/>
      <c r="E145" s="40"/>
      <c r="F145" s="40"/>
      <c r="G145" t="s" s="90">
        <v>2</v>
      </c>
      <c r="H145" s="91"/>
      <c r="I145" s="91"/>
      <c r="J145" s="91"/>
      <c r="K145" s="91"/>
      <c r="L145" s="91"/>
      <c r="M145" s="91"/>
      <c r="N145" s="91"/>
      <c r="O145" s="91"/>
      <c r="P145" s="91"/>
      <c r="Q145" s="91"/>
      <c r="R145" s="91"/>
      <c r="S145" t="s" s="90">
        <v>3</v>
      </c>
      <c r="T145" s="91"/>
      <c r="U145" s="91"/>
      <c r="V145" s="91"/>
      <c r="W145" s="91"/>
      <c r="X145" s="91"/>
      <c r="Y145" s="91"/>
      <c r="Z145" s="91"/>
      <c r="AA145" s="91"/>
      <c r="AB145" s="91"/>
      <c r="AC145" s="91"/>
      <c r="AD145" s="92"/>
    </row>
    <row r="146" ht="13.5" customHeight="1">
      <c r="A146" t="s" s="8">
        <v>4</v>
      </c>
      <c r="B146" t="s" s="9">
        <v>5</v>
      </c>
      <c r="C146" t="s" s="9">
        <v>6</v>
      </c>
      <c r="D146" t="s" s="9">
        <v>7</v>
      </c>
      <c r="E146" s="10"/>
      <c r="F146" t="s" s="9">
        <v>18</v>
      </c>
      <c r="G146" t="s" s="9">
        <v>8</v>
      </c>
      <c r="H146" t="s" s="9">
        <v>9</v>
      </c>
      <c r="I146" t="s" s="9">
        <v>10</v>
      </c>
      <c r="J146" t="s" s="9">
        <v>11</v>
      </c>
      <c r="K146" t="s" s="9">
        <v>1</v>
      </c>
      <c r="L146" t="s" s="9">
        <v>12</v>
      </c>
      <c r="M146" t="s" s="9">
        <v>13</v>
      </c>
      <c r="N146" t="s" s="9">
        <v>14</v>
      </c>
      <c r="O146" t="s" s="9">
        <v>15</v>
      </c>
      <c r="P146" t="s" s="9">
        <v>16</v>
      </c>
      <c r="Q146" t="s" s="9">
        <v>17</v>
      </c>
      <c r="R146" t="s" s="9">
        <v>18</v>
      </c>
      <c r="S146" t="s" s="9">
        <v>8</v>
      </c>
      <c r="T146" t="s" s="9">
        <v>9</v>
      </c>
      <c r="U146" t="s" s="9">
        <v>10</v>
      </c>
      <c r="V146" t="s" s="9">
        <v>11</v>
      </c>
      <c r="W146" t="s" s="9">
        <v>1</v>
      </c>
      <c r="X146" t="s" s="9">
        <v>12</v>
      </c>
      <c r="Y146" t="s" s="9">
        <v>13</v>
      </c>
      <c r="Z146" t="s" s="9">
        <v>14</v>
      </c>
      <c r="AA146" t="s" s="9">
        <v>15</v>
      </c>
      <c r="AB146" t="s" s="9">
        <v>16</v>
      </c>
      <c r="AC146" t="s" s="9">
        <v>17</v>
      </c>
      <c r="AD146" t="s" s="11">
        <v>18</v>
      </c>
    </row>
    <row r="147" ht="12.7" customHeight="1">
      <c r="A147" t="s" s="12">
        <v>355</v>
      </c>
      <c r="B147" s="13">
        <v>500024</v>
      </c>
      <c r="C147" t="s" s="14">
        <v>356</v>
      </c>
      <c r="D147" t="s" s="15">
        <v>21</v>
      </c>
      <c r="E147" t="s" s="15">
        <f>A147&amp;D147</f>
        <v>357</v>
      </c>
      <c r="F147" s="93"/>
      <c r="G147" s="83"/>
      <c r="H147" s="84"/>
      <c r="I147" s="85"/>
      <c r="J147" s="17">
        <v>0</v>
      </c>
      <c r="K147" s="17">
        <v>0</v>
      </c>
      <c r="L147" s="17">
        <v>0</v>
      </c>
      <c r="M147" s="17">
        <v>0</v>
      </c>
      <c r="N147" s="17">
        <v>696</v>
      </c>
      <c r="O147" s="17">
        <v>4176</v>
      </c>
      <c r="P147" s="17">
        <v>2784</v>
      </c>
      <c r="Q147" s="17">
        <v>9637.216199999999</v>
      </c>
      <c r="R147" s="17">
        <v>9965.791999999999</v>
      </c>
      <c r="S147" s="17">
        <v>8718</v>
      </c>
      <c r="T147" s="17"/>
      <c r="U147" s="17"/>
      <c r="V147" s="17"/>
      <c r="W147" s="17"/>
      <c r="X147" s="17"/>
      <c r="Y147" s="17"/>
      <c r="Z147" s="17"/>
      <c r="AA147" s="17"/>
      <c r="AB147" s="17"/>
      <c r="AC147" s="17"/>
      <c r="AD147" s="17"/>
    </row>
    <row r="148" ht="12.7" customHeight="1">
      <c r="A148" t="s" s="18">
        <v>355</v>
      </c>
      <c r="B148" s="19">
        <v>500024</v>
      </c>
      <c r="C148" t="s" s="20">
        <v>356</v>
      </c>
      <c r="D148" t="s" s="21">
        <v>23</v>
      </c>
      <c r="E148" t="s" s="21">
        <f>A148&amp;D148</f>
        <v>358</v>
      </c>
      <c r="F148" s="22">
        <v>10739</v>
      </c>
      <c r="G148" s="22">
        <v>7265</v>
      </c>
      <c r="H148" s="22">
        <v>463</v>
      </c>
      <c r="I148" s="22">
        <v>220</v>
      </c>
      <c r="J148" s="86">
        <f>INDEX('Sales Actual'!$H$5:$H$66,MATCH($A148,'Sales Actual'!$G$5:$G$66,0))</f>
        <v>0</v>
      </c>
      <c r="K148" s="86">
        <f>INDEX('Sales Actual'!$J$5:$J$66,MATCH($A148,'Sales Actual'!$I$5:$I$66,0))</f>
        <v>0</v>
      </c>
      <c r="L148" s="86">
        <f>INDEX('Sales Actual'!$L$5:$L$66,MATCH($A148,'Sales Actual'!$K$5:$K$66,0))</f>
        <v>0</v>
      </c>
      <c r="M148" s="86">
        <f>INDEX('Sales Actual'!$N$4:$N$65,MATCH($A148,'Sales Actual'!$M$4:$M$65,0))</f>
        <v>0</v>
      </c>
      <c r="N148" s="86">
        <f>INDEX('Sales Actual'!$P$4:$P$64,MATCH($A148,'Sales Actual'!$O$4:$O$65,0))</f>
        <v>0</v>
      </c>
      <c r="O148" s="86">
        <f>INDEX('Sales Actual'!$R$4:$R$65,MATCH($A148,'Sales Actual'!$Q$4:$Q$65,0))</f>
        <v>0</v>
      </c>
      <c r="P148" s="86">
        <f>INDEX('Sales Actual'!$T$4:$T$66,MATCH($A148,'Sales Actual'!$S$4:$S$66,0))</f>
        <v>0</v>
      </c>
      <c r="Q148" s="86">
        <f>INDEX('Sales Actual'!$V$4:$V$65,MATCH($A148,'Sales Actual'!$U$4:$U$65,0))</f>
        <v>0</v>
      </c>
      <c r="R148" s="86">
        <f>INDEX('Sales Actual'!$X$4:$X$65,MATCH($A148,'Sales Actual'!$W$4:$W$65,0))</f>
        <v>0</v>
      </c>
      <c r="S148" s="22"/>
      <c r="T148" s="22"/>
      <c r="U148" s="22"/>
      <c r="V148" s="22"/>
      <c r="W148" s="22"/>
      <c r="X148" s="22"/>
      <c r="Y148" s="22"/>
      <c r="Z148" s="22"/>
      <c r="AA148" s="22"/>
      <c r="AB148" s="22"/>
      <c r="AC148" s="22"/>
      <c r="AD148" s="22"/>
    </row>
    <row r="149" ht="12.7" customHeight="1">
      <c r="A149" t="s" s="18">
        <v>355</v>
      </c>
      <c r="B149" s="19">
        <v>500024</v>
      </c>
      <c r="C149" t="s" s="20">
        <v>356</v>
      </c>
      <c r="D149" t="s" s="21">
        <v>25</v>
      </c>
      <c r="E149" t="s" s="21">
        <f>A149&amp;D149</f>
        <v>359</v>
      </c>
      <c r="F149" s="57"/>
      <c r="G149" s="58"/>
      <c r="H149" s="58"/>
      <c r="I149" s="58"/>
      <c r="J149" s="58"/>
      <c r="K149" s="58"/>
      <c r="L149" s="58"/>
      <c r="M149" s="59"/>
      <c r="N149" s="22">
        <f>12*200</f>
        <v>2400</v>
      </c>
      <c r="O149" s="22">
        <f>12*500</f>
        <v>6000</v>
      </c>
      <c r="P149" s="22">
        <f>12*400</f>
        <v>4800</v>
      </c>
      <c r="Q149" s="22">
        <f>12*780</f>
        <v>9360</v>
      </c>
      <c r="R149" s="22">
        <f>12*890</f>
        <v>10680</v>
      </c>
      <c r="S149" s="24">
        <v>0</v>
      </c>
      <c r="T149" s="24"/>
      <c r="U149" s="24"/>
      <c r="V149" s="24"/>
      <c r="W149" s="24"/>
      <c r="X149" s="24"/>
      <c r="Y149" s="24"/>
      <c r="Z149" s="24"/>
      <c r="AA149" s="24"/>
      <c r="AB149" s="24"/>
      <c r="AC149" s="24"/>
      <c r="AD149" s="24"/>
    </row>
    <row r="150" ht="12.7" customHeight="1">
      <c r="A150" t="s" s="18">
        <v>355</v>
      </c>
      <c r="B150" s="19">
        <v>500024</v>
      </c>
      <c r="C150" t="s" s="20">
        <v>356</v>
      </c>
      <c r="D150" t="s" s="21">
        <v>27</v>
      </c>
      <c r="E150" t="s" s="21">
        <f>A150&amp;D150</f>
        <v>360</v>
      </c>
      <c r="F150" s="60"/>
      <c r="G150" s="61"/>
      <c r="H150" s="61"/>
      <c r="I150" s="32"/>
      <c r="J150" s="32"/>
      <c r="K150" s="32"/>
      <c r="L150" s="32"/>
      <c r="M150" s="33"/>
      <c r="N150" s="22">
        <f>N149</f>
        <v>2400</v>
      </c>
      <c r="O150" s="22">
        <f>O149</f>
        <v>6000</v>
      </c>
      <c r="P150" s="22">
        <f>P149</f>
        <v>4800</v>
      </c>
      <c r="Q150" s="22">
        <f>Q149</f>
        <v>9360</v>
      </c>
      <c r="R150" s="22">
        <f>R149</f>
        <v>10680</v>
      </c>
      <c r="S150" s="24"/>
      <c r="T150" s="24"/>
      <c r="U150" s="24"/>
      <c r="V150" s="24"/>
      <c r="W150" s="24"/>
      <c r="X150" s="24"/>
      <c r="Y150" s="24"/>
      <c r="Z150" s="24"/>
      <c r="AA150" s="24"/>
      <c r="AB150" s="24"/>
      <c r="AC150" s="24"/>
      <c r="AD150" s="24"/>
    </row>
    <row r="151" ht="12.7" customHeight="1">
      <c r="A151" t="s" s="18">
        <v>355</v>
      </c>
      <c r="B151" s="19">
        <v>500024</v>
      </c>
      <c r="C151" t="s" s="20">
        <v>356</v>
      </c>
      <c r="D151" t="s" s="21">
        <v>29</v>
      </c>
      <c r="E151" t="s" s="21">
        <f>A151&amp;D151</f>
        <v>361</v>
      </c>
      <c r="F151" s="60"/>
      <c r="G151" s="61"/>
      <c r="H151" s="62"/>
      <c r="I151" s="22">
        <v>0</v>
      </c>
      <c r="J151" s="22">
        <f>IF((I151+J150-(J147-J148)-J155)&lt;0,0,(I151+J150-(J147-J148)-J155))</f>
        <v>0</v>
      </c>
      <c r="K151" s="22">
        <f>IF((J151+K150-(K147-K148)-K155)&lt;0,0,(J151+K150-(K147-K148)-K155))</f>
        <v>0</v>
      </c>
      <c r="L151" s="22">
        <f>IF((K151+L150-(L147-L148)-L155)&lt;0,0,(K151+L150-(L147-L148)-L155))</f>
        <v>0</v>
      </c>
      <c r="M151" s="22">
        <f>IF((L151+M150-(M147-M148)-M155)&lt;0,0,(L151+M150-(M147-M148)-M155))</f>
        <v>0</v>
      </c>
      <c r="N151" s="22">
        <f>IF((M151+N150-(N147-N148)-N155)&lt;0,0,(M151+N150-(N147-N148)-N155))</f>
        <v>1704</v>
      </c>
      <c r="O151" s="22">
        <f>IF((N151+O150-(O147-O148)-O155)&lt;0,0,(N151+O150-(O147-O148)-O155))</f>
        <v>3528</v>
      </c>
      <c r="P151" s="22">
        <f>IF((O151+P150-(P147-P148)-P155)&lt;0,0,(O151+P150-(P147-P148)-P155))</f>
        <v>5544</v>
      </c>
      <c r="Q151" s="22">
        <f>IF((P151+Q150-(Q147-Q148)-Q155)&lt;0,0,(P151+Q150-(Q147-Q148)-Q155))</f>
        <v>5266.783800000001</v>
      </c>
      <c r="R151" s="22">
        <f>IF((Q151+R150-(R147-R148)-R155)&lt;0,0,(Q151+R150-(R147-R148)-R155))</f>
        <v>5980.991800000002</v>
      </c>
      <c r="S151" s="22"/>
      <c r="T151" s="22"/>
      <c r="U151" s="22"/>
      <c r="V151" s="22"/>
      <c r="W151" s="22"/>
      <c r="X151" s="22"/>
      <c r="Y151" s="22"/>
      <c r="Z151" s="22"/>
      <c r="AA151" s="22"/>
      <c r="AB151" s="22"/>
      <c r="AC151" s="22"/>
      <c r="AD151" s="22"/>
    </row>
    <row r="152" ht="12.7" customHeight="1">
      <c r="A152" t="s" s="18">
        <v>355</v>
      </c>
      <c r="B152" s="19">
        <v>500024</v>
      </c>
      <c r="C152" t="s" s="20">
        <v>356</v>
      </c>
      <c r="D152" t="s" s="21">
        <v>31</v>
      </c>
      <c r="E152" t="s" s="21">
        <f>A152&amp;D152</f>
        <v>362</v>
      </c>
      <c r="F152" s="31"/>
      <c r="G152" s="87"/>
      <c r="H152" s="33"/>
      <c r="I152" s="22">
        <v>0</v>
      </c>
      <c r="J152" s="48"/>
      <c r="K152" s="48"/>
      <c r="L152" s="48"/>
      <c r="M152" s="48"/>
      <c r="N152" s="48"/>
      <c r="O152" s="48"/>
      <c r="P152" s="48"/>
      <c r="Q152" s="48"/>
      <c r="R152" s="48"/>
      <c r="S152" s="22"/>
      <c r="T152" s="22"/>
      <c r="U152" s="22"/>
      <c r="V152" s="22"/>
      <c r="W152" s="22"/>
      <c r="X152" s="22"/>
      <c r="Y152" s="22"/>
      <c r="Z152" s="22"/>
      <c r="AA152" s="22"/>
      <c r="AB152" s="22"/>
      <c r="AC152" s="22"/>
      <c r="AD152" s="22"/>
    </row>
    <row r="153" ht="12.7" customHeight="1">
      <c r="A153" t="s" s="18">
        <v>355</v>
      </c>
      <c r="B153" s="19">
        <v>500024</v>
      </c>
      <c r="C153" t="s" s="20">
        <v>356</v>
      </c>
      <c r="D153" t="s" s="21">
        <v>33</v>
      </c>
      <c r="E153" t="s" s="21">
        <f>A153&amp;D153</f>
        <v>363</v>
      </c>
      <c r="F153" s="22">
        <v>0</v>
      </c>
      <c r="G153" s="22">
        <v>0</v>
      </c>
      <c r="H153" s="22">
        <v>0</v>
      </c>
      <c r="I153" s="22">
        <v>0</v>
      </c>
      <c r="J153" s="22">
        <f>IF((I151+J150-(J147-J148)-J155)&gt;0,0,(I151+J150-(J147-J148)-J155))</f>
        <v>0</v>
      </c>
      <c r="K153" s="22">
        <f>IF((J151+K150-(K147-K148)-K155)&gt;0,0,(J151+K150-(K147-K148)-K155))</f>
        <v>0</v>
      </c>
      <c r="L153" s="22">
        <f>IF((K151+L150-(L147-L148)-L155)&gt;0,0,(K151+L150-(L147-L148)-L155))</f>
        <v>0</v>
      </c>
      <c r="M153" s="22">
        <f>IF((L151+M150-(M147-M148)-M155)&gt;0,0,(L151+M150-(M147-M148)-M155))</f>
        <v>0</v>
      </c>
      <c r="N153" s="22">
        <f>IF((M151+N150-(N147-N148)-N155)&gt;0,0,(M151+N150-(N147-N148)-N155))</f>
        <v>0</v>
      </c>
      <c r="O153" s="22">
        <f>IF((N151+O150-(O147-O148)-O155)&gt;0,0,(N151+O150-(O147-O148)-O155))</f>
        <v>0</v>
      </c>
      <c r="P153" s="22">
        <f>IF((O151+P150-(P147-P148)-P155)&gt;0,0,(O151+P150-(P147-P148)-P155))</f>
        <v>0</v>
      </c>
      <c r="Q153" s="22">
        <f>IF((P151+Q150-(Q147-Q148)-Q155)&gt;0,0,(P151+Q150-(Q147-Q148)-Q155))</f>
        <v>0</v>
      </c>
      <c r="R153" s="22">
        <f>IF((Q151+R150-(R147-R148)-R155)&gt;0,0,(Q151+R150-(R147-R148)-R155))</f>
        <v>0</v>
      </c>
      <c r="S153" s="24">
        <f>IF((R151+S150-(S147-S148)-S155)&gt;0,0,(R151+S150-(S147-S148)-S155))</f>
        <v>-2737.008199999998</v>
      </c>
      <c r="T153" s="24"/>
      <c r="U153" s="24"/>
      <c r="V153" s="24"/>
      <c r="W153" s="24"/>
      <c r="X153" s="24"/>
      <c r="Y153" s="24"/>
      <c r="Z153" s="24"/>
      <c r="AA153" s="24"/>
      <c r="AB153" s="24"/>
      <c r="AC153" s="24"/>
      <c r="AD153" s="24"/>
    </row>
    <row r="154" ht="12.7" customHeight="1">
      <c r="A154" t="s" s="18">
        <v>355</v>
      </c>
      <c r="B154" s="19">
        <v>500024</v>
      </c>
      <c r="C154" t="s" s="20">
        <v>356</v>
      </c>
      <c r="D154" t="s" s="21">
        <v>35</v>
      </c>
      <c r="E154" t="s" s="21">
        <f>A154&amp;D154</f>
        <v>364</v>
      </c>
      <c r="F154" s="46"/>
      <c r="G154" s="49"/>
      <c r="H154" s="47"/>
      <c r="I154" s="22">
        <v>0</v>
      </c>
      <c r="J154" s="22">
        <v>0</v>
      </c>
      <c r="K154" s="22">
        <v>0</v>
      </c>
      <c r="L154" s="22">
        <v>0</v>
      </c>
      <c r="M154" s="22">
        <v>0</v>
      </c>
      <c r="N154" s="46"/>
      <c r="O154" s="58"/>
      <c r="P154" s="58"/>
      <c r="Q154" s="58"/>
      <c r="R154" s="59"/>
      <c r="S154" s="24"/>
      <c r="T154" s="24"/>
      <c r="U154" s="24"/>
      <c r="V154" s="24"/>
      <c r="W154" s="24"/>
      <c r="X154" s="24"/>
      <c r="Y154" s="24"/>
      <c r="Z154" s="24"/>
      <c r="AA154" s="24"/>
      <c r="AB154" s="24"/>
      <c r="AC154" s="24"/>
      <c r="AD154" s="24"/>
    </row>
    <row r="155" ht="12.7" customHeight="1">
      <c r="A155" t="s" s="18">
        <v>355</v>
      </c>
      <c r="B155" s="19">
        <v>500024</v>
      </c>
      <c r="C155" t="s" s="20">
        <v>356</v>
      </c>
      <c r="D155" t="s" s="21">
        <v>37</v>
      </c>
      <c r="E155" t="s" s="21">
        <f>A155&amp;D155</f>
        <v>365</v>
      </c>
      <c r="F155" s="22">
        <v>0</v>
      </c>
      <c r="G155" s="22">
        <v>0</v>
      </c>
      <c r="H155" s="30">
        <v>0</v>
      </c>
      <c r="I155" s="22">
        <f>IF(I154&gt;0,IF(I154-(I147-I148)&gt;0,(I154-(I147-I148)),0),0)</f>
        <v>0</v>
      </c>
      <c r="J155" s="22">
        <f>IF(J154&gt;0,IF(J154-(J147-J148)&gt;0,(J154-(J147-J148)),0),0)</f>
        <v>0</v>
      </c>
      <c r="K155" s="22">
        <f>IF(K154&gt;0,IF(K154-(K147-K148)&gt;0,(K154-(K147-K148)),0),0)</f>
        <v>0</v>
      </c>
      <c r="L155" s="22">
        <f>IF(L154&gt;0,IF(L154-(L147-L148)&gt;0,(L154-(L147-L148)),0),0)</f>
        <v>0</v>
      </c>
      <c r="M155" s="22">
        <v>0</v>
      </c>
      <c r="N155" s="22">
        <v>0</v>
      </c>
      <c r="O155" s="31"/>
      <c r="P155" s="32"/>
      <c r="Q155" s="32"/>
      <c r="R155" s="33"/>
      <c r="S155" s="24"/>
      <c r="T155" s="24"/>
      <c r="U155" s="24"/>
      <c r="V155" s="24"/>
      <c r="W155" s="24"/>
      <c r="X155" s="24"/>
      <c r="Y155" s="24"/>
      <c r="Z155" s="24"/>
      <c r="AA155" s="24"/>
      <c r="AB155" s="24"/>
      <c r="AC155" s="24"/>
      <c r="AD155" s="24"/>
    </row>
    <row r="156" ht="12.7" customHeight="1">
      <c r="A156" t="s" s="34">
        <v>355</v>
      </c>
      <c r="B156" s="35">
        <v>500024</v>
      </c>
      <c r="C156" t="s" s="36">
        <v>356</v>
      </c>
      <c r="D156" t="s" s="37">
        <v>39</v>
      </c>
      <c r="E156" t="s" s="37">
        <f>A156&amp;D156</f>
        <v>366</v>
      </c>
      <c r="F156" s="38">
        <f>IFERROR(F152/AVERAGE(G147:H147)*30,0)</f>
        <v>0</v>
      </c>
      <c r="G156" s="38">
        <f>IFERROR(G152/AVERAGE(H147:I147)*30,0)</f>
        <v>0</v>
      </c>
      <c r="H156" s="38">
        <f>IFERROR(H151/AVERAGE(I147:J147)*30,0)</f>
        <v>0</v>
      </c>
      <c r="I156" s="38">
        <f>IFERROR(I151/AVERAGE(J147:K147)*30,0)</f>
        <v>0</v>
      </c>
      <c r="J156" s="38">
        <f>IFERROR(J151/AVERAGE(K147:L147)*30,0)</f>
        <v>0</v>
      </c>
      <c r="K156" s="38">
        <f>IFERROR(K151/AVERAGE(L147:M147)*30,0)</f>
        <v>0</v>
      </c>
      <c r="L156" s="38">
        <f>IFERROR(L151/AVERAGE(M147:N147)*30,0)</f>
        <v>0</v>
      </c>
      <c r="M156" s="38">
        <f>IFERROR(M151/AVERAGE(N147:O147)*30,0)</f>
        <v>0</v>
      </c>
      <c r="N156" s="38">
        <f>IFERROR(N151/AVERAGE(O147:P147)*30,0)</f>
        <v>14.68965517241379</v>
      </c>
      <c r="O156" s="38">
        <f>IFERROR(O151/AVERAGE(P147:Q147)*30,0)</f>
        <v>17.04180948078176</v>
      </c>
      <c r="P156" s="38">
        <f>IFERROR(P151/AVERAGE(Q147:R147)*30,0)</f>
        <v>16.96882420321592</v>
      </c>
      <c r="Q156" s="38">
        <f>IFERROR(Q151/AVERAGE(R147:S147)*30,0)</f>
        <v>16.91343106367273</v>
      </c>
      <c r="R156" s="38">
        <f>IFERROR(R151/AVERAGE(S147:T147)*30,0)</f>
        <v>20.58152718513421</v>
      </c>
      <c r="S156" s="38">
        <f>IFERROR(S151/AVERAGE(T147:U147)*30,0)</f>
        <v>0</v>
      </c>
      <c r="T156" s="38"/>
      <c r="U156" s="38"/>
      <c r="V156" s="38"/>
      <c r="W156" s="38"/>
      <c r="X156" s="38"/>
      <c r="Y156" s="38"/>
      <c r="Z156" s="38"/>
      <c r="AA156" s="38"/>
      <c r="AB156" s="38"/>
      <c r="AC156" s="38"/>
      <c r="AD156" s="38"/>
    </row>
    <row r="157" ht="12" customHeight="1">
      <c r="A157" s="39"/>
      <c r="B157" s="40"/>
      <c r="C157" s="40"/>
      <c r="D157" s="40"/>
      <c r="E157" s="40"/>
      <c r="F157" s="40"/>
      <c r="G157" t="s" s="90">
        <v>2</v>
      </c>
      <c r="H157" s="91"/>
      <c r="I157" s="91"/>
      <c r="J157" s="91"/>
      <c r="K157" s="91"/>
      <c r="L157" s="91"/>
      <c r="M157" s="91"/>
      <c r="N157" s="91"/>
      <c r="O157" s="91"/>
      <c r="P157" s="91"/>
      <c r="Q157" s="91"/>
      <c r="R157" s="91"/>
      <c r="S157" t="s" s="90">
        <v>3</v>
      </c>
      <c r="T157" s="91"/>
      <c r="U157" s="91"/>
      <c r="V157" s="91"/>
      <c r="W157" s="91"/>
      <c r="X157" s="91"/>
      <c r="Y157" s="91"/>
      <c r="Z157" s="91"/>
      <c r="AA157" s="91"/>
      <c r="AB157" s="91"/>
      <c r="AC157" s="91"/>
      <c r="AD157" s="92"/>
    </row>
    <row r="158" ht="13.5" customHeight="1">
      <c r="A158" t="s" s="8">
        <v>4</v>
      </c>
      <c r="B158" t="s" s="9">
        <v>5</v>
      </c>
      <c r="C158" t="s" s="9">
        <v>6</v>
      </c>
      <c r="D158" t="s" s="9">
        <v>7</v>
      </c>
      <c r="E158" s="10"/>
      <c r="F158" t="s" s="9">
        <v>18</v>
      </c>
      <c r="G158" t="s" s="9">
        <v>8</v>
      </c>
      <c r="H158" t="s" s="9">
        <v>9</v>
      </c>
      <c r="I158" t="s" s="9">
        <v>10</v>
      </c>
      <c r="J158" t="s" s="9">
        <v>11</v>
      </c>
      <c r="K158" t="s" s="9">
        <v>1</v>
      </c>
      <c r="L158" t="s" s="9">
        <v>12</v>
      </c>
      <c r="M158" t="s" s="9">
        <v>13</v>
      </c>
      <c r="N158" t="s" s="9">
        <v>14</v>
      </c>
      <c r="O158" t="s" s="9">
        <v>15</v>
      </c>
      <c r="P158" t="s" s="9">
        <v>16</v>
      </c>
      <c r="Q158" t="s" s="9">
        <v>17</v>
      </c>
      <c r="R158" t="s" s="9">
        <v>18</v>
      </c>
      <c r="S158" t="s" s="9">
        <v>8</v>
      </c>
      <c r="T158" t="s" s="9">
        <v>9</v>
      </c>
      <c r="U158" t="s" s="9">
        <v>10</v>
      </c>
      <c r="V158" t="s" s="9">
        <v>11</v>
      </c>
      <c r="W158" t="s" s="9">
        <v>1</v>
      </c>
      <c r="X158" t="s" s="9">
        <v>12</v>
      </c>
      <c r="Y158" t="s" s="9">
        <v>13</v>
      </c>
      <c r="Z158" t="s" s="9">
        <v>14</v>
      </c>
      <c r="AA158" t="s" s="9">
        <v>15</v>
      </c>
      <c r="AB158" t="s" s="9">
        <v>16</v>
      </c>
      <c r="AC158" t="s" s="9">
        <v>17</v>
      </c>
      <c r="AD158" t="s" s="11">
        <v>18</v>
      </c>
    </row>
    <row r="159" ht="12.7" customHeight="1">
      <c r="A159" t="s" s="12">
        <v>367</v>
      </c>
      <c r="B159" s="13">
        <v>500028</v>
      </c>
      <c r="C159" t="s" s="14">
        <v>368</v>
      </c>
      <c r="D159" t="s" s="15">
        <v>21</v>
      </c>
      <c r="E159" t="s" s="15">
        <f>A159&amp;D159</f>
        <v>369</v>
      </c>
      <c r="F159" s="93"/>
      <c r="G159" s="83"/>
      <c r="H159" s="84"/>
      <c r="I159" s="85"/>
      <c r="J159" s="17">
        <v>0</v>
      </c>
      <c r="K159" s="17">
        <v>0</v>
      </c>
      <c r="L159" s="17">
        <v>0</v>
      </c>
      <c r="M159" s="17">
        <v>0</v>
      </c>
      <c r="N159" s="17">
        <v>0</v>
      </c>
      <c r="O159" s="17">
        <v>2784</v>
      </c>
      <c r="P159" s="17">
        <v>983.6799999999999</v>
      </c>
      <c r="Q159" s="17">
        <v>2683.08</v>
      </c>
      <c r="R159" s="17">
        <v>2420.224</v>
      </c>
      <c r="S159" s="17">
        <v>1224</v>
      </c>
      <c r="T159" s="17"/>
      <c r="U159" s="17"/>
      <c r="V159" s="17"/>
      <c r="W159" s="17"/>
      <c r="X159" s="17"/>
      <c r="Y159" s="17"/>
      <c r="Z159" s="17"/>
      <c r="AA159" s="17"/>
      <c r="AB159" s="17"/>
      <c r="AC159" s="17"/>
      <c r="AD159" s="17"/>
    </row>
    <row r="160" ht="12.7" customHeight="1">
      <c r="A160" t="s" s="18">
        <v>367</v>
      </c>
      <c r="B160" s="19">
        <v>500028</v>
      </c>
      <c r="C160" t="s" s="20">
        <v>368</v>
      </c>
      <c r="D160" t="s" s="21">
        <v>23</v>
      </c>
      <c r="E160" t="s" s="21">
        <f>A160&amp;D160</f>
        <v>370</v>
      </c>
      <c r="F160" s="22">
        <v>2608</v>
      </c>
      <c r="G160" s="22">
        <v>1020</v>
      </c>
      <c r="H160" s="22">
        <v>332</v>
      </c>
      <c r="I160" s="22">
        <v>23</v>
      </c>
      <c r="J160" s="86">
        <f>INDEX('Sales Actual'!$H$5:$H$66,MATCH($A160,'Sales Actual'!$G$5:$G$66,0))</f>
        <v>0</v>
      </c>
      <c r="K160" s="86">
        <f>INDEX('Sales Actual'!$J$5:$J$66,MATCH($A160,'Sales Actual'!$I$5:$I$66,0))</f>
        <v>0</v>
      </c>
      <c r="L160" s="86">
        <f>INDEX('Sales Actual'!$L$5:$L$66,MATCH($A160,'Sales Actual'!$K$5:$K$66,0))</f>
        <v>0</v>
      </c>
      <c r="M160" s="86">
        <f>INDEX('Sales Actual'!$N$4:$N$65,MATCH($A160,'Sales Actual'!$M$4:$M$65,0))</f>
        <v>0</v>
      </c>
      <c r="N160" s="86">
        <f>INDEX('Sales Actual'!$P$4:$P$64,MATCH($A160,'Sales Actual'!$O$4:$O$65,0))</f>
        <v>0</v>
      </c>
      <c r="O160" s="86">
        <f>INDEX('Sales Actual'!$R$4:$R$65,MATCH($A160,'Sales Actual'!$Q$4:$Q$65,0))</f>
        <v>0</v>
      </c>
      <c r="P160" s="86">
        <f>INDEX('Sales Actual'!$T$4:$T$66,MATCH($A160,'Sales Actual'!$S$4:$S$66,0))</f>
        <v>0</v>
      </c>
      <c r="Q160" s="86">
        <f>INDEX('Sales Actual'!$V$4:$V$65,MATCH($A160,'Sales Actual'!$U$4:$U$65,0))</f>
        <v>0</v>
      </c>
      <c r="R160" s="86">
        <f>INDEX('Sales Actual'!$X$4:$X$65,MATCH($A160,'Sales Actual'!$W$4:$W$65,0))</f>
        <v>0</v>
      </c>
      <c r="S160" s="22"/>
      <c r="T160" s="22"/>
      <c r="U160" s="22"/>
      <c r="V160" s="22"/>
      <c r="W160" s="22"/>
      <c r="X160" s="22"/>
      <c r="Y160" s="22"/>
      <c r="Z160" s="22"/>
      <c r="AA160" s="22"/>
      <c r="AB160" s="22"/>
      <c r="AC160" s="22"/>
      <c r="AD160" s="22"/>
    </row>
    <row r="161" ht="12.7" customHeight="1">
      <c r="A161" t="s" s="18">
        <v>367</v>
      </c>
      <c r="B161" s="19">
        <v>500028</v>
      </c>
      <c r="C161" t="s" s="20">
        <v>368</v>
      </c>
      <c r="D161" t="s" s="21">
        <v>25</v>
      </c>
      <c r="E161" t="s" s="21">
        <f>A161&amp;D161</f>
        <v>371</v>
      </c>
      <c r="F161" s="57"/>
      <c r="G161" s="58"/>
      <c r="H161" s="58"/>
      <c r="I161" s="58"/>
      <c r="J161" s="58"/>
      <c r="K161" s="58"/>
      <c r="L161" s="58"/>
      <c r="M161" s="59"/>
      <c r="N161" s="22">
        <v>0</v>
      </c>
      <c r="O161" s="22">
        <f>10*400</f>
        <v>4000</v>
      </c>
      <c r="P161" s="22">
        <f>10*140</f>
        <v>1400</v>
      </c>
      <c r="Q161" s="22">
        <f>10*230</f>
        <v>2300</v>
      </c>
      <c r="R161" s="22">
        <f>10*200</f>
        <v>2000</v>
      </c>
      <c r="S161" s="24">
        <v>0</v>
      </c>
      <c r="T161" s="24"/>
      <c r="U161" s="24"/>
      <c r="V161" s="24"/>
      <c r="W161" s="24"/>
      <c r="X161" s="24"/>
      <c r="Y161" s="24"/>
      <c r="Z161" s="24"/>
      <c r="AA161" s="24"/>
      <c r="AB161" s="24"/>
      <c r="AC161" s="24"/>
      <c r="AD161" s="24"/>
    </row>
    <row r="162" ht="12.7" customHeight="1">
      <c r="A162" t="s" s="18">
        <v>367</v>
      </c>
      <c r="B162" s="19">
        <v>500028</v>
      </c>
      <c r="C162" t="s" s="20">
        <v>368</v>
      </c>
      <c r="D162" t="s" s="21">
        <v>27</v>
      </c>
      <c r="E162" t="s" s="21">
        <f>A162&amp;D162</f>
        <v>372</v>
      </c>
      <c r="F162" s="60"/>
      <c r="G162" s="61"/>
      <c r="H162" s="61"/>
      <c r="I162" s="32"/>
      <c r="J162" s="32"/>
      <c r="K162" s="32"/>
      <c r="L162" s="32"/>
      <c r="M162" s="33"/>
      <c r="N162" s="22">
        <v>0</v>
      </c>
      <c r="O162" s="22">
        <f>O161</f>
        <v>4000</v>
      </c>
      <c r="P162" s="22">
        <f>P161</f>
        <v>1400</v>
      </c>
      <c r="Q162" s="22">
        <f>Q161</f>
        <v>2300</v>
      </c>
      <c r="R162" s="22">
        <f>R161</f>
        <v>2000</v>
      </c>
      <c r="S162" s="24"/>
      <c r="T162" s="24"/>
      <c r="U162" s="24"/>
      <c r="V162" s="24"/>
      <c r="W162" s="24"/>
      <c r="X162" s="24"/>
      <c r="Y162" s="24"/>
      <c r="Z162" s="24"/>
      <c r="AA162" s="24"/>
      <c r="AB162" s="24"/>
      <c r="AC162" s="24"/>
      <c r="AD162" s="24"/>
    </row>
    <row r="163" ht="12.7" customHeight="1">
      <c r="A163" t="s" s="18">
        <v>367</v>
      </c>
      <c r="B163" s="19">
        <v>500028</v>
      </c>
      <c r="C163" t="s" s="20">
        <v>368</v>
      </c>
      <c r="D163" t="s" s="21">
        <v>29</v>
      </c>
      <c r="E163" t="s" s="21">
        <f>A163&amp;D163</f>
        <v>373</v>
      </c>
      <c r="F163" s="60"/>
      <c r="G163" s="61"/>
      <c r="H163" s="62"/>
      <c r="I163" s="22">
        <f>H164+I162-(I159-I160)-I167</f>
        <v>23</v>
      </c>
      <c r="J163" s="22">
        <f>IF((I163+J162-(J159-J160)-J167)&lt;0,0,(I163+J162-(J159-J160)-J167))</f>
        <v>23</v>
      </c>
      <c r="K163" s="22">
        <f>IF((J163+K162-(K159-K160)-K167)&lt;0,0,(J163+K162-(K159-K160)-K167))</f>
        <v>23</v>
      </c>
      <c r="L163" s="22">
        <f>IF((K163+L162-(L159-L160)-L167)&lt;0,0,(K163+L162-(L159-L160)-L167))</f>
        <v>23</v>
      </c>
      <c r="M163" s="22">
        <f>IF((L163+M162-(M159-M160)-M167)&lt;0,0,(L163+M162-(M159-M160)-M167))</f>
        <v>23</v>
      </c>
      <c r="N163" s="22">
        <f>IF((M163+N162-(N159-N160)-N167)&lt;0,0,(M163+N162-(N159-N160)-N167))</f>
        <v>23</v>
      </c>
      <c r="O163" s="22">
        <f>IF((N163+O162-(O159-O160)-O167)&lt;0,0,(N163+O162-(O159-O160)-O167))</f>
        <v>1239</v>
      </c>
      <c r="P163" s="22">
        <f>IF((O163+P162-(P159-P160)-P167)&lt;0,0,(O163+P162-(P159-P160)-P167))</f>
        <v>1655.32</v>
      </c>
      <c r="Q163" s="22">
        <f>IF((P163+Q162-(Q159-Q160)-Q167)&lt;0,0,(P163+Q162-(Q159-Q160)-Q167))</f>
        <v>1272.24</v>
      </c>
      <c r="R163" s="22">
        <f>IF((Q163+R162-(R159-R160)-R167)&lt;0,0,(Q163+R162-(R159-R160)-R167))</f>
        <v>852.0160000000001</v>
      </c>
      <c r="S163" s="22"/>
      <c r="T163" s="22"/>
      <c r="U163" s="22"/>
      <c r="V163" s="22"/>
      <c r="W163" s="22"/>
      <c r="X163" s="22"/>
      <c r="Y163" s="22"/>
      <c r="Z163" s="22"/>
      <c r="AA163" s="22"/>
      <c r="AB163" s="22"/>
      <c r="AC163" s="22"/>
      <c r="AD163" s="22"/>
    </row>
    <row r="164" ht="12.7" customHeight="1">
      <c r="A164" t="s" s="18">
        <v>367</v>
      </c>
      <c r="B164" s="19">
        <v>500028</v>
      </c>
      <c r="C164" t="s" s="20">
        <v>368</v>
      </c>
      <c r="D164" t="s" s="21">
        <v>31</v>
      </c>
      <c r="E164" t="s" s="21">
        <f>A164&amp;D164</f>
        <v>374</v>
      </c>
      <c r="F164" s="31"/>
      <c r="G164" s="87"/>
      <c r="H164" s="33"/>
      <c r="I164" s="22">
        <v>0</v>
      </c>
      <c r="J164" s="48"/>
      <c r="K164" s="48"/>
      <c r="L164" s="48"/>
      <c r="M164" s="48"/>
      <c r="N164" s="48"/>
      <c r="O164" s="48"/>
      <c r="P164" s="48"/>
      <c r="Q164" s="48"/>
      <c r="R164" s="48"/>
      <c r="S164" s="22"/>
      <c r="T164" s="22"/>
      <c r="U164" s="22"/>
      <c r="V164" s="22"/>
      <c r="W164" s="22"/>
      <c r="X164" s="22"/>
      <c r="Y164" s="22"/>
      <c r="Z164" s="22"/>
      <c r="AA164" s="22"/>
      <c r="AB164" s="22"/>
      <c r="AC164" s="22"/>
      <c r="AD164" s="22"/>
    </row>
    <row r="165" ht="12.7" customHeight="1">
      <c r="A165" t="s" s="18">
        <v>367</v>
      </c>
      <c r="B165" s="19">
        <v>500028</v>
      </c>
      <c r="C165" t="s" s="20">
        <v>368</v>
      </c>
      <c r="D165" t="s" s="21">
        <v>33</v>
      </c>
      <c r="E165" t="s" s="21">
        <f>A165&amp;D165</f>
        <v>375</v>
      </c>
      <c r="F165" s="22">
        <v>0</v>
      </c>
      <c r="G165" s="22">
        <v>0</v>
      </c>
      <c r="H165" s="22">
        <v>0</v>
      </c>
      <c r="I165" s="22">
        <v>0</v>
      </c>
      <c r="J165" s="22">
        <f>IF((I163+J162-(J159-J160)-J167)&gt;0,0,(I163+J162-(J159-J160)-J167))</f>
        <v>0</v>
      </c>
      <c r="K165" s="22">
        <f>IF((J163+K162-(K159-K160)-K167)&gt;0,0,(J163+K162-(K159-K160)-K167))</f>
        <v>0</v>
      </c>
      <c r="L165" s="22">
        <f>IF((K163+L162-(L159-L160)-L167)&gt;0,0,(K163+L162-(L159-L160)-L167))</f>
        <v>0</v>
      </c>
      <c r="M165" s="22">
        <f>IF((L163+M162-(M159-M160)-M167)&gt;0,0,(L163+M162-(M159-M160)-M167))</f>
        <v>0</v>
      </c>
      <c r="N165" s="22">
        <f>IF((M163+N162-(N159-N160)-N167)&gt;0,0,(M163+N162-(N159-N160)-N167))</f>
        <v>0</v>
      </c>
      <c r="O165" s="22">
        <f>IF((N163+O162-(O159-O160)-O167)&gt;0,0,(N163+O162-(O159-O160)-O167))</f>
        <v>0</v>
      </c>
      <c r="P165" s="22">
        <f>IF((O163+P162-(P159-P160)-P167)&gt;0,0,(O163+P162-(P159-P160)-P167))</f>
        <v>0</v>
      </c>
      <c r="Q165" s="22">
        <f>IF((P163+Q162-(Q159-Q160)-Q167)&gt;0,0,(P163+Q162-(Q159-Q160)-Q167))</f>
        <v>0</v>
      </c>
      <c r="R165" s="22">
        <f>IF((Q163+R162-(R159-R160)-R167)&gt;0,0,(Q163+R162-(R159-R160)-R167))</f>
        <v>0</v>
      </c>
      <c r="S165" s="24">
        <f>IF((R163+S162-(S159-S160)-S167)&gt;0,0,(R163+S162-(S159-S160)-S167))</f>
        <v>-371.9839999999999</v>
      </c>
      <c r="T165" s="24"/>
      <c r="U165" s="24"/>
      <c r="V165" s="24"/>
      <c r="W165" s="24"/>
      <c r="X165" s="24"/>
      <c r="Y165" s="24"/>
      <c r="Z165" s="24"/>
      <c r="AA165" s="24"/>
      <c r="AB165" s="24"/>
      <c r="AC165" s="24"/>
      <c r="AD165" s="24"/>
    </row>
    <row r="166" ht="12.7" customHeight="1">
      <c r="A166" t="s" s="18">
        <v>367</v>
      </c>
      <c r="B166" s="19">
        <v>500028</v>
      </c>
      <c r="C166" t="s" s="20">
        <v>368</v>
      </c>
      <c r="D166" t="s" s="21">
        <v>35</v>
      </c>
      <c r="E166" t="s" s="21">
        <f>A166&amp;D166</f>
        <v>376</v>
      </c>
      <c r="F166" s="46"/>
      <c r="G166" s="49"/>
      <c r="H166" s="47"/>
      <c r="I166" s="22">
        <v>0</v>
      </c>
      <c r="J166" s="22">
        <v>0</v>
      </c>
      <c r="K166" s="22">
        <v>0</v>
      </c>
      <c r="L166" s="22">
        <v>0</v>
      </c>
      <c r="M166" s="22">
        <v>0</v>
      </c>
      <c r="N166" s="46"/>
      <c r="O166" s="58"/>
      <c r="P166" s="58"/>
      <c r="Q166" s="58"/>
      <c r="R166" s="59"/>
      <c r="S166" s="24"/>
      <c r="T166" s="24"/>
      <c r="U166" s="24"/>
      <c r="V166" s="24"/>
      <c r="W166" s="24"/>
      <c r="X166" s="24"/>
      <c r="Y166" s="24"/>
      <c r="Z166" s="24"/>
      <c r="AA166" s="24"/>
      <c r="AB166" s="24"/>
      <c r="AC166" s="24"/>
      <c r="AD166" s="24"/>
    </row>
    <row r="167" ht="12.7" customHeight="1">
      <c r="A167" t="s" s="18">
        <v>367</v>
      </c>
      <c r="B167" s="19">
        <v>500028</v>
      </c>
      <c r="C167" t="s" s="20">
        <v>368</v>
      </c>
      <c r="D167" t="s" s="21">
        <v>37</v>
      </c>
      <c r="E167" t="s" s="21">
        <f>A167&amp;D167</f>
        <v>377</v>
      </c>
      <c r="F167" s="22">
        <v>0</v>
      </c>
      <c r="G167" s="22">
        <v>0</v>
      </c>
      <c r="H167" s="30">
        <v>0</v>
      </c>
      <c r="I167" s="22">
        <f>IF(I166&gt;0,IF(I166-(I159-I160)&gt;0,(I166-(I159-I160)),0),0)</f>
        <v>0</v>
      </c>
      <c r="J167" s="22">
        <f>IF(J166&gt;0,IF(J166-(J159-J160)&gt;0,(J166-(J159-J160)),0),0)</f>
        <v>0</v>
      </c>
      <c r="K167" s="22">
        <f>IF(K166&gt;0,IF(K166-(K159-K160)&gt;0,(K166-(K159-K160)),0),0)</f>
        <v>0</v>
      </c>
      <c r="L167" s="22">
        <f>IF(L166&gt;0,IF(L166-(L159-L160)&gt;0,(L166-(L159-L160)),0),0)</f>
        <v>0</v>
      </c>
      <c r="M167" s="22">
        <v>0</v>
      </c>
      <c r="N167" s="22">
        <v>0</v>
      </c>
      <c r="O167" s="31"/>
      <c r="P167" s="32"/>
      <c r="Q167" s="32"/>
      <c r="R167" s="33"/>
      <c r="S167" s="24"/>
      <c r="T167" s="24"/>
      <c r="U167" s="24"/>
      <c r="V167" s="24"/>
      <c r="W167" s="24"/>
      <c r="X167" s="24"/>
      <c r="Y167" s="24"/>
      <c r="Z167" s="24"/>
      <c r="AA167" s="24"/>
      <c r="AB167" s="24"/>
      <c r="AC167" s="24"/>
      <c r="AD167" s="24"/>
    </row>
    <row r="168" ht="12.7" customHeight="1">
      <c r="A168" t="s" s="34">
        <v>367</v>
      </c>
      <c r="B168" s="35">
        <v>500028</v>
      </c>
      <c r="C168" t="s" s="36">
        <v>368</v>
      </c>
      <c r="D168" t="s" s="37">
        <v>39</v>
      </c>
      <c r="E168" t="s" s="37">
        <f>A168&amp;D168</f>
        <v>378</v>
      </c>
      <c r="F168" s="38">
        <f>IFERROR(F164/AVERAGE(G159:H159)*30,0)</f>
        <v>0</v>
      </c>
      <c r="G168" s="38">
        <f>IFERROR(G164/AVERAGE(H159:I159)*30,0)</f>
        <v>0</v>
      </c>
      <c r="H168" s="38">
        <f>IFERROR(H163/AVERAGE(I159:J159)*30,0)</f>
        <v>0</v>
      </c>
      <c r="I168" s="38">
        <f>IFERROR(I163/AVERAGE(J159:K159)*30,0)</f>
        <v>0</v>
      </c>
      <c r="J168" s="38">
        <f>IFERROR(J163/AVERAGE(K159:L159)*30,0)</f>
        <v>0</v>
      </c>
      <c r="K168" s="38">
        <f>IFERROR(K163/AVERAGE(L159:M159)*30,0)</f>
        <v>0</v>
      </c>
      <c r="L168" s="38">
        <f>IFERROR(L163/AVERAGE(M159:N159)*30,0)</f>
        <v>0</v>
      </c>
      <c r="M168" s="38">
        <f>IFERROR(M163/AVERAGE(N159:O159)*30,0)</f>
        <v>0.4956896551724138</v>
      </c>
      <c r="N168" s="38">
        <f>IFERROR(N163/AVERAGE(O159:P159)*30,0)</f>
        <v>0.3662731442160693</v>
      </c>
      <c r="O168" s="38">
        <f>IFERROR(O163/AVERAGE(P159:Q159)*30,0)</f>
        <v>20.27402938834285</v>
      </c>
      <c r="P168" s="38">
        <f>IFERROR(P163/AVERAGE(Q159:R159)*30,0)</f>
        <v>19.46174478337955</v>
      </c>
      <c r="Q168" s="38">
        <f>IFERROR(Q163/AVERAGE(R159:S159)*30,0)</f>
        <v>20.94668165293901</v>
      </c>
      <c r="R168" s="38">
        <f>IFERROR(R163/AVERAGE(S159:T159)*30,0)</f>
        <v>20.88274509803922</v>
      </c>
      <c r="S168" s="38">
        <f>IFERROR(S163/AVERAGE(T159:U159)*30,0)</f>
        <v>0</v>
      </c>
      <c r="T168" s="38"/>
      <c r="U168" s="38"/>
      <c r="V168" s="38"/>
      <c r="W168" s="38"/>
      <c r="X168" s="38"/>
      <c r="Y168" s="38"/>
      <c r="Z168" s="38"/>
      <c r="AA168" s="38"/>
      <c r="AB168" s="38"/>
      <c r="AC168" s="38"/>
      <c r="AD168" s="38"/>
    </row>
    <row r="169" ht="12" customHeight="1">
      <c r="A169" s="39"/>
      <c r="B169" s="40"/>
      <c r="C169" s="40"/>
      <c r="D169" s="40"/>
      <c r="E169" s="40"/>
      <c r="F169" s="40"/>
      <c r="G169" t="s" s="90">
        <v>2</v>
      </c>
      <c r="H169" s="91"/>
      <c r="I169" s="91"/>
      <c r="J169" s="91"/>
      <c r="K169" s="91"/>
      <c r="L169" s="91"/>
      <c r="M169" s="91"/>
      <c r="N169" s="91"/>
      <c r="O169" s="91"/>
      <c r="P169" s="91"/>
      <c r="Q169" s="91"/>
      <c r="R169" s="91"/>
      <c r="S169" t="s" s="90">
        <v>3</v>
      </c>
      <c r="T169" s="91"/>
      <c r="U169" s="91"/>
      <c r="V169" s="91"/>
      <c r="W169" s="91"/>
      <c r="X169" s="91"/>
      <c r="Y169" s="91"/>
      <c r="Z169" s="91"/>
      <c r="AA169" s="91"/>
      <c r="AB169" s="91"/>
      <c r="AC169" s="91"/>
      <c r="AD169" s="92"/>
    </row>
    <row r="170" ht="13.5" customHeight="1">
      <c r="A170" t="s" s="8">
        <v>4</v>
      </c>
      <c r="B170" t="s" s="9">
        <v>5</v>
      </c>
      <c r="C170" t="s" s="9">
        <v>6</v>
      </c>
      <c r="D170" t="s" s="9">
        <v>7</v>
      </c>
      <c r="E170" s="10"/>
      <c r="F170" t="s" s="9">
        <v>18</v>
      </c>
      <c r="G170" t="s" s="9">
        <v>8</v>
      </c>
      <c r="H170" t="s" s="9">
        <v>9</v>
      </c>
      <c r="I170" t="s" s="9">
        <v>10</v>
      </c>
      <c r="J170" t="s" s="9">
        <v>11</v>
      </c>
      <c r="K170" t="s" s="9">
        <v>1</v>
      </c>
      <c r="L170" t="s" s="9">
        <v>12</v>
      </c>
      <c r="M170" t="s" s="9">
        <v>13</v>
      </c>
      <c r="N170" t="s" s="9">
        <v>14</v>
      </c>
      <c r="O170" t="s" s="9">
        <v>15</v>
      </c>
      <c r="P170" t="s" s="9">
        <v>16</v>
      </c>
      <c r="Q170" t="s" s="9">
        <v>17</v>
      </c>
      <c r="R170" t="s" s="9">
        <v>18</v>
      </c>
      <c r="S170" t="s" s="9">
        <v>8</v>
      </c>
      <c r="T170" t="s" s="9">
        <v>9</v>
      </c>
      <c r="U170" t="s" s="9">
        <v>10</v>
      </c>
      <c r="V170" t="s" s="9">
        <v>11</v>
      </c>
      <c r="W170" t="s" s="9">
        <v>1</v>
      </c>
      <c r="X170" t="s" s="9">
        <v>12</v>
      </c>
      <c r="Y170" t="s" s="9">
        <v>13</v>
      </c>
      <c r="Z170" t="s" s="9">
        <v>14</v>
      </c>
      <c r="AA170" t="s" s="9">
        <v>15</v>
      </c>
      <c r="AB170" t="s" s="9">
        <v>16</v>
      </c>
      <c r="AC170" t="s" s="9">
        <v>17</v>
      </c>
      <c r="AD170" t="s" s="11">
        <v>18</v>
      </c>
    </row>
    <row r="171" ht="12.7" customHeight="1">
      <c r="A171" t="s" s="12">
        <v>379</v>
      </c>
      <c r="B171" s="13">
        <v>500036</v>
      </c>
      <c r="C171" t="s" s="14">
        <v>380</v>
      </c>
      <c r="D171" t="s" s="15">
        <v>21</v>
      </c>
      <c r="E171" t="s" s="15">
        <f>A171&amp;D171</f>
        <v>381</v>
      </c>
      <c r="F171" s="93"/>
      <c r="G171" s="83"/>
      <c r="H171" s="84"/>
      <c r="I171" s="85"/>
      <c r="J171" s="17">
        <v>0</v>
      </c>
      <c r="K171" s="17">
        <v>0</v>
      </c>
      <c r="L171" s="17">
        <v>0</v>
      </c>
      <c r="M171" s="17">
        <v>0</v>
      </c>
      <c r="N171" s="17">
        <v>720.128</v>
      </c>
      <c r="O171" s="17">
        <v>9001.599999999999</v>
      </c>
      <c r="P171" s="17">
        <v>2241.932</v>
      </c>
      <c r="Q171" s="17">
        <v>4026.708</v>
      </c>
      <c r="R171" s="17">
        <v>9087.903999999999</v>
      </c>
      <c r="S171" s="17">
        <v>10023.6</v>
      </c>
      <c r="T171" s="17"/>
      <c r="U171" s="17"/>
      <c r="V171" s="17"/>
      <c r="W171" s="17"/>
      <c r="X171" s="17"/>
      <c r="Y171" s="17"/>
      <c r="Z171" s="17"/>
      <c r="AA171" s="17"/>
      <c r="AB171" s="17"/>
      <c r="AC171" s="17"/>
      <c r="AD171" s="17"/>
    </row>
    <row r="172" ht="12.7" customHeight="1">
      <c r="A172" t="s" s="18">
        <v>379</v>
      </c>
      <c r="B172" s="19">
        <v>500036</v>
      </c>
      <c r="C172" t="s" s="20">
        <v>380</v>
      </c>
      <c r="D172" t="s" s="21">
        <v>23</v>
      </c>
      <c r="E172" t="s" s="21">
        <f>A172&amp;D172</f>
        <v>382</v>
      </c>
      <c r="F172" s="22">
        <v>11192</v>
      </c>
      <c r="G172" s="22">
        <v>8353</v>
      </c>
      <c r="H172" s="22">
        <v>560</v>
      </c>
      <c r="I172" s="22">
        <v>215</v>
      </c>
      <c r="J172" s="86">
        <f>INDEX('Sales Actual'!$H$5:$H$66,MATCH($A172,'Sales Actual'!$G$5:$G$66,0))</f>
        <v>0</v>
      </c>
      <c r="K172" s="86">
        <f>INDEX('Sales Actual'!$J$5:$J$66,MATCH($A172,'Sales Actual'!$I$5:$I$66,0))</f>
        <v>0</v>
      </c>
      <c r="L172" s="86">
        <f>INDEX('Sales Actual'!$L$5:$L$66,MATCH($A172,'Sales Actual'!$K$5:$K$66,0))</f>
        <v>0</v>
      </c>
      <c r="M172" s="86">
        <f>INDEX('Sales Actual'!$N$4:$N$65,MATCH($A172,'Sales Actual'!$M$4:$M$65,0))</f>
        <v>0</v>
      </c>
      <c r="N172" s="86">
        <f>INDEX('Sales Actual'!$P$4:$P$64,MATCH($A172,'Sales Actual'!$O$4:$O$65,0))</f>
        <v>0</v>
      </c>
      <c r="O172" s="86">
        <f>INDEX('Sales Actual'!$R$4:$R$65,MATCH($A172,'Sales Actual'!$Q$4:$Q$65,0))</f>
        <v>0</v>
      </c>
      <c r="P172" s="86">
        <f>INDEX('Sales Actual'!$T$4:$T$66,MATCH($A172,'Sales Actual'!$S$4:$S$66,0))</f>
        <v>0</v>
      </c>
      <c r="Q172" s="86">
        <f>INDEX('Sales Actual'!$V$4:$V$65,MATCH($A172,'Sales Actual'!$U$4:$U$65,0))</f>
        <v>0</v>
      </c>
      <c r="R172" s="86">
        <f>INDEX('Sales Actual'!$X$4:$X$65,MATCH($A172,'Sales Actual'!$W$4:$W$65,0))</f>
        <v>0</v>
      </c>
      <c r="S172" s="22"/>
      <c r="T172" s="22"/>
      <c r="U172" s="22"/>
      <c r="V172" s="22"/>
      <c r="W172" s="22"/>
      <c r="X172" s="22"/>
      <c r="Y172" s="22"/>
      <c r="Z172" s="22"/>
      <c r="AA172" s="22"/>
      <c r="AB172" s="22"/>
      <c r="AC172" s="22"/>
      <c r="AD172" s="22"/>
    </row>
    <row r="173" ht="12.7" customHeight="1">
      <c r="A173" t="s" s="18">
        <v>379</v>
      </c>
      <c r="B173" s="19">
        <v>500036</v>
      </c>
      <c r="C173" t="s" s="20">
        <v>380</v>
      </c>
      <c r="D173" t="s" s="21">
        <v>25</v>
      </c>
      <c r="E173" t="s" s="21">
        <f>A173&amp;D173</f>
        <v>383</v>
      </c>
      <c r="F173" s="57"/>
      <c r="G173" s="58"/>
      <c r="H173" s="58"/>
      <c r="I173" s="58"/>
      <c r="J173" s="58"/>
      <c r="K173" s="58"/>
      <c r="L173" s="58"/>
      <c r="M173" s="59"/>
      <c r="N173" s="22">
        <f>8*200</f>
        <v>1600</v>
      </c>
      <c r="O173" s="22">
        <f>8*1250</f>
        <v>10000</v>
      </c>
      <c r="P173" s="22">
        <f>8*550</f>
        <v>4400</v>
      </c>
      <c r="Q173" s="22">
        <f>8*720</f>
        <v>5760</v>
      </c>
      <c r="R173" s="22">
        <f t="shared" si="537"/>
        <v>9600</v>
      </c>
      <c r="S173" s="24">
        <v>0</v>
      </c>
      <c r="T173" s="24"/>
      <c r="U173" s="24"/>
      <c r="V173" s="24"/>
      <c r="W173" s="24"/>
      <c r="X173" s="24"/>
      <c r="Y173" s="24"/>
      <c r="Z173" s="24"/>
      <c r="AA173" s="24"/>
      <c r="AB173" s="24"/>
      <c r="AC173" s="24"/>
      <c r="AD173" s="24"/>
    </row>
    <row r="174" ht="12.7" customHeight="1">
      <c r="A174" t="s" s="18">
        <v>379</v>
      </c>
      <c r="B174" s="19">
        <v>500036</v>
      </c>
      <c r="C174" t="s" s="20">
        <v>380</v>
      </c>
      <c r="D174" t="s" s="21">
        <v>27</v>
      </c>
      <c r="E174" t="s" s="21">
        <f>A174&amp;D174</f>
        <v>384</v>
      </c>
      <c r="F174" s="60"/>
      <c r="G174" s="61"/>
      <c r="H174" s="61"/>
      <c r="I174" s="32"/>
      <c r="J174" s="32"/>
      <c r="K174" s="32"/>
      <c r="L174" s="32"/>
      <c r="M174" s="33"/>
      <c r="N174" s="22">
        <f>N173</f>
        <v>1600</v>
      </c>
      <c r="O174" s="22">
        <f>O173</f>
        <v>10000</v>
      </c>
      <c r="P174" s="22">
        <f>P173</f>
        <v>4400</v>
      </c>
      <c r="Q174" s="22">
        <f>Q173</f>
        <v>5760</v>
      </c>
      <c r="R174" s="22">
        <f>R173</f>
        <v>9600</v>
      </c>
      <c r="S174" s="24"/>
      <c r="T174" s="24"/>
      <c r="U174" s="24"/>
      <c r="V174" s="24"/>
      <c r="W174" s="24"/>
      <c r="X174" s="24"/>
      <c r="Y174" s="24"/>
      <c r="Z174" s="24"/>
      <c r="AA174" s="24"/>
      <c r="AB174" s="24"/>
      <c r="AC174" s="24"/>
      <c r="AD174" s="24"/>
    </row>
    <row r="175" ht="12.7" customHeight="1">
      <c r="A175" t="s" s="18">
        <v>379</v>
      </c>
      <c r="B175" s="19">
        <v>500036</v>
      </c>
      <c r="C175" t="s" s="20">
        <v>380</v>
      </c>
      <c r="D175" t="s" s="21">
        <v>29</v>
      </c>
      <c r="E175" t="s" s="21">
        <f>A175&amp;D175</f>
        <v>385</v>
      </c>
      <c r="F175" s="60"/>
      <c r="G175" s="61"/>
      <c r="H175" s="62"/>
      <c r="I175" s="22">
        <f>H176+I174-(I171-I172)-I179</f>
        <v>215</v>
      </c>
      <c r="J175" s="22">
        <f>IF((I175+J174-(J171-J172)-J179)&lt;0,0,(I175+J174-(J171-J172)-J179))</f>
        <v>215</v>
      </c>
      <c r="K175" s="22">
        <f>IF((J175+K174-(K171-K172)-K179)&lt;0,0,(J175+K174-(K171-K172)-K179))</f>
        <v>215</v>
      </c>
      <c r="L175" s="22">
        <f>IF((K175+L174-(L171-L172)-L179)&lt;0,0,(K175+L174-(L171-L172)-L179))</f>
        <v>215</v>
      </c>
      <c r="M175" s="22">
        <f>IF((L175+M174-(M171-M172)-M179)&lt;0,0,(L175+M174-(M171-M172)-M179))</f>
        <v>215</v>
      </c>
      <c r="N175" s="22">
        <f>IF((M175+N174-(N171-N172)-N179)&lt;0,0,(M175+N174-(N171-N172)-N179))</f>
        <v>1094.872</v>
      </c>
      <c r="O175" s="22">
        <f>IF((N175+O174-(O171-O172)-O179)&lt;0,0,(N175+O174-(O171-O172)-O179))</f>
        <v>2093.272000000001</v>
      </c>
      <c r="P175" s="22">
        <f>IF((O175+P174-(P171-P172)-P179)&lt;0,0,(O175+P174-(P171-P172)-P179))</f>
        <v>4251.340000000001</v>
      </c>
      <c r="Q175" s="22">
        <f>IF((P175+Q174-(Q171-Q172)-Q179)&lt;0,0,(P175+Q174-(Q171-Q172)-Q179))</f>
        <v>5984.632</v>
      </c>
      <c r="R175" s="22">
        <f>IF((Q175+R174-(R171-R172)-R179)&lt;0,0,(Q175+R174-(R171-R172)-R179))</f>
        <v>6496.728000000001</v>
      </c>
      <c r="S175" s="22"/>
      <c r="T175" s="22"/>
      <c r="U175" s="22"/>
      <c r="V175" s="22"/>
      <c r="W175" s="22"/>
      <c r="X175" s="22"/>
      <c r="Y175" s="22"/>
      <c r="Z175" s="22"/>
      <c r="AA175" s="22"/>
      <c r="AB175" s="22"/>
      <c r="AC175" s="22"/>
      <c r="AD175" s="22"/>
    </row>
    <row r="176" ht="12.7" customHeight="1">
      <c r="A176" t="s" s="18">
        <v>379</v>
      </c>
      <c r="B176" s="19">
        <v>500036</v>
      </c>
      <c r="C176" t="s" s="20">
        <v>380</v>
      </c>
      <c r="D176" t="s" s="21">
        <v>31</v>
      </c>
      <c r="E176" t="s" s="21">
        <f>A176&amp;D176</f>
        <v>386</v>
      </c>
      <c r="F176" s="31"/>
      <c r="G176" s="87"/>
      <c r="H176" s="33"/>
      <c r="I176" s="22">
        <v>0</v>
      </c>
      <c r="J176" s="48"/>
      <c r="K176" s="48"/>
      <c r="L176" s="48"/>
      <c r="M176" s="48"/>
      <c r="N176" s="48"/>
      <c r="O176" s="48"/>
      <c r="P176" s="48"/>
      <c r="Q176" s="48"/>
      <c r="R176" s="48"/>
      <c r="S176" s="22"/>
      <c r="T176" s="22"/>
      <c r="U176" s="22"/>
      <c r="V176" s="22"/>
      <c r="W176" s="22"/>
      <c r="X176" s="22"/>
      <c r="Y176" s="22"/>
      <c r="Z176" s="22"/>
      <c r="AA176" s="22"/>
      <c r="AB176" s="22"/>
      <c r="AC176" s="22"/>
      <c r="AD176" s="22"/>
    </row>
    <row r="177" ht="12.7" customHeight="1">
      <c r="A177" t="s" s="18">
        <v>379</v>
      </c>
      <c r="B177" s="19">
        <v>500036</v>
      </c>
      <c r="C177" t="s" s="20">
        <v>380</v>
      </c>
      <c r="D177" t="s" s="21">
        <v>33</v>
      </c>
      <c r="E177" t="s" s="21">
        <f>A177&amp;D177</f>
        <v>387</v>
      </c>
      <c r="F177" s="22">
        <v>0</v>
      </c>
      <c r="G177" s="22">
        <v>0</v>
      </c>
      <c r="H177" s="22">
        <v>0</v>
      </c>
      <c r="I177" s="22">
        <v>0</v>
      </c>
      <c r="J177" s="22">
        <f>IF((I175+J174-(J171-J172)-J179)&gt;0,0,(I175+J174-(J171-J172)-J179))</f>
        <v>0</v>
      </c>
      <c r="K177" s="22">
        <f>IF((J175+K174-(K171-K172)-K179)&gt;0,0,(J175+K174-(K171-K172)-K179))</f>
        <v>0</v>
      </c>
      <c r="L177" s="22">
        <f>IF((K175+L174-(L171-L172)-L179)&gt;0,0,(K175+L174-(L171-L172)-L179))</f>
        <v>0</v>
      </c>
      <c r="M177" s="22">
        <f>IF((L175+M174-(M171-M172)-M179)&gt;0,0,(L175+M174-(M171-M172)-M179))</f>
        <v>0</v>
      </c>
      <c r="N177" s="22">
        <f>IF((M175+N174-(N171-N172)-N179)&gt;0,0,(M175+N174-(N171-N172)-N179))</f>
        <v>0</v>
      </c>
      <c r="O177" s="22">
        <f>IF((N175+O174-(O171-O172)-O179)&gt;0,0,(N175+O174-(O171-O172)-O179))</f>
        <v>0</v>
      </c>
      <c r="P177" s="22">
        <f>IF((O175+P174-(P171-P172)-P179)&gt;0,0,(O175+P174-(P171-P172)-P179))</f>
        <v>0</v>
      </c>
      <c r="Q177" s="22">
        <f>IF((P175+Q174-(Q171-Q172)-Q179)&gt;0,0,(P175+Q174-(Q171-Q172)-Q179))</f>
        <v>0</v>
      </c>
      <c r="R177" s="22">
        <f>IF((Q175+R174-(R171-R172)-R179)&gt;0,0,(Q175+R174-(R171-R172)-R179))</f>
        <v>0</v>
      </c>
      <c r="S177" s="24">
        <f>IF((R175+S174-(S171-S172)-S179)&gt;0,0,(R175+S174-(S171-S172)-S179))</f>
        <v>-3526.871999999999</v>
      </c>
      <c r="T177" s="24"/>
      <c r="U177" s="24"/>
      <c r="V177" s="24"/>
      <c r="W177" s="24"/>
      <c r="X177" s="24"/>
      <c r="Y177" s="24"/>
      <c r="Z177" s="24"/>
      <c r="AA177" s="24"/>
      <c r="AB177" s="24"/>
      <c r="AC177" s="24"/>
      <c r="AD177" s="24"/>
    </row>
    <row r="178" ht="12.7" customHeight="1">
      <c r="A178" t="s" s="18">
        <v>379</v>
      </c>
      <c r="B178" s="19">
        <v>500036</v>
      </c>
      <c r="C178" t="s" s="20">
        <v>380</v>
      </c>
      <c r="D178" t="s" s="21">
        <v>35</v>
      </c>
      <c r="E178" t="s" s="21">
        <f>A178&amp;D178</f>
        <v>388</v>
      </c>
      <c r="F178" s="46"/>
      <c r="G178" s="49"/>
      <c r="H178" s="47"/>
      <c r="I178" s="22">
        <v>0</v>
      </c>
      <c r="J178" s="22">
        <v>0</v>
      </c>
      <c r="K178" s="22">
        <v>0</v>
      </c>
      <c r="L178" s="22">
        <v>0</v>
      </c>
      <c r="M178" s="22">
        <v>0</v>
      </c>
      <c r="N178" s="46"/>
      <c r="O178" s="58"/>
      <c r="P178" s="58"/>
      <c r="Q178" s="58"/>
      <c r="R178" s="59"/>
      <c r="S178" s="24"/>
      <c r="T178" s="24"/>
      <c r="U178" s="24"/>
      <c r="V178" s="24"/>
      <c r="W178" s="24"/>
      <c r="X178" s="24"/>
      <c r="Y178" s="24"/>
      <c r="Z178" s="24"/>
      <c r="AA178" s="24"/>
      <c r="AB178" s="24"/>
      <c r="AC178" s="24"/>
      <c r="AD178" s="24"/>
    </row>
    <row r="179" ht="12.7" customHeight="1">
      <c r="A179" t="s" s="18">
        <v>379</v>
      </c>
      <c r="B179" s="19">
        <v>500036</v>
      </c>
      <c r="C179" t="s" s="20">
        <v>380</v>
      </c>
      <c r="D179" t="s" s="21">
        <v>37</v>
      </c>
      <c r="E179" t="s" s="21">
        <f>A179&amp;D179</f>
        <v>389</v>
      </c>
      <c r="F179" s="22">
        <v>0</v>
      </c>
      <c r="G179" s="22">
        <v>0</v>
      </c>
      <c r="H179" s="30">
        <v>0</v>
      </c>
      <c r="I179" s="22">
        <f>IF(I178&gt;0,IF(I178-(I171-I172)&gt;0,(I178-(I171-I172)),0),0)</f>
        <v>0</v>
      </c>
      <c r="J179" s="22">
        <f>IF(J178&gt;0,IF(J178-(J171-J172)&gt;0,(J178-(J171-J172)),0),0)</f>
        <v>0</v>
      </c>
      <c r="K179" s="22">
        <f>IF(K178&gt;0,IF(K178-(K171-K172)&gt;0,(K178-(K171-K172)),0),0)</f>
        <v>0</v>
      </c>
      <c r="L179" s="22">
        <f>IF(L178&gt;0,IF(L178-(L171-L172)&gt;0,(L178-(L171-L172)),0),0)</f>
        <v>0</v>
      </c>
      <c r="M179" s="22">
        <v>0</v>
      </c>
      <c r="N179" s="22">
        <v>0</v>
      </c>
      <c r="O179" s="31"/>
      <c r="P179" s="32"/>
      <c r="Q179" s="32"/>
      <c r="R179" s="33"/>
      <c r="S179" s="24"/>
      <c r="T179" s="24"/>
      <c r="U179" s="24"/>
      <c r="V179" s="24"/>
      <c r="W179" s="24"/>
      <c r="X179" s="24"/>
      <c r="Y179" s="24"/>
      <c r="Z179" s="24"/>
      <c r="AA179" s="24"/>
      <c r="AB179" s="24"/>
      <c r="AC179" s="24"/>
      <c r="AD179" s="24"/>
    </row>
    <row r="180" ht="12.7" customHeight="1">
      <c r="A180" t="s" s="34">
        <v>379</v>
      </c>
      <c r="B180" s="35">
        <v>500036</v>
      </c>
      <c r="C180" t="s" s="36">
        <v>380</v>
      </c>
      <c r="D180" t="s" s="37">
        <v>39</v>
      </c>
      <c r="E180" t="s" s="37">
        <f>A180&amp;D180</f>
        <v>390</v>
      </c>
      <c r="F180" s="38">
        <f>IFERROR(F176/AVERAGE(G171:H171)*30,0)</f>
        <v>0</v>
      </c>
      <c r="G180" s="38">
        <f>IFERROR(G176/AVERAGE(H171:I171)*30,0)</f>
        <v>0</v>
      </c>
      <c r="H180" s="38">
        <f>IFERROR(H175/AVERAGE(I171:J171)*30,0)</f>
        <v>0</v>
      </c>
      <c r="I180" s="38">
        <f>IFERROR(I175/AVERAGE(J171:K171)*30,0)</f>
        <v>0</v>
      </c>
      <c r="J180" s="38">
        <f>IFERROR(J175/AVERAGE(K171:L171)*30,0)</f>
        <v>0</v>
      </c>
      <c r="K180" s="38">
        <f>IFERROR(K175/AVERAGE(L171:M171)*30,0)</f>
        <v>0</v>
      </c>
      <c r="L180" s="38">
        <f>IFERROR(L175/AVERAGE(M171:N171)*30,0)</f>
        <v>17.91348204763597</v>
      </c>
      <c r="M180" s="38">
        <f>IFERROR(M175/AVERAGE(N171:O171)*30,0)</f>
        <v>1.326924596121184</v>
      </c>
      <c r="N180" s="38">
        <f>IFERROR(N175/AVERAGE(O171:P171)*30,0)</f>
        <v>5.842676482799178</v>
      </c>
      <c r="O180" s="38">
        <f>IFERROR(O175/AVERAGE(P171:Q171)*30,0)</f>
        <v>20.03565685698972</v>
      </c>
      <c r="P180" s="38">
        <f>IFERROR(P175/AVERAGE(Q171:R171)*30,0)</f>
        <v>19.45009124173861</v>
      </c>
      <c r="Q180" s="38">
        <f>IFERROR(Q175/AVERAGE(R171:S171)*30,0)</f>
        <v>18.78857467209279</v>
      </c>
      <c r="R180" s="38">
        <f>IFERROR(R175/AVERAGE(S171:T171)*30,0)</f>
        <v>19.44429546270801</v>
      </c>
      <c r="S180" s="38">
        <f>IFERROR(S175/AVERAGE(T171:U171)*30,0)</f>
        <v>0</v>
      </c>
      <c r="T180" s="38"/>
      <c r="U180" s="38"/>
      <c r="V180" s="38"/>
      <c r="W180" s="38"/>
      <c r="X180" s="38"/>
      <c r="Y180" s="38"/>
      <c r="Z180" s="38"/>
      <c r="AA180" s="38"/>
      <c r="AB180" s="38"/>
      <c r="AC180" s="38"/>
      <c r="AD180" s="38"/>
    </row>
    <row r="181" ht="12" customHeight="1">
      <c r="A181" s="39"/>
      <c r="B181" s="40"/>
      <c r="C181" s="40"/>
      <c r="D181" s="40"/>
      <c r="E181" s="40"/>
      <c r="F181" s="40"/>
      <c r="G181" t="s" s="90">
        <v>2</v>
      </c>
      <c r="H181" s="91"/>
      <c r="I181" s="91"/>
      <c r="J181" s="91"/>
      <c r="K181" s="91"/>
      <c r="L181" s="91"/>
      <c r="M181" s="91"/>
      <c r="N181" s="91"/>
      <c r="O181" s="91"/>
      <c r="P181" s="91"/>
      <c r="Q181" s="91"/>
      <c r="R181" s="91"/>
      <c r="S181" t="s" s="90">
        <v>3</v>
      </c>
      <c r="T181" s="91"/>
      <c r="U181" s="91"/>
      <c r="V181" s="91"/>
      <c r="W181" s="91"/>
      <c r="X181" s="91"/>
      <c r="Y181" s="91"/>
      <c r="Z181" s="91"/>
      <c r="AA181" s="91"/>
      <c r="AB181" s="91"/>
      <c r="AC181" s="91"/>
      <c r="AD181" s="92"/>
    </row>
    <row r="182" ht="13.5" customHeight="1">
      <c r="A182" t="s" s="8">
        <v>4</v>
      </c>
      <c r="B182" t="s" s="9">
        <v>5</v>
      </c>
      <c r="C182" t="s" s="9">
        <v>6</v>
      </c>
      <c r="D182" t="s" s="9">
        <v>7</v>
      </c>
      <c r="E182" s="10"/>
      <c r="F182" t="s" s="9">
        <v>18</v>
      </c>
      <c r="G182" t="s" s="9">
        <v>8</v>
      </c>
      <c r="H182" t="s" s="9">
        <v>9</v>
      </c>
      <c r="I182" t="s" s="9">
        <v>10</v>
      </c>
      <c r="J182" t="s" s="9">
        <v>11</v>
      </c>
      <c r="K182" t="s" s="9">
        <v>1</v>
      </c>
      <c r="L182" t="s" s="9">
        <v>12</v>
      </c>
      <c r="M182" t="s" s="9">
        <v>13</v>
      </c>
      <c r="N182" t="s" s="9">
        <v>14</v>
      </c>
      <c r="O182" t="s" s="9">
        <v>15</v>
      </c>
      <c r="P182" t="s" s="9">
        <v>16</v>
      </c>
      <c r="Q182" t="s" s="9">
        <v>17</v>
      </c>
      <c r="R182" t="s" s="9">
        <v>18</v>
      </c>
      <c r="S182" t="s" s="9">
        <v>8</v>
      </c>
      <c r="T182" t="s" s="9">
        <v>9</v>
      </c>
      <c r="U182" t="s" s="9">
        <v>10</v>
      </c>
      <c r="V182" t="s" s="9">
        <v>11</v>
      </c>
      <c r="W182" t="s" s="9">
        <v>1</v>
      </c>
      <c r="X182" t="s" s="9">
        <v>12</v>
      </c>
      <c r="Y182" t="s" s="9">
        <v>13</v>
      </c>
      <c r="Z182" t="s" s="9">
        <v>14</v>
      </c>
      <c r="AA182" t="s" s="9">
        <v>15</v>
      </c>
      <c r="AB182" t="s" s="9">
        <v>16</v>
      </c>
      <c r="AC182" t="s" s="9">
        <v>17</v>
      </c>
      <c r="AD182" t="s" s="11">
        <v>18</v>
      </c>
    </row>
    <row r="183" ht="12.7" customHeight="1">
      <c r="A183" t="s" s="12">
        <v>391</v>
      </c>
      <c r="B183" s="13">
        <v>500039</v>
      </c>
      <c r="C183" t="s" s="14">
        <v>392</v>
      </c>
      <c r="D183" t="s" s="15">
        <v>21</v>
      </c>
      <c r="E183" t="s" s="15">
        <f>A183&amp;D183</f>
        <v>393</v>
      </c>
      <c r="F183" s="93"/>
      <c r="G183" s="83"/>
      <c r="H183" s="84"/>
      <c r="I183" s="85"/>
      <c r="J183" s="17">
        <v>0</v>
      </c>
      <c r="K183" s="17">
        <v>0</v>
      </c>
      <c r="L183" s="17">
        <v>0</v>
      </c>
      <c r="M183" s="17">
        <v>0</v>
      </c>
      <c r="N183" s="17">
        <v>580</v>
      </c>
      <c r="O183" s="17">
        <v>3660.96</v>
      </c>
      <c r="P183" s="17">
        <v>2726.464</v>
      </c>
      <c r="Q183" s="17">
        <v>5104</v>
      </c>
      <c r="R183" s="17">
        <v>10874.304</v>
      </c>
      <c r="S183" s="17">
        <v>1414.8</v>
      </c>
      <c r="T183" s="17"/>
      <c r="U183" s="17"/>
      <c r="V183" s="17"/>
      <c r="W183" s="17"/>
      <c r="X183" s="17"/>
      <c r="Y183" s="17"/>
      <c r="Z183" s="17"/>
      <c r="AA183" s="17"/>
      <c r="AB183" s="17"/>
      <c r="AC183" s="17"/>
      <c r="AD183" s="17"/>
    </row>
    <row r="184" ht="12.7" customHeight="1">
      <c r="A184" t="s" s="18">
        <v>391</v>
      </c>
      <c r="B184" s="19">
        <v>500039</v>
      </c>
      <c r="C184" t="s" s="20">
        <v>392</v>
      </c>
      <c r="D184" t="s" s="21">
        <v>23</v>
      </c>
      <c r="E184" t="s" s="21">
        <f>A184&amp;D184</f>
        <v>394</v>
      </c>
      <c r="F184" s="22">
        <v>5859</v>
      </c>
      <c r="G184" s="22">
        <v>1179</v>
      </c>
      <c r="H184" s="22">
        <v>773</v>
      </c>
      <c r="I184" s="22">
        <v>126</v>
      </c>
      <c r="J184" s="86">
        <f>INDEX('Sales Actual'!$H$5:$H$66,MATCH($A184,'Sales Actual'!$G$5:$G$66,0))</f>
        <v>0</v>
      </c>
      <c r="K184" s="86">
        <f>INDEX('Sales Actual'!$J$5:$J$66,MATCH($A184,'Sales Actual'!$I$5:$I$66,0))</f>
        <v>0</v>
      </c>
      <c r="L184" s="86">
        <f>INDEX('Sales Actual'!$L$5:$L$66,MATCH($A184,'Sales Actual'!$K$5:$K$66,0))</f>
        <v>0</v>
      </c>
      <c r="M184" s="86">
        <f>INDEX('Sales Actual'!$N$4:$N$65,MATCH($A184,'Sales Actual'!$M$4:$M$65,0))</f>
        <v>0</v>
      </c>
      <c r="N184" s="86">
        <f>INDEX('Sales Actual'!$P$4:$P$64,MATCH($A184,'Sales Actual'!$O$4:$O$65,0))</f>
        <v>0</v>
      </c>
      <c r="O184" s="86">
        <f>INDEX('Sales Actual'!$R$4:$R$65,MATCH($A184,'Sales Actual'!$Q$4:$Q$65,0))</f>
        <v>0</v>
      </c>
      <c r="P184" s="86">
        <f>INDEX('Sales Actual'!$T$4:$T$66,MATCH($A184,'Sales Actual'!$S$4:$S$66,0))</f>
        <v>0</v>
      </c>
      <c r="Q184" s="86">
        <f>INDEX('Sales Actual'!$V$4:$V$65,MATCH($A184,'Sales Actual'!$U$4:$U$65,0))</f>
        <v>0</v>
      </c>
      <c r="R184" s="86">
        <f>INDEX('Sales Actual'!$X$4:$X$65,MATCH($A184,'Sales Actual'!$W$4:$W$65,0))</f>
        <v>0</v>
      </c>
      <c r="S184" s="22"/>
      <c r="T184" s="22"/>
      <c r="U184" s="22"/>
      <c r="V184" s="22"/>
      <c r="W184" s="22"/>
      <c r="X184" s="22"/>
      <c r="Y184" s="22"/>
      <c r="Z184" s="22"/>
      <c r="AA184" s="22"/>
      <c r="AB184" s="22"/>
      <c r="AC184" s="22"/>
      <c r="AD184" s="22"/>
    </row>
    <row r="185" ht="12.7" customHeight="1">
      <c r="A185" t="s" s="18">
        <v>391</v>
      </c>
      <c r="B185" s="19">
        <v>500039</v>
      </c>
      <c r="C185" t="s" s="20">
        <v>392</v>
      </c>
      <c r="D185" t="s" s="21">
        <v>25</v>
      </c>
      <c r="E185" t="s" s="21">
        <f>A185&amp;D185</f>
        <v>395</v>
      </c>
      <c r="F185" s="57"/>
      <c r="G185" s="58"/>
      <c r="H185" s="58"/>
      <c r="I185" s="58"/>
      <c r="J185" s="58"/>
      <c r="K185" s="58"/>
      <c r="L185" s="58"/>
      <c r="M185" s="59"/>
      <c r="N185" s="22">
        <f>6*250</f>
        <v>1500</v>
      </c>
      <c r="O185" s="22">
        <f>6*730</f>
        <v>4380</v>
      </c>
      <c r="P185" s="22">
        <f>6*870</f>
        <v>5220</v>
      </c>
      <c r="Q185" s="22">
        <f>6*790</f>
        <v>4740</v>
      </c>
      <c r="R185" s="22">
        <f>6*1300</f>
        <v>7800</v>
      </c>
      <c r="S185" s="24">
        <v>0</v>
      </c>
      <c r="T185" s="24"/>
      <c r="U185" s="24"/>
      <c r="V185" s="24"/>
      <c r="W185" s="24"/>
      <c r="X185" s="24"/>
      <c r="Y185" s="24"/>
      <c r="Z185" s="24"/>
      <c r="AA185" s="24"/>
      <c r="AB185" s="24"/>
      <c r="AC185" s="24"/>
      <c r="AD185" s="24"/>
    </row>
    <row r="186" ht="12.7" customHeight="1">
      <c r="A186" t="s" s="18">
        <v>391</v>
      </c>
      <c r="B186" s="19">
        <v>500039</v>
      </c>
      <c r="C186" t="s" s="20">
        <v>392</v>
      </c>
      <c r="D186" t="s" s="21">
        <v>27</v>
      </c>
      <c r="E186" t="s" s="21">
        <f>A186&amp;D186</f>
        <v>396</v>
      </c>
      <c r="F186" s="60"/>
      <c r="G186" s="61"/>
      <c r="H186" s="61"/>
      <c r="I186" s="32"/>
      <c r="J186" s="32"/>
      <c r="K186" s="32"/>
      <c r="L186" s="32"/>
      <c r="M186" s="33"/>
      <c r="N186" s="22">
        <f>N185</f>
        <v>1500</v>
      </c>
      <c r="O186" s="22">
        <f>O185</f>
        <v>4380</v>
      </c>
      <c r="P186" s="22">
        <f>P185</f>
        <v>5220</v>
      </c>
      <c r="Q186" s="22">
        <f>Q185</f>
        <v>4740</v>
      </c>
      <c r="R186" s="22">
        <f>R185</f>
        <v>7800</v>
      </c>
      <c r="S186" s="24"/>
      <c r="T186" s="24"/>
      <c r="U186" s="24"/>
      <c r="V186" s="24"/>
      <c r="W186" s="24"/>
      <c r="X186" s="24"/>
      <c r="Y186" s="24"/>
      <c r="Z186" s="24"/>
      <c r="AA186" s="24"/>
      <c r="AB186" s="24"/>
      <c r="AC186" s="24"/>
      <c r="AD186" s="24"/>
    </row>
    <row r="187" ht="12.7" customHeight="1">
      <c r="A187" t="s" s="18">
        <v>391</v>
      </c>
      <c r="B187" s="19">
        <v>500039</v>
      </c>
      <c r="C187" t="s" s="20">
        <v>392</v>
      </c>
      <c r="D187" t="s" s="21">
        <v>29</v>
      </c>
      <c r="E187" t="s" s="21">
        <f>A187&amp;D187</f>
        <v>397</v>
      </c>
      <c r="F187" s="60"/>
      <c r="G187" s="61"/>
      <c r="H187" s="62"/>
      <c r="I187" s="22">
        <f>H188+I186-(I183-I184)-I191</f>
        <v>126</v>
      </c>
      <c r="J187" s="22">
        <f>IF((I187+J186-(J183-J184)-J191)&lt;0,0,(I187+J186-(J183-J184)-J191))</f>
        <v>126</v>
      </c>
      <c r="K187" s="22">
        <f>IF((J187+K186-(K183-K184)-K191)&lt;0,0,(J187+K186-(K183-K184)-K191))</f>
        <v>126</v>
      </c>
      <c r="L187" s="22">
        <f>IF((K187+L186-(L183-L184)-L191)&lt;0,0,(K187+L186-(L183-L184)-L191))</f>
        <v>126</v>
      </c>
      <c r="M187" s="22">
        <f>IF((L187+M186-(M183-M184)-M191)&lt;0,0,(L187+M186-(M183-M184)-M191))</f>
        <v>126</v>
      </c>
      <c r="N187" s="22">
        <f>IF((M187+N186-(N183-N184)-N191)&lt;0,0,(M187+N186-(N183-N184)-N191))</f>
        <v>1046</v>
      </c>
      <c r="O187" s="22">
        <f>IF((N187+O186-(O183-O184)-O191)&lt;0,0,(N187+O186-(O183-O184)-O191))</f>
        <v>1765.04</v>
      </c>
      <c r="P187" s="22">
        <f>IF((O187+P186-(P183-P184)-P191)&lt;0,0,(O187+P186-(P183-P184)-P191))</f>
        <v>4258.576</v>
      </c>
      <c r="Q187" s="22">
        <f>IF((P187+Q186-(Q183-Q184)-Q191)&lt;0,0,(P187+Q186-(Q183-Q184)-Q191))</f>
        <v>3894.576000000001</v>
      </c>
      <c r="R187" s="22">
        <f>IF((Q187+R186-(R183-R184)-R191)&lt;0,0,(Q187+R186-(R183-R184)-R191))</f>
        <v>820.2720000000008</v>
      </c>
      <c r="S187" s="22"/>
      <c r="T187" s="22"/>
      <c r="U187" s="22"/>
      <c r="V187" s="22"/>
      <c r="W187" s="22"/>
      <c r="X187" s="22"/>
      <c r="Y187" s="22"/>
      <c r="Z187" s="22"/>
      <c r="AA187" s="22"/>
      <c r="AB187" s="22"/>
      <c r="AC187" s="22"/>
      <c r="AD187" s="22"/>
    </row>
    <row r="188" ht="12.7" customHeight="1">
      <c r="A188" t="s" s="18">
        <v>391</v>
      </c>
      <c r="B188" s="19">
        <v>500039</v>
      </c>
      <c r="C188" t="s" s="20">
        <v>392</v>
      </c>
      <c r="D188" t="s" s="21">
        <v>31</v>
      </c>
      <c r="E188" t="s" s="21">
        <f>A188&amp;D188</f>
        <v>398</v>
      </c>
      <c r="F188" s="31"/>
      <c r="G188" s="87"/>
      <c r="H188" s="33"/>
      <c r="I188" s="22">
        <v>0</v>
      </c>
      <c r="J188" s="48"/>
      <c r="K188" s="48"/>
      <c r="L188" s="48"/>
      <c r="M188" s="48"/>
      <c r="N188" s="48"/>
      <c r="O188" s="48"/>
      <c r="P188" s="48"/>
      <c r="Q188" s="48"/>
      <c r="R188" s="48"/>
      <c r="S188" s="22"/>
      <c r="T188" s="22"/>
      <c r="U188" s="22"/>
      <c r="V188" s="22"/>
      <c r="W188" s="22"/>
      <c r="X188" s="22"/>
      <c r="Y188" s="22"/>
      <c r="Z188" s="22"/>
      <c r="AA188" s="22"/>
      <c r="AB188" s="22"/>
      <c r="AC188" s="22"/>
      <c r="AD188" s="22"/>
    </row>
    <row r="189" ht="12.7" customHeight="1">
      <c r="A189" t="s" s="18">
        <v>391</v>
      </c>
      <c r="B189" s="19">
        <v>500039</v>
      </c>
      <c r="C189" t="s" s="20">
        <v>392</v>
      </c>
      <c r="D189" t="s" s="21">
        <v>33</v>
      </c>
      <c r="E189" t="s" s="21">
        <f>A189&amp;D189</f>
        <v>399</v>
      </c>
      <c r="F189" s="22">
        <v>0</v>
      </c>
      <c r="G189" s="22">
        <v>0</v>
      </c>
      <c r="H189" s="22">
        <v>0</v>
      </c>
      <c r="I189" s="22">
        <v>0</v>
      </c>
      <c r="J189" s="22">
        <f>IF((I187+J186-(J183-J184)-J191)&gt;0,0,(I187+J186-(J183-J184)-J191))</f>
        <v>0</v>
      </c>
      <c r="K189" s="22">
        <f>IF((J187+K186-(K183-K184)-K191)&gt;0,0,(J187+K186-(K183-K184)-K191))</f>
        <v>0</v>
      </c>
      <c r="L189" s="22">
        <f>IF((K187+L186-(L183-L184)-L191)&gt;0,0,(K187+L186-(L183-L184)-L191))</f>
        <v>0</v>
      </c>
      <c r="M189" s="22">
        <f>IF((L187+M186-(M183-M184)-M191)&gt;0,0,(L187+M186-(M183-M184)-M191))</f>
        <v>0</v>
      </c>
      <c r="N189" s="22">
        <f>IF((M187+N186-(N183-N184)-N191)&gt;0,0,(M187+N186-(N183-N184)-N191))</f>
        <v>0</v>
      </c>
      <c r="O189" s="22">
        <f>IF((N187+O186-(O183-O184)-O191)&gt;0,0,(N187+O186-(O183-O184)-O191))</f>
        <v>0</v>
      </c>
      <c r="P189" s="22">
        <f>IF((O187+P186-(P183-P184)-P191)&gt;0,0,(O187+P186-(P183-P184)-P191))</f>
        <v>0</v>
      </c>
      <c r="Q189" s="22">
        <f>IF((P187+Q186-(Q183-Q184)-Q191)&gt;0,0,(P187+Q186-(Q183-Q184)-Q191))</f>
        <v>0</v>
      </c>
      <c r="R189" s="22">
        <f>IF((Q187+R186-(R183-R184)-R191)&gt;0,0,(Q187+R186-(R183-R184)-R191))</f>
        <v>0</v>
      </c>
      <c r="S189" s="24">
        <f>IF((R187+S186-(S183-S184)-S191)&gt;0,0,(R187+S186-(S183-S184)-S191))</f>
        <v>-594.5279999999991</v>
      </c>
      <c r="T189" s="24"/>
      <c r="U189" s="24"/>
      <c r="V189" s="24"/>
      <c r="W189" s="24"/>
      <c r="X189" s="24"/>
      <c r="Y189" s="24"/>
      <c r="Z189" s="24"/>
      <c r="AA189" s="24"/>
      <c r="AB189" s="24"/>
      <c r="AC189" s="24"/>
      <c r="AD189" s="24"/>
    </row>
    <row r="190" ht="12.7" customHeight="1">
      <c r="A190" t="s" s="18">
        <v>391</v>
      </c>
      <c r="B190" s="19">
        <v>500039</v>
      </c>
      <c r="C190" t="s" s="20">
        <v>392</v>
      </c>
      <c r="D190" t="s" s="21">
        <v>35</v>
      </c>
      <c r="E190" t="s" s="21">
        <f>A190&amp;D190</f>
        <v>400</v>
      </c>
      <c r="F190" s="46"/>
      <c r="G190" s="49"/>
      <c r="H190" s="47"/>
      <c r="I190" s="22">
        <v>0</v>
      </c>
      <c r="J190" s="22">
        <v>0</v>
      </c>
      <c r="K190" s="22">
        <v>0</v>
      </c>
      <c r="L190" s="22">
        <v>0</v>
      </c>
      <c r="M190" s="22">
        <v>0</v>
      </c>
      <c r="N190" s="46"/>
      <c r="O190" s="58"/>
      <c r="P190" s="58"/>
      <c r="Q190" s="58"/>
      <c r="R190" s="59"/>
      <c r="S190" s="24"/>
      <c r="T190" s="24"/>
      <c r="U190" s="24"/>
      <c r="V190" s="24"/>
      <c r="W190" s="24"/>
      <c r="X190" s="24"/>
      <c r="Y190" s="24"/>
      <c r="Z190" s="24"/>
      <c r="AA190" s="24"/>
      <c r="AB190" s="24"/>
      <c r="AC190" s="24"/>
      <c r="AD190" s="24"/>
    </row>
    <row r="191" ht="12.7" customHeight="1">
      <c r="A191" t="s" s="18">
        <v>391</v>
      </c>
      <c r="B191" s="19">
        <v>500039</v>
      </c>
      <c r="C191" t="s" s="20">
        <v>392</v>
      </c>
      <c r="D191" t="s" s="21">
        <v>37</v>
      </c>
      <c r="E191" t="s" s="21">
        <f>A191&amp;D191</f>
        <v>401</v>
      </c>
      <c r="F191" s="22">
        <v>0</v>
      </c>
      <c r="G191" s="22">
        <v>0</v>
      </c>
      <c r="H191" s="30">
        <v>0</v>
      </c>
      <c r="I191" s="22">
        <f>IF(I190&gt;0,IF(I190-(I183-I184)&gt;0,(I190-(I183-I184)),0),0)</f>
        <v>0</v>
      </c>
      <c r="J191" s="22">
        <f>IF(J190&gt;0,IF(J190-(J183-J184)&gt;0,(J190-(J183-J184)),0),0)</f>
        <v>0</v>
      </c>
      <c r="K191" s="22">
        <f>IF(K190&gt;0,IF(K190-(K183-K184)&gt;0,(K190-(K183-K184)),0),0)</f>
        <v>0</v>
      </c>
      <c r="L191" s="22">
        <f>IF(L190&gt;0,IF(L190-(L183-L184)&gt;0,(L190-(L183-L184)),0),0)</f>
        <v>0</v>
      </c>
      <c r="M191" s="22">
        <v>0</v>
      </c>
      <c r="N191" s="22">
        <v>0</v>
      </c>
      <c r="O191" s="31"/>
      <c r="P191" s="32"/>
      <c r="Q191" s="32"/>
      <c r="R191" s="33"/>
      <c r="S191" s="24"/>
      <c r="T191" s="24"/>
      <c r="U191" s="24"/>
      <c r="V191" s="24"/>
      <c r="W191" s="24"/>
      <c r="X191" s="24"/>
      <c r="Y191" s="24"/>
      <c r="Z191" s="24"/>
      <c r="AA191" s="24"/>
      <c r="AB191" s="24"/>
      <c r="AC191" s="24"/>
      <c r="AD191" s="24"/>
    </row>
    <row r="192" ht="12.7" customHeight="1">
      <c r="A192" t="s" s="34">
        <v>391</v>
      </c>
      <c r="B192" s="35">
        <v>500039</v>
      </c>
      <c r="C192" t="s" s="36">
        <v>392</v>
      </c>
      <c r="D192" t="s" s="37">
        <v>39</v>
      </c>
      <c r="E192" t="s" s="37">
        <f>A192&amp;D192</f>
        <v>402</v>
      </c>
      <c r="F192" s="38">
        <f>IFERROR(F188/AVERAGE(G183:H183)*30,0)</f>
        <v>0</v>
      </c>
      <c r="G192" s="38">
        <f>IFERROR(G188/AVERAGE(H183:I183)*30,0)</f>
        <v>0</v>
      </c>
      <c r="H192" s="38">
        <f>IFERROR(H187/AVERAGE(I183:J183)*30,0)</f>
        <v>0</v>
      </c>
      <c r="I192" s="38">
        <f>IFERROR(I187/AVERAGE(J183:K183)*30,0)</f>
        <v>0</v>
      </c>
      <c r="J192" s="38">
        <f>IFERROR(J187/AVERAGE(K183:L183)*30,0)</f>
        <v>0</v>
      </c>
      <c r="K192" s="38">
        <f>IFERROR(K187/AVERAGE(L183:M183)*30,0)</f>
        <v>0</v>
      </c>
      <c r="L192" s="38">
        <f>IFERROR(L187/AVERAGE(M183:N183)*30,0)</f>
        <v>13.03448275862069</v>
      </c>
      <c r="M192" s="38">
        <f>IFERROR(M187/AVERAGE(N183:O183)*30,0)</f>
        <v>1.782615256922961</v>
      </c>
      <c r="N192" s="38">
        <f>IFERROR(N187/AVERAGE(O183:P183)*30,0)</f>
        <v>9.825557219937178</v>
      </c>
      <c r="O192" s="38">
        <f>IFERROR(O187/AVERAGE(P183:Q183)*30,0)</f>
        <v>13.52440928149341</v>
      </c>
      <c r="P192" s="38">
        <f>IFERROR(P187/AVERAGE(Q183:R183)*30,0)</f>
        <v>15.99134426282039</v>
      </c>
      <c r="Q192" s="38">
        <f>IFERROR(Q187/AVERAGE(R183:S183)*30,0)</f>
        <v>19.0147760162173</v>
      </c>
      <c r="R192" s="38">
        <f>IFERROR(R187/AVERAGE(S183:T183)*30,0)</f>
        <v>17.39338422391859</v>
      </c>
      <c r="S192" s="38">
        <f>IFERROR(S187/AVERAGE(T183:U183)*30,0)</f>
        <v>0</v>
      </c>
      <c r="T192" s="38"/>
      <c r="U192" s="38"/>
      <c r="V192" s="38"/>
      <c r="W192" s="38"/>
      <c r="X192" s="38"/>
      <c r="Y192" s="38"/>
      <c r="Z192" s="38"/>
      <c r="AA192" s="38"/>
      <c r="AB192" s="38"/>
      <c r="AC192" s="38"/>
      <c r="AD192" s="38"/>
    </row>
    <row r="193" ht="12" customHeight="1">
      <c r="A193" s="39"/>
      <c r="B193" s="40"/>
      <c r="C193" s="40"/>
      <c r="D193" s="40"/>
      <c r="E193" s="40"/>
      <c r="F193" s="40"/>
      <c r="G193" t="s" s="90">
        <v>2</v>
      </c>
      <c r="H193" s="91"/>
      <c r="I193" s="91"/>
      <c r="J193" s="91"/>
      <c r="K193" s="91"/>
      <c r="L193" s="91"/>
      <c r="M193" s="91"/>
      <c r="N193" s="91"/>
      <c r="O193" s="91"/>
      <c r="P193" s="91"/>
      <c r="Q193" s="91"/>
      <c r="R193" s="91"/>
      <c r="S193" t="s" s="90">
        <v>3</v>
      </c>
      <c r="T193" s="91"/>
      <c r="U193" s="91"/>
      <c r="V193" s="91"/>
      <c r="W193" s="91"/>
      <c r="X193" s="91"/>
      <c r="Y193" s="91"/>
      <c r="Z193" s="91"/>
      <c r="AA193" s="91"/>
      <c r="AB193" s="91"/>
      <c r="AC193" s="91"/>
      <c r="AD193" s="92"/>
    </row>
    <row r="194" ht="13.5" customHeight="1">
      <c r="A194" t="s" s="8">
        <v>4</v>
      </c>
      <c r="B194" t="s" s="9">
        <v>5</v>
      </c>
      <c r="C194" t="s" s="9">
        <v>6</v>
      </c>
      <c r="D194" t="s" s="9">
        <v>7</v>
      </c>
      <c r="E194" s="10"/>
      <c r="F194" t="s" s="9">
        <v>18</v>
      </c>
      <c r="G194" t="s" s="9">
        <v>8</v>
      </c>
      <c r="H194" t="s" s="9">
        <v>9</v>
      </c>
      <c r="I194" t="s" s="9">
        <v>10</v>
      </c>
      <c r="J194" t="s" s="9">
        <v>11</v>
      </c>
      <c r="K194" t="s" s="9">
        <v>1</v>
      </c>
      <c r="L194" t="s" s="9">
        <v>12</v>
      </c>
      <c r="M194" t="s" s="9">
        <v>13</v>
      </c>
      <c r="N194" t="s" s="9">
        <v>14</v>
      </c>
      <c r="O194" t="s" s="9">
        <v>15</v>
      </c>
      <c r="P194" t="s" s="9">
        <v>16</v>
      </c>
      <c r="Q194" t="s" s="9">
        <v>17</v>
      </c>
      <c r="R194" t="s" s="9">
        <v>18</v>
      </c>
      <c r="S194" t="s" s="9">
        <v>8</v>
      </c>
      <c r="T194" t="s" s="9">
        <v>9</v>
      </c>
      <c r="U194" t="s" s="9">
        <v>10</v>
      </c>
      <c r="V194" t="s" s="9">
        <v>11</v>
      </c>
      <c r="W194" t="s" s="9">
        <v>1</v>
      </c>
      <c r="X194" t="s" s="9">
        <v>12</v>
      </c>
      <c r="Y194" t="s" s="9">
        <v>13</v>
      </c>
      <c r="Z194" t="s" s="9">
        <v>14</v>
      </c>
      <c r="AA194" t="s" s="9">
        <v>15</v>
      </c>
      <c r="AB194" t="s" s="9">
        <v>16</v>
      </c>
      <c r="AC194" t="s" s="9">
        <v>17</v>
      </c>
      <c r="AD194" t="s" s="11">
        <v>18</v>
      </c>
    </row>
    <row r="195" ht="12.7" customHeight="1">
      <c r="A195" t="s" s="12">
        <v>403</v>
      </c>
      <c r="B195" s="13">
        <v>500012</v>
      </c>
      <c r="C195" t="s" s="14">
        <v>404</v>
      </c>
      <c r="D195" t="s" s="15">
        <v>21</v>
      </c>
      <c r="E195" t="s" s="15">
        <f>A195&amp;D195</f>
        <v>405</v>
      </c>
      <c r="F195" s="93"/>
      <c r="G195" s="83"/>
      <c r="H195" s="97"/>
      <c r="I195" s="94"/>
      <c r="J195" s="17">
        <v>0</v>
      </c>
      <c r="K195" s="17">
        <v>0</v>
      </c>
      <c r="L195" s="17">
        <v>0</v>
      </c>
      <c r="M195" s="17">
        <v>0</v>
      </c>
      <c r="N195" s="17">
        <v>463.9999999999999</v>
      </c>
      <c r="O195" s="17">
        <v>1258.136</v>
      </c>
      <c r="P195" s="17">
        <v>773.256</v>
      </c>
      <c r="Q195" s="17">
        <v>2432.52</v>
      </c>
      <c r="R195" s="17">
        <v>3408.9</v>
      </c>
      <c r="S195" s="17">
        <f>G196+H196</f>
        <v>301</v>
      </c>
      <c r="T195" s="17"/>
      <c r="U195" s="17"/>
      <c r="V195" s="17"/>
      <c r="W195" s="17"/>
      <c r="X195" s="17"/>
      <c r="Y195" s="17"/>
      <c r="Z195" s="17"/>
      <c r="AA195" s="17"/>
      <c r="AB195" s="17"/>
      <c r="AC195" s="17"/>
      <c r="AD195" s="17"/>
    </row>
    <row r="196" ht="12.7" customHeight="1">
      <c r="A196" t="s" s="18">
        <v>403</v>
      </c>
      <c r="B196" s="19">
        <v>500012</v>
      </c>
      <c r="C196" t="s" s="20">
        <v>404</v>
      </c>
      <c r="D196" t="s" s="21">
        <v>23</v>
      </c>
      <c r="E196" t="s" s="21">
        <f>A196&amp;D196</f>
        <v>406</v>
      </c>
      <c r="F196" s="22">
        <v>3099</v>
      </c>
      <c r="G196" s="22">
        <v>301</v>
      </c>
      <c r="H196" s="60"/>
      <c r="I196" s="62"/>
      <c r="J196" s="86">
        <f>INDEX('Sales Actual'!$H$5:$H$66,MATCH($A196,'Sales Actual'!$G$5:$G$66,0))</f>
        <v>0</v>
      </c>
      <c r="K196" s="86">
        <f>INDEX('Sales Actual'!$J$5:$J$66,MATCH($A196,'Sales Actual'!$I$5:$I$66,0))</f>
        <v>0</v>
      </c>
      <c r="L196" s="86">
        <f>INDEX('Sales Actual'!$L$5:$L$66,MATCH($A196,'Sales Actual'!$K$5:$K$66,0))</f>
        <v>0</v>
      </c>
      <c r="M196" s="86">
        <f>INDEX('Sales Actual'!$N$4:$N$65,MATCH($A196,'Sales Actual'!$M$4:$M$65,0))</f>
        <v>0</v>
      </c>
      <c r="N196" s="86">
        <f>INDEX('Sales Actual'!$P$4:$P$64,MATCH($A196,'Sales Actual'!$O$4:$O$65,0))</f>
        <v>0</v>
      </c>
      <c r="O196" s="86">
        <f>INDEX('Sales Actual'!$R$4:$R$65,MATCH($A196,'Sales Actual'!$Q$4:$Q$65,0))</f>
        <v>0</v>
      </c>
      <c r="P196" s="86">
        <f>INDEX('Sales Actual'!$T$4:$T$66,MATCH($A196,'Sales Actual'!$S$4:$S$66,0))</f>
        <v>0</v>
      </c>
      <c r="Q196" s="86">
        <f>INDEX('Sales Actual'!$V$4:$V$65,MATCH($A196,'Sales Actual'!$U$4:$U$65,0))</f>
        <v>0</v>
      </c>
      <c r="R196" s="86">
        <f>INDEX('Sales Actual'!$X$4:$X$65,MATCH($A196,'Sales Actual'!$W$4:$W$65,0))</f>
        <v>0</v>
      </c>
      <c r="S196" s="22"/>
      <c r="T196" s="22"/>
      <c r="U196" s="22"/>
      <c r="V196" s="22"/>
      <c r="W196" s="22"/>
      <c r="X196" s="22"/>
      <c r="Y196" s="22"/>
      <c r="Z196" s="22"/>
      <c r="AA196" s="22"/>
      <c r="AB196" s="22"/>
      <c r="AC196" s="22"/>
      <c r="AD196" s="22"/>
    </row>
    <row r="197" ht="12.7" customHeight="1">
      <c r="A197" t="s" s="18">
        <v>403</v>
      </c>
      <c r="B197" s="19">
        <v>500012</v>
      </c>
      <c r="C197" t="s" s="20">
        <v>404</v>
      </c>
      <c r="D197" t="s" s="21">
        <v>25</v>
      </c>
      <c r="E197" t="s" s="21">
        <f>A197&amp;D197</f>
        <v>407</v>
      </c>
      <c r="F197" s="57"/>
      <c r="G197" s="58"/>
      <c r="H197" s="61"/>
      <c r="I197" s="61"/>
      <c r="J197" s="58"/>
      <c r="K197" s="58"/>
      <c r="L197" s="58"/>
      <c r="M197" s="59"/>
      <c r="N197" s="22">
        <f>10*80</f>
        <v>800</v>
      </c>
      <c r="O197" s="22">
        <f t="shared" si="1068" ref="O197:Q197">10*170</f>
        <v>1700</v>
      </c>
      <c r="P197" s="22">
        <f>10*200</f>
        <v>2000</v>
      </c>
      <c r="Q197" s="22">
        <f t="shared" si="1068"/>
        <v>1700</v>
      </c>
      <c r="R197" s="22">
        <f t="shared" si="738"/>
        <v>2300</v>
      </c>
      <c r="S197" s="24">
        <v>0</v>
      </c>
      <c r="T197" s="24"/>
      <c r="U197" s="24"/>
      <c r="V197" s="24"/>
      <c r="W197" s="24"/>
      <c r="X197" s="24"/>
      <c r="Y197" s="24"/>
      <c r="Z197" s="24"/>
      <c r="AA197" s="24"/>
      <c r="AB197" s="24"/>
      <c r="AC197" s="24"/>
      <c r="AD197" s="24"/>
    </row>
    <row r="198" ht="12.7" customHeight="1">
      <c r="A198" t="s" s="18">
        <v>403</v>
      </c>
      <c r="B198" s="19">
        <v>500012</v>
      </c>
      <c r="C198" t="s" s="20">
        <v>404</v>
      </c>
      <c r="D198" t="s" s="21">
        <v>27</v>
      </c>
      <c r="E198" t="s" s="21">
        <f>A198&amp;D198</f>
        <v>408</v>
      </c>
      <c r="F198" s="60"/>
      <c r="G198" s="61"/>
      <c r="H198" s="61"/>
      <c r="I198" s="32"/>
      <c r="J198" s="32"/>
      <c r="K198" s="32"/>
      <c r="L198" s="32"/>
      <c r="M198" s="33"/>
      <c r="N198" s="22">
        <f>N197</f>
        <v>800</v>
      </c>
      <c r="O198" s="22">
        <f>O197</f>
        <v>1700</v>
      </c>
      <c r="P198" s="22">
        <f>P197</f>
        <v>2000</v>
      </c>
      <c r="Q198" s="22">
        <f>Q197</f>
        <v>1700</v>
      </c>
      <c r="R198" s="22">
        <f>R197</f>
        <v>2300</v>
      </c>
      <c r="S198" s="24"/>
      <c r="T198" s="24"/>
      <c r="U198" s="24"/>
      <c r="V198" s="24"/>
      <c r="W198" s="24"/>
      <c r="X198" s="24"/>
      <c r="Y198" s="24"/>
      <c r="Z198" s="24"/>
      <c r="AA198" s="24"/>
      <c r="AB198" s="24"/>
      <c r="AC198" s="24"/>
      <c r="AD198" s="24"/>
    </row>
    <row r="199" ht="12.7" customHeight="1">
      <c r="A199" t="s" s="18">
        <v>403</v>
      </c>
      <c r="B199" s="19">
        <v>500012</v>
      </c>
      <c r="C199" t="s" s="20">
        <v>404</v>
      </c>
      <c r="D199" t="s" s="21">
        <v>29</v>
      </c>
      <c r="E199" t="s" s="21">
        <f>A199&amp;D199</f>
        <v>409</v>
      </c>
      <c r="F199" s="60"/>
      <c r="G199" s="61"/>
      <c r="H199" s="62"/>
      <c r="I199" s="22">
        <f>H200+I198-(I195-I196)-I203</f>
        <v>0</v>
      </c>
      <c r="J199" s="22">
        <f>IF((I199+J198-(J195-J196)-J203)&lt;0,0,(I199+J198-(J195-J196)-J203))</f>
        <v>0</v>
      </c>
      <c r="K199" s="22">
        <f>IF((J199+K198-(K195-K196)-K203)&lt;0,0,(J199+K198-(K195-K196)-K203))</f>
        <v>0</v>
      </c>
      <c r="L199" s="22">
        <f>IF((K199+L198-(L195-L196)-L203)&lt;0,0,(K199+L198-(L195-L196)-L203))</f>
        <v>0</v>
      </c>
      <c r="M199" s="22">
        <f>IF((L199+M198-(M195-M196)-M203)&lt;0,0,(L199+M198-(M195-M196)-M203))</f>
        <v>0</v>
      </c>
      <c r="N199" s="22">
        <f>IF((M199+N198-(N195-N196)-N203)&lt;0,0,(M199+N198-(N195-N196)-N203))</f>
        <v>336.0000000000001</v>
      </c>
      <c r="O199" s="22">
        <f>IF((N199+O198-(O195-O196)-O203)&lt;0,0,(N199+O198-(O195-O196)-O203))</f>
        <v>777.864</v>
      </c>
      <c r="P199" s="22">
        <f>IF((O199+P198-(P195-P196)-P203)&lt;0,0,(O199+P198-(P195-P196)-P203))</f>
        <v>2004.608</v>
      </c>
      <c r="Q199" s="22">
        <f>IF((P199+Q198-(Q195-Q196)-Q203)&lt;0,0,(P199+Q198-(Q195-Q196)-Q203))</f>
        <v>1272.088</v>
      </c>
      <c r="R199" s="22">
        <f>IF((Q199+R198-(R195-R196)-R203)&lt;0,0,(Q199+R198-(R195-R196)-R203))</f>
        <v>163.1880000000001</v>
      </c>
      <c r="S199" s="22"/>
      <c r="T199" s="22"/>
      <c r="U199" s="22"/>
      <c r="V199" s="22"/>
      <c r="W199" s="22"/>
      <c r="X199" s="22"/>
      <c r="Y199" s="22"/>
      <c r="Z199" s="22"/>
      <c r="AA199" s="22"/>
      <c r="AB199" s="22"/>
      <c r="AC199" s="22"/>
      <c r="AD199" s="22"/>
    </row>
    <row r="200" ht="12.7" customHeight="1">
      <c r="A200" t="s" s="18">
        <v>403</v>
      </c>
      <c r="B200" s="19">
        <v>500012</v>
      </c>
      <c r="C200" t="s" s="20">
        <v>404</v>
      </c>
      <c r="D200" t="s" s="21">
        <v>31</v>
      </c>
      <c r="E200" t="s" s="21">
        <f>A200&amp;D200</f>
        <v>410</v>
      </c>
      <c r="F200" s="31"/>
      <c r="G200" s="87"/>
      <c r="H200" s="33"/>
      <c r="I200" s="22">
        <v>0</v>
      </c>
      <c r="J200" s="48"/>
      <c r="K200" s="48"/>
      <c r="L200" s="48"/>
      <c r="M200" s="48"/>
      <c r="N200" s="48"/>
      <c r="O200" s="48"/>
      <c r="P200" s="48"/>
      <c r="Q200" s="48"/>
      <c r="R200" s="48"/>
      <c r="S200" s="22"/>
      <c r="T200" s="22"/>
      <c r="U200" s="22"/>
      <c r="V200" s="22"/>
      <c r="W200" s="22"/>
      <c r="X200" s="22"/>
      <c r="Y200" s="22"/>
      <c r="Z200" s="22"/>
      <c r="AA200" s="22"/>
      <c r="AB200" s="22"/>
      <c r="AC200" s="22"/>
      <c r="AD200" s="22"/>
    </row>
    <row r="201" ht="12.7" customHeight="1">
      <c r="A201" t="s" s="18">
        <v>403</v>
      </c>
      <c r="B201" s="19">
        <v>500012</v>
      </c>
      <c r="C201" t="s" s="20">
        <v>404</v>
      </c>
      <c r="D201" t="s" s="21">
        <v>33</v>
      </c>
      <c r="E201" t="s" s="21">
        <f>A201&amp;D201</f>
        <v>411</v>
      </c>
      <c r="F201" s="22">
        <v>0</v>
      </c>
      <c r="G201" s="22">
        <v>0</v>
      </c>
      <c r="H201" s="22">
        <v>0</v>
      </c>
      <c r="I201" s="22">
        <v>0</v>
      </c>
      <c r="J201" s="22">
        <f>IF((I199+J198-(J195-J196)-J203)&gt;0,0,(I199+J198-(J195-J196)-J203))</f>
        <v>0</v>
      </c>
      <c r="K201" s="22">
        <f>IF((J199+K198-(K195-K196)-K203)&gt;0,0,(J199+K198-(K195-K196)-K203))</f>
        <v>0</v>
      </c>
      <c r="L201" s="22">
        <f>IF((K199+L198-(L195-L196)-L203)&gt;0,0,(K199+L198-(L195-L196)-L203))</f>
        <v>0</v>
      </c>
      <c r="M201" s="22">
        <f>IF((L199+M198-(M195-M196)-M203)&gt;0,0,(L199+M198-(M195-M196)-M203))</f>
        <v>0</v>
      </c>
      <c r="N201" s="22">
        <f>IF((M199+N198-(N195-N196)-N203)&gt;0,0,(M199+N198-(N195-N196)-N203))</f>
        <v>0</v>
      </c>
      <c r="O201" s="22">
        <f>IF((N199+O198-(O195-O196)-O203)&gt;0,0,(N199+O198-(O195-O196)-O203))</f>
        <v>0</v>
      </c>
      <c r="P201" s="22">
        <f>IF((O199+P198-(P195-P196)-P203)&gt;0,0,(O199+P198-(P195-P196)-P203))</f>
        <v>0</v>
      </c>
      <c r="Q201" s="22">
        <f>IF((P199+Q198-(Q195-Q196)-Q203)&gt;0,0,(P199+Q198-(Q195-Q196)-Q203))</f>
        <v>0</v>
      </c>
      <c r="R201" s="22">
        <f>IF((Q199+R198-(R195-R196)-R203)&gt;0,0,(Q199+R198-(R195-R196)-R203))</f>
        <v>0</v>
      </c>
      <c r="S201" s="24">
        <f>IF((R199+S198-(S195-S196)-S203)&gt;0,0,(R199+S198-(S195-S196)-S203))</f>
        <v>-137.8119999999999</v>
      </c>
      <c r="T201" s="24"/>
      <c r="U201" s="24"/>
      <c r="V201" s="24"/>
      <c r="W201" s="24"/>
      <c r="X201" s="24"/>
      <c r="Y201" s="24"/>
      <c r="Z201" s="24"/>
      <c r="AA201" s="24"/>
      <c r="AB201" s="24"/>
      <c r="AC201" s="24"/>
      <c r="AD201" s="24"/>
    </row>
    <row r="202" ht="12.7" customHeight="1">
      <c r="A202" t="s" s="18">
        <v>403</v>
      </c>
      <c r="B202" s="19">
        <v>500012</v>
      </c>
      <c r="C202" t="s" s="20">
        <v>404</v>
      </c>
      <c r="D202" t="s" s="21">
        <v>35</v>
      </c>
      <c r="E202" t="s" s="21">
        <f>A202&amp;D202</f>
        <v>412</v>
      </c>
      <c r="F202" s="46"/>
      <c r="G202" s="49"/>
      <c r="H202" s="47"/>
      <c r="I202" s="22">
        <v>0</v>
      </c>
      <c r="J202" s="22">
        <v>0</v>
      </c>
      <c r="K202" s="22">
        <v>0</v>
      </c>
      <c r="L202" s="22">
        <v>0</v>
      </c>
      <c r="M202" s="22">
        <v>0</v>
      </c>
      <c r="N202" s="46"/>
      <c r="O202" s="58"/>
      <c r="P202" s="58"/>
      <c r="Q202" s="58"/>
      <c r="R202" s="59"/>
      <c r="S202" s="24"/>
      <c r="T202" s="24"/>
      <c r="U202" s="24"/>
      <c r="V202" s="24"/>
      <c r="W202" s="24"/>
      <c r="X202" s="24"/>
      <c r="Y202" s="24"/>
      <c r="Z202" s="24"/>
      <c r="AA202" s="24"/>
      <c r="AB202" s="24"/>
      <c r="AC202" s="24"/>
      <c r="AD202" s="24"/>
    </row>
    <row r="203" ht="12.7" customHeight="1">
      <c r="A203" t="s" s="18">
        <v>403</v>
      </c>
      <c r="B203" s="19">
        <v>500012</v>
      </c>
      <c r="C203" t="s" s="20">
        <v>404</v>
      </c>
      <c r="D203" t="s" s="21">
        <v>37</v>
      </c>
      <c r="E203" t="s" s="21">
        <f>A203&amp;D203</f>
        <v>413</v>
      </c>
      <c r="F203" s="22">
        <v>0</v>
      </c>
      <c r="G203" s="22">
        <v>0</v>
      </c>
      <c r="H203" s="30">
        <v>0</v>
      </c>
      <c r="I203" s="22">
        <f>IF(I202&gt;0,IF(I202-(I195-I196)&gt;0,(I202-(I195-I196)),0),0)</f>
        <v>0</v>
      </c>
      <c r="J203" s="22">
        <f>IF(J202&gt;0,IF(J202-(J195-J196)&gt;0,(J202-(J195-J196)),0),0)</f>
        <v>0</v>
      </c>
      <c r="K203" s="22">
        <f>IF(K202&gt;0,IF(K202-(K195-K196)&gt;0,(K202-(K195-K196)),0),0)</f>
        <v>0</v>
      </c>
      <c r="L203" s="22">
        <f>IF(L202&gt;0,IF(L202-(L195-L196)&gt;0,(L202-(L195-L196)),0),0)</f>
        <v>0</v>
      </c>
      <c r="M203" s="22">
        <v>0</v>
      </c>
      <c r="N203" s="22">
        <v>0</v>
      </c>
      <c r="O203" s="31"/>
      <c r="P203" s="32"/>
      <c r="Q203" s="32"/>
      <c r="R203" s="33"/>
      <c r="S203" s="24"/>
      <c r="T203" s="24"/>
      <c r="U203" s="24"/>
      <c r="V203" s="24"/>
      <c r="W203" s="24"/>
      <c r="X203" s="24"/>
      <c r="Y203" s="24"/>
      <c r="Z203" s="24"/>
      <c r="AA203" s="24"/>
      <c r="AB203" s="24"/>
      <c r="AC203" s="24"/>
      <c r="AD203" s="24"/>
    </row>
    <row r="204" ht="12.7" customHeight="1">
      <c r="A204" t="s" s="34">
        <v>403</v>
      </c>
      <c r="B204" s="35">
        <v>500012</v>
      </c>
      <c r="C204" t="s" s="36">
        <v>404</v>
      </c>
      <c r="D204" t="s" s="37">
        <v>39</v>
      </c>
      <c r="E204" t="s" s="37">
        <f>A204&amp;D204</f>
        <v>414</v>
      </c>
      <c r="F204" s="38">
        <f>IFERROR(F200/AVERAGE(G195:H195)*30,0)</f>
        <v>0</v>
      </c>
      <c r="G204" s="38">
        <f>IFERROR(G200/AVERAGE(H195:I195)*30,0)</f>
        <v>0</v>
      </c>
      <c r="H204" s="38">
        <f>IFERROR(H199/AVERAGE(I195:J195)*30,0)</f>
        <v>0</v>
      </c>
      <c r="I204" s="38">
        <f>IFERROR(I199/AVERAGE(J195:K195)*30,0)</f>
        <v>0</v>
      </c>
      <c r="J204" s="38">
        <f>IFERROR(J199/AVERAGE(K195:L195)*30,0)</f>
        <v>0</v>
      </c>
      <c r="K204" s="38">
        <f>IFERROR(K199/AVERAGE(L195:M195)*30,0)</f>
        <v>0</v>
      </c>
      <c r="L204" s="38">
        <f>IFERROR(L199/AVERAGE(M195:N195)*30,0)</f>
        <v>0</v>
      </c>
      <c r="M204" s="38">
        <f>IFERROR(M199/AVERAGE(N195:O195)*30,0)</f>
        <v>0</v>
      </c>
      <c r="N204" s="38">
        <f>IFERROR(N199/AVERAGE(O195:P195)*30,0)</f>
        <v>9.924229296955</v>
      </c>
      <c r="O204" s="38">
        <f>IFERROR(O199/AVERAGE(P195:Q195)*30,0)</f>
        <v>14.55867159776603</v>
      </c>
      <c r="P204" s="38">
        <f>IFERROR(P199/AVERAGE(Q195:R195)*30,0)</f>
        <v>20.59028113027312</v>
      </c>
      <c r="Q204" s="38">
        <f>IFERROR(Q199/AVERAGE(R195:S195)*30,0)</f>
        <v>20.5734062912747</v>
      </c>
      <c r="R204" s="38">
        <f>IFERROR(R199/AVERAGE(S195:T195)*30,0)</f>
        <v>16.26458471760798</v>
      </c>
      <c r="S204" s="38">
        <f>IFERROR(S199/AVERAGE(T195:U195)*30,0)</f>
        <v>0</v>
      </c>
      <c r="T204" s="38"/>
      <c r="U204" s="38"/>
      <c r="V204" s="38"/>
      <c r="W204" s="38"/>
      <c r="X204" s="38"/>
      <c r="Y204" s="38"/>
      <c r="Z204" s="38"/>
      <c r="AA204" s="38"/>
      <c r="AB204" s="38"/>
      <c r="AC204" s="38"/>
      <c r="AD204" s="38"/>
    </row>
    <row r="205" ht="12" customHeight="1">
      <c r="A205" s="39"/>
      <c r="B205" s="40"/>
      <c r="C205" s="40"/>
      <c r="D205" s="40"/>
      <c r="E205" s="40"/>
      <c r="F205" s="40"/>
      <c r="G205" t="s" s="90">
        <v>2</v>
      </c>
      <c r="H205" s="91"/>
      <c r="I205" s="91"/>
      <c r="J205" s="91"/>
      <c r="K205" s="91"/>
      <c r="L205" s="91"/>
      <c r="M205" s="91"/>
      <c r="N205" s="91"/>
      <c r="O205" s="91"/>
      <c r="P205" s="91"/>
      <c r="Q205" s="91"/>
      <c r="R205" s="91"/>
      <c r="S205" t="s" s="90">
        <v>3</v>
      </c>
      <c r="T205" s="91"/>
      <c r="U205" s="91"/>
      <c r="V205" s="91"/>
      <c r="W205" s="91"/>
      <c r="X205" s="91"/>
      <c r="Y205" s="91"/>
      <c r="Z205" s="91"/>
      <c r="AA205" s="91"/>
      <c r="AB205" s="91"/>
      <c r="AC205" s="91"/>
      <c r="AD205" s="92"/>
    </row>
    <row r="206" ht="13.5" customHeight="1">
      <c r="A206" t="s" s="8">
        <v>4</v>
      </c>
      <c r="B206" t="s" s="9">
        <v>5</v>
      </c>
      <c r="C206" t="s" s="9">
        <v>6</v>
      </c>
      <c r="D206" t="s" s="9">
        <v>7</v>
      </c>
      <c r="E206" s="10"/>
      <c r="F206" t="s" s="9">
        <v>18</v>
      </c>
      <c r="G206" t="s" s="9">
        <v>8</v>
      </c>
      <c r="H206" t="s" s="9">
        <v>9</v>
      </c>
      <c r="I206" t="s" s="9">
        <v>10</v>
      </c>
      <c r="J206" t="s" s="9">
        <v>11</v>
      </c>
      <c r="K206" t="s" s="9">
        <v>1</v>
      </c>
      <c r="L206" t="s" s="9">
        <v>12</v>
      </c>
      <c r="M206" t="s" s="9">
        <v>13</v>
      </c>
      <c r="N206" t="s" s="9">
        <v>14</v>
      </c>
      <c r="O206" t="s" s="9">
        <v>15</v>
      </c>
      <c r="P206" t="s" s="9">
        <v>16</v>
      </c>
      <c r="Q206" t="s" s="9">
        <v>17</v>
      </c>
      <c r="R206" t="s" s="9">
        <v>18</v>
      </c>
      <c r="S206" t="s" s="9">
        <v>8</v>
      </c>
      <c r="T206" t="s" s="9">
        <v>9</v>
      </c>
      <c r="U206" t="s" s="9">
        <v>10</v>
      </c>
      <c r="V206" t="s" s="9">
        <v>11</v>
      </c>
      <c r="W206" t="s" s="9">
        <v>1</v>
      </c>
      <c r="X206" t="s" s="9">
        <v>12</v>
      </c>
      <c r="Y206" t="s" s="9">
        <v>13</v>
      </c>
      <c r="Z206" t="s" s="9">
        <v>14</v>
      </c>
      <c r="AA206" t="s" s="9">
        <v>15</v>
      </c>
      <c r="AB206" t="s" s="9">
        <v>16</v>
      </c>
      <c r="AC206" t="s" s="9">
        <v>17</v>
      </c>
      <c r="AD206" t="s" s="11">
        <v>18</v>
      </c>
    </row>
    <row r="207" ht="12.7" customHeight="1">
      <c r="A207" t="s" s="12">
        <v>415</v>
      </c>
      <c r="B207" s="13">
        <v>500014</v>
      </c>
      <c r="C207" t="s" s="14">
        <v>416</v>
      </c>
      <c r="D207" t="s" s="15">
        <v>21</v>
      </c>
      <c r="E207" t="s" s="15">
        <f>A207&amp;D207</f>
        <v>417</v>
      </c>
      <c r="F207" s="93"/>
      <c r="G207" s="83"/>
      <c r="H207" s="84"/>
      <c r="I207" s="85"/>
      <c r="J207" s="17">
        <v>0</v>
      </c>
      <c r="K207" s="17">
        <v>0</v>
      </c>
      <c r="L207" s="17">
        <v>0</v>
      </c>
      <c r="M207" s="17">
        <v>0</v>
      </c>
      <c r="N207" s="17">
        <v>1044</v>
      </c>
      <c r="O207" s="17">
        <v>2772.864</v>
      </c>
      <c r="P207" s="17">
        <v>475.6</v>
      </c>
      <c r="Q207" s="17">
        <v>3916.16</v>
      </c>
      <c r="R207" s="17">
        <v>4018.24</v>
      </c>
      <c r="S207" s="17">
        <v>1886</v>
      </c>
      <c r="T207" s="17"/>
      <c r="U207" s="17"/>
      <c r="V207" s="17"/>
      <c r="W207" s="17"/>
      <c r="X207" s="17"/>
      <c r="Y207" s="17"/>
      <c r="Z207" s="17"/>
      <c r="AA207" s="17"/>
      <c r="AB207" s="17"/>
      <c r="AC207" s="17"/>
      <c r="AD207" s="17"/>
    </row>
    <row r="208" ht="12.7" customHeight="1">
      <c r="A208" t="s" s="18">
        <v>415</v>
      </c>
      <c r="B208" s="19">
        <v>500014</v>
      </c>
      <c r="C208" t="s" s="20">
        <v>416</v>
      </c>
      <c r="D208" t="s" s="21">
        <v>23</v>
      </c>
      <c r="E208" t="s" s="21">
        <f>A208&amp;D208</f>
        <v>418</v>
      </c>
      <c r="F208" s="22">
        <v>3464</v>
      </c>
      <c r="G208" s="22">
        <v>1886</v>
      </c>
      <c r="H208" s="22">
        <v>76</v>
      </c>
      <c r="I208" s="22">
        <v>77</v>
      </c>
      <c r="J208" s="86">
        <f>INDEX('Sales Actual'!$H$5:$H$66,MATCH($A208,'Sales Actual'!$G$5:$G$66,0))</f>
        <v>0</v>
      </c>
      <c r="K208" s="86">
        <f>INDEX('Sales Actual'!$J$5:$J$66,MATCH($A208,'Sales Actual'!$I$5:$I$66,0))</f>
        <v>0</v>
      </c>
      <c r="L208" s="86">
        <f>INDEX('Sales Actual'!$L$5:$L$66,MATCH($A208,'Sales Actual'!$K$5:$K$66,0))</f>
        <v>0</v>
      </c>
      <c r="M208" s="86">
        <f>INDEX('Sales Actual'!$N$4:$N$65,MATCH($A208,'Sales Actual'!$M$4:$M$65,0))</f>
        <v>0</v>
      </c>
      <c r="N208" s="86">
        <f>INDEX('Sales Actual'!$P$4:$P$64,MATCH($A208,'Sales Actual'!$O$4:$O$65,0))</f>
        <v>0</v>
      </c>
      <c r="O208" s="86">
        <f>INDEX('Sales Actual'!$R$4:$R$65,MATCH($A208,'Sales Actual'!$Q$4:$Q$65,0))</f>
        <v>0</v>
      </c>
      <c r="P208" s="86">
        <f>INDEX('Sales Actual'!$T$4:$T$66,MATCH($A208,'Sales Actual'!$S$4:$S$66,0))</f>
        <v>0</v>
      </c>
      <c r="Q208" s="86">
        <f>INDEX('Sales Actual'!$V$4:$V$65,MATCH($A208,'Sales Actual'!$U$4:$U$65,0))</f>
        <v>0</v>
      </c>
      <c r="R208" s="86">
        <f>INDEX('Sales Actual'!$X$4:$X$65,MATCH($A208,'Sales Actual'!$W$4:$W$65,0))</f>
        <v>0</v>
      </c>
      <c r="S208" s="22"/>
      <c r="T208" s="22"/>
      <c r="U208" s="22"/>
      <c r="V208" s="22"/>
      <c r="W208" s="22"/>
      <c r="X208" s="22"/>
      <c r="Y208" s="22"/>
      <c r="Z208" s="22"/>
      <c r="AA208" s="22"/>
      <c r="AB208" s="22"/>
      <c r="AC208" s="22"/>
      <c r="AD208" s="22"/>
    </row>
    <row r="209" ht="12.7" customHeight="1">
      <c r="A209" t="s" s="18">
        <v>415</v>
      </c>
      <c r="B209" s="19">
        <v>500014</v>
      </c>
      <c r="C209" t="s" s="20">
        <v>416</v>
      </c>
      <c r="D209" t="s" s="21">
        <v>25</v>
      </c>
      <c r="E209" t="s" s="21">
        <f>A209&amp;D209</f>
        <v>419</v>
      </c>
      <c r="F209" s="57"/>
      <c r="G209" s="58"/>
      <c r="H209" s="58"/>
      <c r="I209" s="58"/>
      <c r="J209" s="58"/>
      <c r="K209" s="58"/>
      <c r="L209" s="58"/>
      <c r="M209" s="59"/>
      <c r="N209" s="22">
        <f>12*150</f>
        <v>1800</v>
      </c>
      <c r="O209" s="22">
        <f>12*240</f>
        <v>2880</v>
      </c>
      <c r="P209" s="22">
        <f>12*100</f>
        <v>1200</v>
      </c>
      <c r="Q209" s="22">
        <f>12*360</f>
        <v>4320</v>
      </c>
      <c r="R209" s="22">
        <f>12*250</f>
        <v>3000</v>
      </c>
      <c r="S209" s="24">
        <v>0</v>
      </c>
      <c r="T209" s="24"/>
      <c r="U209" s="24"/>
      <c r="V209" s="24"/>
      <c r="W209" s="24"/>
      <c r="X209" s="24"/>
      <c r="Y209" s="24"/>
      <c r="Z209" s="24"/>
      <c r="AA209" s="24"/>
      <c r="AB209" s="24"/>
      <c r="AC209" s="24"/>
      <c r="AD209" s="24"/>
    </row>
    <row r="210" ht="12.7" customHeight="1">
      <c r="A210" t="s" s="18">
        <v>415</v>
      </c>
      <c r="B210" s="19">
        <v>500014</v>
      </c>
      <c r="C210" t="s" s="20">
        <v>416</v>
      </c>
      <c r="D210" t="s" s="21">
        <v>27</v>
      </c>
      <c r="E210" t="s" s="21">
        <f>A210&amp;D210</f>
        <v>420</v>
      </c>
      <c r="F210" s="60"/>
      <c r="G210" s="61"/>
      <c r="H210" s="61"/>
      <c r="I210" s="32"/>
      <c r="J210" s="32"/>
      <c r="K210" s="32"/>
      <c r="L210" s="32"/>
      <c r="M210" s="33"/>
      <c r="N210" s="22">
        <f>N209</f>
        <v>1800</v>
      </c>
      <c r="O210" s="22">
        <f>O209</f>
        <v>2880</v>
      </c>
      <c r="P210" s="22">
        <f>P209</f>
        <v>1200</v>
      </c>
      <c r="Q210" s="22">
        <f>Q209</f>
        <v>4320</v>
      </c>
      <c r="R210" s="22">
        <f>R209</f>
        <v>3000</v>
      </c>
      <c r="S210" s="24"/>
      <c r="T210" s="24"/>
      <c r="U210" s="24"/>
      <c r="V210" s="24"/>
      <c r="W210" s="24"/>
      <c r="X210" s="24"/>
      <c r="Y210" s="24"/>
      <c r="Z210" s="24"/>
      <c r="AA210" s="24"/>
      <c r="AB210" s="24"/>
      <c r="AC210" s="24"/>
      <c r="AD210" s="24"/>
    </row>
    <row r="211" ht="12.7" customHeight="1">
      <c r="A211" t="s" s="18">
        <v>415</v>
      </c>
      <c r="B211" s="19">
        <v>500014</v>
      </c>
      <c r="C211" t="s" s="20">
        <v>416</v>
      </c>
      <c r="D211" t="s" s="21">
        <v>29</v>
      </c>
      <c r="E211" t="s" s="21">
        <f>A211&amp;D211</f>
        <v>421</v>
      </c>
      <c r="F211" s="60"/>
      <c r="G211" s="61"/>
      <c r="H211" s="62"/>
      <c r="I211" s="22">
        <f>H212+I210-(I207-I208)-I215</f>
        <v>77</v>
      </c>
      <c r="J211" s="22">
        <f>IF((I211+J210-(J207-J208)-J215)&lt;0,0,(I211+J210-(J207-J208)-J215))</f>
        <v>77</v>
      </c>
      <c r="K211" s="22">
        <f>IF((J211+K210-(K207-K208)-K215)&lt;0,0,(J211+K210-(K207-K208)-K215))</f>
        <v>77</v>
      </c>
      <c r="L211" s="22">
        <f>IF((K211+L210-(L207-L208)-L215)&lt;0,0,(K211+L210-(L207-L208)-L215))</f>
        <v>77</v>
      </c>
      <c r="M211" s="22">
        <f>IF((L211+M210-(M207-M208)-M215)&lt;0,0,(L211+M210-(M207-M208)-M215))</f>
        <v>77</v>
      </c>
      <c r="N211" s="22">
        <f>IF((M211+N210-(N207-N208)-N215)&lt;0,0,(M211+N210-(N207-N208)-N215))</f>
        <v>833</v>
      </c>
      <c r="O211" s="22">
        <f>IF((N211+O210-(O207-O208)-O215)&lt;0,0,(N211+O210-(O207-O208)-O215))</f>
        <v>940.136</v>
      </c>
      <c r="P211" s="22">
        <f>IF((O211+P210-(P207-P208)-P215)&lt;0,0,(O211+P210-(P207-P208)-P215))</f>
        <v>1664.536</v>
      </c>
      <c r="Q211" s="22">
        <f>IF((P211+Q210-(Q207-Q208)-Q215)&lt;0,0,(P211+Q210-(Q207-Q208)-Q215))</f>
        <v>2068.376</v>
      </c>
      <c r="R211" s="22">
        <f>IF((Q211+R210-(R207-R208)-R215)&lt;0,0,(Q211+R210-(R207-R208)-R215))</f>
        <v>1050.136</v>
      </c>
      <c r="S211" s="22"/>
      <c r="T211" s="22"/>
      <c r="U211" s="22"/>
      <c r="V211" s="22"/>
      <c r="W211" s="22"/>
      <c r="X211" s="22"/>
      <c r="Y211" s="22"/>
      <c r="Z211" s="22"/>
      <c r="AA211" s="22"/>
      <c r="AB211" s="22"/>
      <c r="AC211" s="22"/>
      <c r="AD211" s="22"/>
    </row>
    <row r="212" ht="12.7" customHeight="1">
      <c r="A212" t="s" s="18">
        <v>415</v>
      </c>
      <c r="B212" s="19">
        <v>500014</v>
      </c>
      <c r="C212" t="s" s="20">
        <v>416</v>
      </c>
      <c r="D212" t="s" s="21">
        <v>31</v>
      </c>
      <c r="E212" t="s" s="21">
        <f>A212&amp;D212</f>
        <v>422</v>
      </c>
      <c r="F212" s="31"/>
      <c r="G212" s="87"/>
      <c r="H212" s="33"/>
      <c r="I212" s="22">
        <v>0</v>
      </c>
      <c r="J212" s="48"/>
      <c r="K212" s="48"/>
      <c r="L212" s="48"/>
      <c r="M212" s="48"/>
      <c r="N212" s="48"/>
      <c r="O212" s="48"/>
      <c r="P212" s="48"/>
      <c r="Q212" s="48"/>
      <c r="R212" s="48"/>
      <c r="S212" s="22"/>
      <c r="T212" s="22"/>
      <c r="U212" s="22"/>
      <c r="V212" s="22"/>
      <c r="W212" s="22"/>
      <c r="X212" s="22"/>
      <c r="Y212" s="22"/>
      <c r="Z212" s="22"/>
      <c r="AA212" s="22"/>
      <c r="AB212" s="22"/>
      <c r="AC212" s="22"/>
      <c r="AD212" s="22"/>
    </row>
    <row r="213" ht="12.7" customHeight="1">
      <c r="A213" t="s" s="18">
        <v>415</v>
      </c>
      <c r="B213" s="19">
        <v>500014</v>
      </c>
      <c r="C213" t="s" s="20">
        <v>416</v>
      </c>
      <c r="D213" t="s" s="21">
        <v>33</v>
      </c>
      <c r="E213" t="s" s="21">
        <f>A213&amp;D213</f>
        <v>423</v>
      </c>
      <c r="F213" s="22">
        <v>0</v>
      </c>
      <c r="G213" s="22">
        <v>0</v>
      </c>
      <c r="H213" s="22">
        <v>0</v>
      </c>
      <c r="I213" s="22">
        <v>0</v>
      </c>
      <c r="J213" s="22">
        <f>IF((I211+J210-(J207-J208)-J215)&gt;0,0,(I211+J210-(J207-J208)-J215))</f>
        <v>0</v>
      </c>
      <c r="K213" s="22">
        <f>IF((J211+K210-(K207-K208)-K215)&gt;0,0,(J211+K210-(K207-K208)-K215))</f>
        <v>0</v>
      </c>
      <c r="L213" s="22">
        <f>IF((K211+L210-(L207-L208)-L215)&gt;0,0,(K211+L210-(L207-L208)-L215))</f>
        <v>0</v>
      </c>
      <c r="M213" s="22">
        <f>IF((L211+M210-(M207-M208)-M215)&gt;0,0,(L211+M210-(M207-M208)-M215))</f>
        <v>0</v>
      </c>
      <c r="N213" s="22">
        <f>IF((M211+N210-(N207-N208)-N215)&gt;0,0,(M211+N210-(N207-N208)-N215))</f>
        <v>0</v>
      </c>
      <c r="O213" s="22">
        <f>IF((N211+O210-(O207-O208)-O215)&gt;0,0,(N211+O210-(O207-O208)-O215))</f>
        <v>0</v>
      </c>
      <c r="P213" s="22">
        <f>IF((O211+P210-(P207-P208)-P215)&gt;0,0,(O211+P210-(P207-P208)-P215))</f>
        <v>0</v>
      </c>
      <c r="Q213" s="22">
        <f>IF((P211+Q210-(Q207-Q208)-Q215)&gt;0,0,(P211+Q210-(Q207-Q208)-Q215))</f>
        <v>0</v>
      </c>
      <c r="R213" s="22">
        <f>IF((Q211+R210-(R207-R208)-R215)&gt;0,0,(Q211+R210-(R207-R208)-R215))</f>
        <v>0</v>
      </c>
      <c r="S213" s="24">
        <f>IF((R211+S210-(S207-S208)-S215)&gt;0,0,(R211+S210-(S207-S208)-S215))</f>
        <v>-835.8639999999996</v>
      </c>
      <c r="T213" s="24"/>
      <c r="U213" s="24"/>
      <c r="V213" s="24"/>
      <c r="W213" s="24"/>
      <c r="X213" s="24"/>
      <c r="Y213" s="24"/>
      <c r="Z213" s="24"/>
      <c r="AA213" s="24"/>
      <c r="AB213" s="24"/>
      <c r="AC213" s="24"/>
      <c r="AD213" s="24"/>
    </row>
    <row r="214" ht="12.7" customHeight="1">
      <c r="A214" t="s" s="18">
        <v>415</v>
      </c>
      <c r="B214" s="19">
        <v>500014</v>
      </c>
      <c r="C214" t="s" s="20">
        <v>416</v>
      </c>
      <c r="D214" t="s" s="21">
        <v>35</v>
      </c>
      <c r="E214" t="s" s="21">
        <f>A214&amp;D214</f>
        <v>424</v>
      </c>
      <c r="F214" s="46"/>
      <c r="G214" s="49"/>
      <c r="H214" s="47"/>
      <c r="I214" s="22">
        <v>0</v>
      </c>
      <c r="J214" s="22">
        <v>0</v>
      </c>
      <c r="K214" s="22">
        <v>0</v>
      </c>
      <c r="L214" s="22">
        <v>0</v>
      </c>
      <c r="M214" s="22">
        <v>0</v>
      </c>
      <c r="N214" s="46"/>
      <c r="O214" s="58"/>
      <c r="P214" s="58"/>
      <c r="Q214" s="58"/>
      <c r="R214" s="59"/>
      <c r="S214" s="24"/>
      <c r="T214" s="24"/>
      <c r="U214" s="24"/>
      <c r="V214" s="24"/>
      <c r="W214" s="24"/>
      <c r="X214" s="24"/>
      <c r="Y214" s="24"/>
      <c r="Z214" s="24"/>
      <c r="AA214" s="24"/>
      <c r="AB214" s="24"/>
      <c r="AC214" s="24"/>
      <c r="AD214" s="24"/>
    </row>
    <row r="215" ht="12.7" customHeight="1">
      <c r="A215" t="s" s="18">
        <v>415</v>
      </c>
      <c r="B215" s="19">
        <v>500014</v>
      </c>
      <c r="C215" t="s" s="20">
        <v>416</v>
      </c>
      <c r="D215" t="s" s="21">
        <v>37</v>
      </c>
      <c r="E215" t="s" s="21">
        <f>A215&amp;D215</f>
        <v>425</v>
      </c>
      <c r="F215" s="22">
        <v>0</v>
      </c>
      <c r="G215" s="22">
        <v>0</v>
      </c>
      <c r="H215" s="30">
        <v>0</v>
      </c>
      <c r="I215" s="22">
        <f>IF(I214&gt;0,IF(I214-(I207-I208)&gt;0,(I214-(I207-I208)),0),0)</f>
        <v>0</v>
      </c>
      <c r="J215" s="22">
        <f>IF(J214&gt;0,IF(J214-(J207-J208)&gt;0,(J214-(J207-J208)),0),0)</f>
        <v>0</v>
      </c>
      <c r="K215" s="22">
        <f>IF(K214&gt;0,IF(K214-(K207-K208)&gt;0,(K214-(K207-K208)),0),0)</f>
        <v>0</v>
      </c>
      <c r="L215" s="22">
        <f>IF(L214&gt;0,IF(L214-(L207-L208)&gt;0,(L214-(L207-L208)),0),0)</f>
        <v>0</v>
      </c>
      <c r="M215" s="22">
        <v>0</v>
      </c>
      <c r="N215" s="22">
        <v>0</v>
      </c>
      <c r="O215" s="31"/>
      <c r="P215" s="32"/>
      <c r="Q215" s="32"/>
      <c r="R215" s="33"/>
      <c r="S215" s="24"/>
      <c r="T215" s="24"/>
      <c r="U215" s="24"/>
      <c r="V215" s="24"/>
      <c r="W215" s="24"/>
      <c r="X215" s="24"/>
      <c r="Y215" s="24"/>
      <c r="Z215" s="24"/>
      <c r="AA215" s="24"/>
      <c r="AB215" s="24"/>
      <c r="AC215" s="24"/>
      <c r="AD215" s="24"/>
    </row>
    <row r="216" ht="12.7" customHeight="1">
      <c r="A216" t="s" s="34">
        <v>415</v>
      </c>
      <c r="B216" s="35">
        <v>500014</v>
      </c>
      <c r="C216" t="s" s="36">
        <v>416</v>
      </c>
      <c r="D216" t="s" s="37">
        <v>39</v>
      </c>
      <c r="E216" t="s" s="37">
        <f>A216&amp;D216</f>
        <v>426</v>
      </c>
      <c r="F216" s="38">
        <f>IFERROR(F212/AVERAGE(G207:H207)*30,0)</f>
        <v>0</v>
      </c>
      <c r="G216" s="38">
        <f>IFERROR(G212/AVERAGE(H207:I207)*30,0)</f>
        <v>0</v>
      </c>
      <c r="H216" s="38">
        <f>IFERROR(H211/AVERAGE(I207:J207)*30,0)</f>
        <v>0</v>
      </c>
      <c r="I216" s="38">
        <f>IFERROR(I211/AVERAGE(J207:K207)*30,0)</f>
        <v>0</v>
      </c>
      <c r="J216" s="38">
        <f>IFERROR(J211/AVERAGE(K207:L207)*30,0)</f>
        <v>0</v>
      </c>
      <c r="K216" s="38">
        <f>IFERROR(K211/AVERAGE(L207:M207)*30,0)</f>
        <v>0</v>
      </c>
      <c r="L216" s="38">
        <f>IFERROR(L211/AVERAGE(M207:N207)*30,0)</f>
        <v>4.425287356321839</v>
      </c>
      <c r="M216" s="38">
        <f>IFERROR(M211/AVERAGE(N207:O207)*30,0)</f>
        <v>1.210417767046455</v>
      </c>
      <c r="N216" s="38">
        <f>IFERROR(N211/AVERAGE(O207:P207)*30,0)</f>
        <v>15.38573307261524</v>
      </c>
      <c r="O216" s="38">
        <f>IFERROR(O211/AVERAGE(P207:Q207)*30,0)</f>
        <v>12.84408984097491</v>
      </c>
      <c r="P216" s="38">
        <f>IFERROR(P211/AVERAGE(Q207:R207)*30,0)</f>
        <v>12.58723532970357</v>
      </c>
      <c r="Q216" s="38">
        <f>IFERROR(Q211/AVERAGE(R207:S207)*30,0)</f>
        <v>21.01922686069672</v>
      </c>
      <c r="R216" s="38">
        <f>IFERROR(R211/AVERAGE(S207:T207)*30,0)</f>
        <v>16.70417815482503</v>
      </c>
      <c r="S216" s="38">
        <f>IFERROR(S211/AVERAGE(T207:U207)*30,0)</f>
        <v>0</v>
      </c>
      <c r="T216" s="38"/>
      <c r="U216" s="38"/>
      <c r="V216" s="38"/>
      <c r="W216" s="38"/>
      <c r="X216" s="38"/>
      <c r="Y216" s="38"/>
      <c r="Z216" s="38"/>
      <c r="AA216" s="38"/>
      <c r="AB216" s="38"/>
      <c r="AC216" s="38"/>
      <c r="AD216" s="38"/>
    </row>
    <row r="217" ht="12" customHeight="1">
      <c r="A217" s="39"/>
      <c r="B217" s="40"/>
      <c r="C217" s="40"/>
      <c r="D217" s="40"/>
      <c r="E217" s="40"/>
      <c r="F217" s="40"/>
      <c r="G217" t="s" s="90">
        <v>2</v>
      </c>
      <c r="H217" s="91"/>
      <c r="I217" s="91"/>
      <c r="J217" s="91"/>
      <c r="K217" s="91"/>
      <c r="L217" s="91"/>
      <c r="M217" s="91"/>
      <c r="N217" s="91"/>
      <c r="O217" s="91"/>
      <c r="P217" s="91"/>
      <c r="Q217" s="91"/>
      <c r="R217" s="91"/>
      <c r="S217" t="s" s="90">
        <v>3</v>
      </c>
      <c r="T217" s="91"/>
      <c r="U217" s="91"/>
      <c r="V217" s="91"/>
      <c r="W217" s="91"/>
      <c r="X217" s="91"/>
      <c r="Y217" s="91"/>
      <c r="Z217" s="91"/>
      <c r="AA217" s="91"/>
      <c r="AB217" s="91"/>
      <c r="AC217" s="91"/>
      <c r="AD217" s="92"/>
    </row>
    <row r="218" ht="13.5" customHeight="1">
      <c r="A218" t="s" s="8">
        <v>4</v>
      </c>
      <c r="B218" t="s" s="9">
        <v>5</v>
      </c>
      <c r="C218" t="s" s="9">
        <v>6</v>
      </c>
      <c r="D218" t="s" s="9">
        <v>7</v>
      </c>
      <c r="E218" s="10"/>
      <c r="F218" t="s" s="9">
        <v>18</v>
      </c>
      <c r="G218" t="s" s="9">
        <v>8</v>
      </c>
      <c r="H218" t="s" s="9">
        <v>9</v>
      </c>
      <c r="I218" t="s" s="9">
        <v>10</v>
      </c>
      <c r="J218" t="s" s="9">
        <v>11</v>
      </c>
      <c r="K218" t="s" s="9">
        <v>1</v>
      </c>
      <c r="L218" t="s" s="9">
        <v>12</v>
      </c>
      <c r="M218" t="s" s="9">
        <v>13</v>
      </c>
      <c r="N218" t="s" s="9">
        <v>14</v>
      </c>
      <c r="O218" t="s" s="9">
        <v>15</v>
      </c>
      <c r="P218" t="s" s="9">
        <v>16</v>
      </c>
      <c r="Q218" t="s" s="9">
        <v>17</v>
      </c>
      <c r="R218" t="s" s="9">
        <v>18</v>
      </c>
      <c r="S218" t="s" s="9">
        <v>8</v>
      </c>
      <c r="T218" t="s" s="9">
        <v>9</v>
      </c>
      <c r="U218" t="s" s="9">
        <v>10</v>
      </c>
      <c r="V218" t="s" s="9">
        <v>11</v>
      </c>
      <c r="W218" t="s" s="9">
        <v>1</v>
      </c>
      <c r="X218" t="s" s="9">
        <v>12</v>
      </c>
      <c r="Y218" t="s" s="9">
        <v>13</v>
      </c>
      <c r="Z218" t="s" s="9">
        <v>14</v>
      </c>
      <c r="AA218" t="s" s="9">
        <v>15</v>
      </c>
      <c r="AB218" t="s" s="9">
        <v>16</v>
      </c>
      <c r="AC218" t="s" s="9">
        <v>17</v>
      </c>
      <c r="AD218" t="s" s="11">
        <v>18</v>
      </c>
    </row>
    <row r="219" ht="12.7" customHeight="1">
      <c r="A219" t="s" s="12">
        <v>427</v>
      </c>
      <c r="B219" s="13">
        <v>500027</v>
      </c>
      <c r="C219" t="s" s="14">
        <v>428</v>
      </c>
      <c r="D219" t="s" s="15">
        <v>21</v>
      </c>
      <c r="E219" t="s" s="15">
        <f>A219&amp;D219</f>
        <v>429</v>
      </c>
      <c r="F219" s="93"/>
      <c r="G219" s="83"/>
      <c r="H219" s="84"/>
      <c r="I219" s="85"/>
      <c r="J219" s="17">
        <v>1620</v>
      </c>
      <c r="K219" s="17">
        <v>0</v>
      </c>
      <c r="L219" s="17">
        <v>0</v>
      </c>
      <c r="M219" s="17">
        <v>0</v>
      </c>
      <c r="N219" s="17">
        <v>359.6</v>
      </c>
      <c r="O219" s="17">
        <v>0</v>
      </c>
      <c r="P219" s="17">
        <v>100</v>
      </c>
      <c r="Q219" s="17">
        <v>140</v>
      </c>
      <c r="R219" s="17">
        <v>160</v>
      </c>
      <c r="S219" s="17">
        <v>0</v>
      </c>
      <c r="T219" s="17"/>
      <c r="U219" s="17"/>
      <c r="V219" s="17"/>
      <c r="W219" s="17"/>
      <c r="X219" s="17"/>
      <c r="Y219" s="17"/>
      <c r="Z219" s="17"/>
      <c r="AA219" s="17"/>
      <c r="AB219" s="17"/>
      <c r="AC219" s="17"/>
      <c r="AD219" s="17"/>
    </row>
    <row r="220" ht="12.7" customHeight="1">
      <c r="A220" t="s" s="18">
        <v>427</v>
      </c>
      <c r="B220" s="19">
        <v>500027</v>
      </c>
      <c r="C220" t="s" s="20">
        <v>428</v>
      </c>
      <c r="D220" t="s" s="21">
        <v>23</v>
      </c>
      <c r="E220" t="s" s="21">
        <f>A220&amp;D220</f>
        <v>430</v>
      </c>
      <c r="F220" s="22">
        <v>4131</v>
      </c>
      <c r="G220" s="22">
        <v>125</v>
      </c>
      <c r="H220" s="22">
        <v>41</v>
      </c>
      <c r="I220" s="22">
        <v>40</v>
      </c>
      <c r="J220" s="86">
        <f>INDEX('Sales Actual'!$H$5:$H$66,MATCH($A220,'Sales Actual'!$G$5:$G$66,0))</f>
        <v>0</v>
      </c>
      <c r="K220" s="86">
        <f>INDEX('Sales Actual'!$J$5:$J$66,MATCH($A220,'Sales Actual'!$I$5:$I$66,0))</f>
        <v>0</v>
      </c>
      <c r="L220" s="86">
        <f>INDEX('Sales Actual'!$L$5:$L$66,MATCH($A220,'Sales Actual'!$K$5:$K$66,0))</f>
        <v>0</v>
      </c>
      <c r="M220" s="86">
        <f>INDEX('Sales Actual'!$N$4:$N$65,MATCH($A220,'Sales Actual'!$M$4:$M$65,0))</f>
        <v>0</v>
      </c>
      <c r="N220" s="86">
        <f>INDEX('Sales Actual'!$P$4:$P$64,MATCH($A220,'Sales Actual'!$O$4:$O$65,0))</f>
        <v>0</v>
      </c>
      <c r="O220" s="86">
        <f>INDEX('Sales Actual'!$R$4:$R$65,MATCH($A220,'Sales Actual'!$Q$4:$Q$65,0))</f>
        <v>0</v>
      </c>
      <c r="P220" s="86">
        <f>INDEX('Sales Actual'!$T$4:$T$66,MATCH($A220,'Sales Actual'!$S$4:$S$66,0))</f>
        <v>0</v>
      </c>
      <c r="Q220" s="86">
        <f>INDEX('Sales Actual'!$V$4:$V$65,MATCH($A220,'Sales Actual'!$U$4:$U$65,0))</f>
        <v>0</v>
      </c>
      <c r="R220" s="86">
        <f>INDEX('Sales Actual'!$X$4:$X$65,MATCH($A220,'Sales Actual'!$W$4:$W$65,0))</f>
        <v>0</v>
      </c>
      <c r="S220" s="22"/>
      <c r="T220" s="22"/>
      <c r="U220" s="22"/>
      <c r="V220" s="22"/>
      <c r="W220" s="22"/>
      <c r="X220" s="22"/>
      <c r="Y220" s="22"/>
      <c r="Z220" s="22"/>
      <c r="AA220" s="22"/>
      <c r="AB220" s="22"/>
      <c r="AC220" s="22"/>
      <c r="AD220" s="22"/>
    </row>
    <row r="221" ht="12.7" customHeight="1">
      <c r="A221" t="s" s="18">
        <v>427</v>
      </c>
      <c r="B221" s="19">
        <v>500027</v>
      </c>
      <c r="C221" t="s" s="20">
        <v>428</v>
      </c>
      <c r="D221" t="s" s="21">
        <v>25</v>
      </c>
      <c r="E221" t="s" s="21">
        <f>A221&amp;D221</f>
        <v>431</v>
      </c>
      <c r="F221" s="57"/>
      <c r="G221" s="58"/>
      <c r="H221" s="58"/>
      <c r="I221" s="58"/>
      <c r="J221" s="58"/>
      <c r="K221" s="58"/>
      <c r="L221" s="58"/>
      <c r="M221" s="59"/>
      <c r="N221" s="22">
        <f>4*100</f>
        <v>400</v>
      </c>
      <c r="O221" s="22">
        <v>0</v>
      </c>
      <c r="P221" s="22">
        <v>100</v>
      </c>
      <c r="Q221" s="22">
        <v>150</v>
      </c>
      <c r="R221" s="22">
        <v>150</v>
      </c>
      <c r="S221" s="24">
        <v>0</v>
      </c>
      <c r="T221" s="24"/>
      <c r="U221" s="24"/>
      <c r="V221" s="24"/>
      <c r="W221" s="24"/>
      <c r="X221" s="24"/>
      <c r="Y221" s="24"/>
      <c r="Z221" s="24"/>
      <c r="AA221" s="24"/>
      <c r="AB221" s="24"/>
      <c r="AC221" s="24"/>
      <c r="AD221" s="24"/>
    </row>
    <row r="222" ht="12.7" customHeight="1">
      <c r="A222" t="s" s="18">
        <v>427</v>
      </c>
      <c r="B222" s="19">
        <v>500027</v>
      </c>
      <c r="C222" t="s" s="20">
        <v>428</v>
      </c>
      <c r="D222" t="s" s="21">
        <v>27</v>
      </c>
      <c r="E222" t="s" s="21">
        <f>A222&amp;D222</f>
        <v>432</v>
      </c>
      <c r="F222" s="60"/>
      <c r="G222" s="61"/>
      <c r="H222" s="61"/>
      <c r="I222" s="32"/>
      <c r="J222" s="32"/>
      <c r="K222" s="32"/>
      <c r="L222" s="32"/>
      <c r="M222" s="33"/>
      <c r="N222" s="22">
        <f>N221</f>
        <v>400</v>
      </c>
      <c r="O222" s="22">
        <f>O221</f>
        <v>0</v>
      </c>
      <c r="P222" s="22">
        <f>P221</f>
        <v>100</v>
      </c>
      <c r="Q222" s="22">
        <f>Q221</f>
        <v>150</v>
      </c>
      <c r="R222" s="22">
        <f>R221</f>
        <v>150</v>
      </c>
      <c r="S222" s="24"/>
      <c r="T222" s="24"/>
      <c r="U222" s="24"/>
      <c r="V222" s="24"/>
      <c r="W222" s="24"/>
      <c r="X222" s="24"/>
      <c r="Y222" s="24"/>
      <c r="Z222" s="24"/>
      <c r="AA222" s="24"/>
      <c r="AB222" s="24"/>
      <c r="AC222" s="24"/>
      <c r="AD222" s="24"/>
    </row>
    <row r="223" ht="12.7" customHeight="1">
      <c r="A223" t="s" s="18">
        <v>427</v>
      </c>
      <c r="B223" s="19">
        <v>500027</v>
      </c>
      <c r="C223" t="s" s="20">
        <v>428</v>
      </c>
      <c r="D223" t="s" s="21">
        <v>29</v>
      </c>
      <c r="E223" t="s" s="21">
        <f>A223&amp;D223</f>
        <v>433</v>
      </c>
      <c r="F223" s="60"/>
      <c r="G223" s="61"/>
      <c r="H223" s="62"/>
      <c r="I223" s="22">
        <v>0</v>
      </c>
      <c r="J223" s="22">
        <f>IF((I223+J222-(J219-J220)-J227)&lt;0,0,(I223+J222-(J219-J220)-J227))</f>
        <v>0</v>
      </c>
      <c r="K223" s="22">
        <f>IF((J223+K222-(K219-K220)-K227)&lt;0,0,(J223+K222-(K219-K220)-K227))</f>
        <v>0</v>
      </c>
      <c r="L223" s="22">
        <f>IF((K223+L222-(L219-L220)-L227)&lt;0,0,(K223+L222-(L219-L220)-L227))</f>
        <v>0</v>
      </c>
      <c r="M223" s="22">
        <f>IF((L223+M222-(M219-M220)-M227)&lt;0,0,(L223+M222-(M219-M220)-M227))</f>
        <v>0</v>
      </c>
      <c r="N223" s="22">
        <f>IF((M223+N222-(N219-N220)-N227)&lt;0,0,(M223+N222-(N219-N220)-N227))</f>
        <v>40.39999999999998</v>
      </c>
      <c r="O223" s="22">
        <f>IF((N223+O222-(O219-O220)-O227)&lt;0,0,(N223+O222-(O219-O220)-O227))</f>
        <v>40.39999999999998</v>
      </c>
      <c r="P223" s="22">
        <f>IF((O223+P222-(P219-P220)-P227)&lt;0,0,(O223+P222-(P219-P220)-P227))</f>
        <v>40.39999999999998</v>
      </c>
      <c r="Q223" s="22">
        <f>IF((P223+Q222-(Q219-Q220)-Q227)&lt;0,0,(P223+Q222-(Q219-Q220)-Q227))</f>
        <v>50.39999999999998</v>
      </c>
      <c r="R223" s="22">
        <f>IF((Q223+R222-(R219-R220)-R227)&lt;0,0,(Q223+R222-(R219-R220)-R227))</f>
        <v>40.39999999999998</v>
      </c>
      <c r="S223" s="22"/>
      <c r="T223" s="22"/>
      <c r="U223" s="22"/>
      <c r="V223" s="22"/>
      <c r="W223" s="22"/>
      <c r="X223" s="22"/>
      <c r="Y223" s="22"/>
      <c r="Z223" s="22"/>
      <c r="AA223" s="22"/>
      <c r="AB223" s="22"/>
      <c r="AC223" s="22"/>
      <c r="AD223" s="22"/>
    </row>
    <row r="224" ht="12.7" customHeight="1">
      <c r="A224" t="s" s="18">
        <v>427</v>
      </c>
      <c r="B224" s="19">
        <v>500027</v>
      </c>
      <c r="C224" t="s" s="20">
        <v>428</v>
      </c>
      <c r="D224" t="s" s="21">
        <v>31</v>
      </c>
      <c r="E224" t="s" s="21">
        <f>A224&amp;D224</f>
        <v>434</v>
      </c>
      <c r="F224" s="31"/>
      <c r="G224" s="87"/>
      <c r="H224" s="33"/>
      <c r="I224" s="22">
        <v>0</v>
      </c>
      <c r="J224" s="48"/>
      <c r="K224" s="48"/>
      <c r="L224" s="48"/>
      <c r="M224" s="48"/>
      <c r="N224" s="48"/>
      <c r="O224" s="48"/>
      <c r="P224" s="48"/>
      <c r="Q224" s="48"/>
      <c r="R224" s="48"/>
      <c r="S224" s="22"/>
      <c r="T224" s="22"/>
      <c r="U224" s="22"/>
      <c r="V224" s="22"/>
      <c r="W224" s="22"/>
      <c r="X224" s="22"/>
      <c r="Y224" s="22"/>
      <c r="Z224" s="22"/>
      <c r="AA224" s="22"/>
      <c r="AB224" s="22"/>
      <c r="AC224" s="22"/>
      <c r="AD224" s="22"/>
    </row>
    <row r="225" ht="12.7" customHeight="1">
      <c r="A225" t="s" s="18">
        <v>427</v>
      </c>
      <c r="B225" s="19">
        <v>500027</v>
      </c>
      <c r="C225" t="s" s="20">
        <v>428</v>
      </c>
      <c r="D225" t="s" s="21">
        <v>33</v>
      </c>
      <c r="E225" t="s" s="21">
        <f>A225&amp;D225</f>
        <v>435</v>
      </c>
      <c r="F225" s="22">
        <v>0</v>
      </c>
      <c r="G225" s="22">
        <v>0</v>
      </c>
      <c r="H225" s="22">
        <v>0</v>
      </c>
      <c r="I225" s="22">
        <v>0</v>
      </c>
      <c r="J225" s="22">
        <f>IF((I223+J222-(J219-J220)-J227)&gt;0,0,(I223+J222-(J219-J220)-J227))</f>
        <v>-1620</v>
      </c>
      <c r="K225" s="22">
        <f>IF((J223+K222-(K219-K220)-K227)&gt;0,0,(J223+K222-(K219-K220)-K227))</f>
        <v>0</v>
      </c>
      <c r="L225" s="22">
        <f>IF((K223+L222-(L219-L220)-L227)&gt;0,0,(K223+L222-(L219-L220)-L227))</f>
        <v>0</v>
      </c>
      <c r="M225" s="22">
        <f>IF((L223+M222-(M219-M220)-M227)&gt;0,0,(L223+M222-(M219-M220)-M227))</f>
        <v>0</v>
      </c>
      <c r="N225" s="22">
        <f>IF((M223+N222-(N219-N220)-N227)&gt;0,0,(M223+N222-(N219-N220)-N227))</f>
        <v>0</v>
      </c>
      <c r="O225" s="22">
        <f>IF((N223+O222-(O219-O220)-O227)&gt;0,0,(N223+O222-(O219-O220)-O227))</f>
        <v>0</v>
      </c>
      <c r="P225" s="22">
        <f>IF((O223+P222-(P219-P220)-P227)&gt;0,0,(O223+P222-(P219-P220)-P227))</f>
        <v>0</v>
      </c>
      <c r="Q225" s="22">
        <f>IF((P223+Q222-(Q219-Q220)-Q227)&gt;0,0,(P223+Q222-(Q219-Q220)-Q227))</f>
        <v>0</v>
      </c>
      <c r="R225" s="22">
        <f>IF((Q223+R222-(R219-R220)-R227)&gt;0,0,(Q223+R222-(R219-R220)-R227))</f>
        <v>0</v>
      </c>
      <c r="S225" s="24">
        <f>IF((R223+S222-(S219-S220)-S227)&gt;0,0,(R223+S222-(S219-S220)-S227))</f>
        <v>0</v>
      </c>
      <c r="T225" s="24"/>
      <c r="U225" s="24"/>
      <c r="V225" s="24"/>
      <c r="W225" s="24"/>
      <c r="X225" s="24"/>
      <c r="Y225" s="24"/>
      <c r="Z225" s="24"/>
      <c r="AA225" s="24"/>
      <c r="AB225" s="24"/>
      <c r="AC225" s="24"/>
      <c r="AD225" s="24"/>
    </row>
    <row r="226" ht="12.7" customHeight="1">
      <c r="A226" t="s" s="18">
        <v>427</v>
      </c>
      <c r="B226" s="19">
        <v>500027</v>
      </c>
      <c r="C226" t="s" s="20">
        <v>428</v>
      </c>
      <c r="D226" t="s" s="21">
        <v>35</v>
      </c>
      <c r="E226" t="s" s="21">
        <f>A226&amp;D226</f>
        <v>436</v>
      </c>
      <c r="F226" s="46"/>
      <c r="G226" s="49"/>
      <c r="H226" s="47"/>
      <c r="I226" s="22">
        <v>0</v>
      </c>
      <c r="J226" s="22">
        <v>0</v>
      </c>
      <c r="K226" s="22">
        <v>0</v>
      </c>
      <c r="L226" s="22">
        <v>0</v>
      </c>
      <c r="M226" s="22">
        <v>0</v>
      </c>
      <c r="N226" s="46"/>
      <c r="O226" s="58"/>
      <c r="P226" s="58"/>
      <c r="Q226" s="58"/>
      <c r="R226" s="59"/>
      <c r="S226" s="24"/>
      <c r="T226" s="24"/>
      <c r="U226" s="24"/>
      <c r="V226" s="24"/>
      <c r="W226" s="24"/>
      <c r="X226" s="24"/>
      <c r="Y226" s="24"/>
      <c r="Z226" s="24"/>
      <c r="AA226" s="24"/>
      <c r="AB226" s="24"/>
      <c r="AC226" s="24"/>
      <c r="AD226" s="24"/>
    </row>
    <row r="227" ht="12.7" customHeight="1">
      <c r="A227" t="s" s="18">
        <v>427</v>
      </c>
      <c r="B227" s="19">
        <v>500027</v>
      </c>
      <c r="C227" t="s" s="20">
        <v>428</v>
      </c>
      <c r="D227" t="s" s="21">
        <v>37</v>
      </c>
      <c r="E227" t="s" s="21">
        <f>A227&amp;D227</f>
        <v>437</v>
      </c>
      <c r="F227" s="22">
        <v>0</v>
      </c>
      <c r="G227" s="22">
        <v>0</v>
      </c>
      <c r="H227" s="30">
        <v>0</v>
      </c>
      <c r="I227" s="22">
        <f>IF(I226&gt;0,IF(I226-(I219-I220)&gt;0,(I226-(I219-I220)),0),0)</f>
        <v>0</v>
      </c>
      <c r="J227" s="22">
        <f>IF(J226&gt;0,IF(J226-(J219-J220)&gt;0,(J226-(J219-J220)),0),0)</f>
        <v>0</v>
      </c>
      <c r="K227" s="22">
        <f>IF(K226&gt;0,IF(K226-(K219-K220)&gt;0,(K226-(K219-K220)),0),0)</f>
        <v>0</v>
      </c>
      <c r="L227" s="22">
        <f>IF(L226&gt;0,IF(L226-(L219-L220)&gt;0,(L226-(L219-L220)),0),0)</f>
        <v>0</v>
      </c>
      <c r="M227" s="22">
        <v>0</v>
      </c>
      <c r="N227" s="22">
        <v>0</v>
      </c>
      <c r="O227" s="31"/>
      <c r="P227" s="32"/>
      <c r="Q227" s="32"/>
      <c r="R227" s="33"/>
      <c r="S227" s="24"/>
      <c r="T227" s="24"/>
      <c r="U227" s="24"/>
      <c r="V227" s="24"/>
      <c r="W227" s="24"/>
      <c r="X227" s="24"/>
      <c r="Y227" s="24"/>
      <c r="Z227" s="24"/>
      <c r="AA227" s="24"/>
      <c r="AB227" s="24"/>
      <c r="AC227" s="24"/>
      <c r="AD227" s="24"/>
    </row>
    <row r="228" ht="12.7" customHeight="1">
      <c r="A228" t="s" s="34">
        <v>427</v>
      </c>
      <c r="B228" s="35">
        <v>500027</v>
      </c>
      <c r="C228" t="s" s="36">
        <v>428</v>
      </c>
      <c r="D228" t="s" s="37">
        <v>39</v>
      </c>
      <c r="E228" t="s" s="37">
        <f>A228&amp;D228</f>
        <v>438</v>
      </c>
      <c r="F228" s="38">
        <f>IFERROR(F224/AVERAGE(G219:H219)*30,0)</f>
        <v>0</v>
      </c>
      <c r="G228" s="38">
        <f>IFERROR(G224/AVERAGE(H219:I219)*30,0)</f>
        <v>0</v>
      </c>
      <c r="H228" s="38">
        <f>IFERROR(H223/AVERAGE(I219:J219)*30,0)</f>
        <v>0</v>
      </c>
      <c r="I228" s="38">
        <f>IFERROR(I223/AVERAGE(J219:K219)*30,0)</f>
        <v>0</v>
      </c>
      <c r="J228" s="38">
        <f>IFERROR(J223/AVERAGE(K219:L219)*30,0)</f>
        <v>0</v>
      </c>
      <c r="K228" s="38">
        <f>IFERROR(K223/AVERAGE(L219:M219)*30,0)</f>
        <v>0</v>
      </c>
      <c r="L228" s="38">
        <f>IFERROR(L223/AVERAGE(M219:N219)*30,0)</f>
        <v>0</v>
      </c>
      <c r="M228" s="38">
        <f>IFERROR(M223/AVERAGE(N219:O219)*30,0)</f>
        <v>0</v>
      </c>
      <c r="N228" s="38">
        <f>IFERROR(N223/AVERAGE(O219:P219)*30,0)</f>
        <v>24.23999999999998</v>
      </c>
      <c r="O228" s="38">
        <f>IFERROR(O223/AVERAGE(P219:Q219)*30,0)</f>
        <v>10.09999999999999</v>
      </c>
      <c r="P228" s="38">
        <f>IFERROR(P223/AVERAGE(Q219:R219)*30,0)</f>
        <v>8.079999999999997</v>
      </c>
      <c r="Q228" s="38">
        <f>IFERROR(Q223/AVERAGE(R219:S219)*30,0)</f>
        <v>18.89999999999999</v>
      </c>
      <c r="R228" s="38">
        <f>IFERROR(R223/AVERAGE(S219:T219)*30,0)</f>
        <v>0</v>
      </c>
      <c r="S228" s="38">
        <f>IFERROR(S223/AVERAGE(T219:U219)*30,0)</f>
        <v>0</v>
      </c>
      <c r="T228" s="38"/>
      <c r="U228" s="38"/>
      <c r="V228" s="38"/>
      <c r="W228" s="38"/>
      <c r="X228" s="38"/>
      <c r="Y228" s="38"/>
      <c r="Z228" s="38"/>
      <c r="AA228" s="38"/>
      <c r="AB228" s="38"/>
      <c r="AC228" s="38"/>
      <c r="AD228" s="38"/>
    </row>
    <row r="229" ht="12" customHeight="1">
      <c r="A229" s="39"/>
      <c r="B229" s="40"/>
      <c r="C229" s="40"/>
      <c r="D229" s="40"/>
      <c r="E229" s="40"/>
      <c r="F229" s="40"/>
      <c r="G229" t="s" s="90">
        <v>2</v>
      </c>
      <c r="H229" s="91"/>
      <c r="I229" s="91"/>
      <c r="J229" s="91"/>
      <c r="K229" s="91"/>
      <c r="L229" s="91"/>
      <c r="M229" s="91"/>
      <c r="N229" s="91"/>
      <c r="O229" s="91"/>
      <c r="P229" s="91"/>
      <c r="Q229" s="91"/>
      <c r="R229" s="91"/>
      <c r="S229" t="s" s="90">
        <v>3</v>
      </c>
      <c r="T229" s="91"/>
      <c r="U229" s="91"/>
      <c r="V229" s="91"/>
      <c r="W229" s="91"/>
      <c r="X229" s="91"/>
      <c r="Y229" s="91"/>
      <c r="Z229" s="91"/>
      <c r="AA229" s="91"/>
      <c r="AB229" s="91"/>
      <c r="AC229" s="91"/>
      <c r="AD229" s="92"/>
    </row>
    <row r="230" ht="13.5" customHeight="1">
      <c r="A230" t="s" s="8">
        <v>4</v>
      </c>
      <c r="B230" t="s" s="9">
        <v>5</v>
      </c>
      <c r="C230" t="s" s="9">
        <v>6</v>
      </c>
      <c r="D230" t="s" s="9">
        <v>7</v>
      </c>
      <c r="E230" s="10"/>
      <c r="F230" t="s" s="9">
        <v>18</v>
      </c>
      <c r="G230" t="s" s="9">
        <v>8</v>
      </c>
      <c r="H230" t="s" s="9">
        <v>9</v>
      </c>
      <c r="I230" t="s" s="9">
        <v>10</v>
      </c>
      <c r="J230" t="s" s="9">
        <v>11</v>
      </c>
      <c r="K230" t="s" s="9">
        <v>1</v>
      </c>
      <c r="L230" t="s" s="9">
        <v>12</v>
      </c>
      <c r="M230" t="s" s="9">
        <v>13</v>
      </c>
      <c r="N230" t="s" s="9">
        <v>14</v>
      </c>
      <c r="O230" t="s" s="9">
        <v>15</v>
      </c>
      <c r="P230" t="s" s="9">
        <v>16</v>
      </c>
      <c r="Q230" t="s" s="9">
        <v>17</v>
      </c>
      <c r="R230" t="s" s="9">
        <v>18</v>
      </c>
      <c r="S230" t="s" s="9">
        <v>8</v>
      </c>
      <c r="T230" t="s" s="9">
        <v>9</v>
      </c>
      <c r="U230" t="s" s="9">
        <v>10</v>
      </c>
      <c r="V230" t="s" s="9">
        <v>11</v>
      </c>
      <c r="W230" t="s" s="9">
        <v>1</v>
      </c>
      <c r="X230" t="s" s="9">
        <v>12</v>
      </c>
      <c r="Y230" t="s" s="9">
        <v>13</v>
      </c>
      <c r="Z230" t="s" s="9">
        <v>14</v>
      </c>
      <c r="AA230" t="s" s="9">
        <v>15</v>
      </c>
      <c r="AB230" t="s" s="9">
        <v>16</v>
      </c>
      <c r="AC230" t="s" s="9">
        <v>17</v>
      </c>
      <c r="AD230" t="s" s="11">
        <v>18</v>
      </c>
    </row>
    <row r="231" ht="12.7" customHeight="1">
      <c r="A231" t="s" s="12">
        <v>439</v>
      </c>
      <c r="B231" s="13">
        <v>400088</v>
      </c>
      <c r="C231" t="s" s="14">
        <v>440</v>
      </c>
      <c r="D231" t="s" s="15">
        <v>21</v>
      </c>
      <c r="E231" t="s" s="15">
        <f>A231&amp;D231</f>
        <v>441</v>
      </c>
      <c r="F231" s="93"/>
      <c r="G231" s="84"/>
      <c r="H231" s="84"/>
      <c r="I231" s="84"/>
      <c r="J231" s="84"/>
      <c r="K231" s="84"/>
      <c r="L231" s="84"/>
      <c r="M231" s="85"/>
      <c r="N231" s="17">
        <v>0</v>
      </c>
      <c r="O231" s="17">
        <v>0</v>
      </c>
      <c r="P231" s="17">
        <v>0</v>
      </c>
      <c r="Q231" s="17">
        <v>580</v>
      </c>
      <c r="R231" s="17">
        <v>580</v>
      </c>
      <c r="S231" s="17">
        <v>1853</v>
      </c>
      <c r="T231" s="17"/>
      <c r="U231" s="17"/>
      <c r="V231" s="17"/>
      <c r="W231" s="17"/>
      <c r="X231" s="17"/>
      <c r="Y231" s="17"/>
      <c r="Z231" s="17"/>
      <c r="AA231" s="17"/>
      <c r="AB231" s="17"/>
      <c r="AC231" s="17"/>
      <c r="AD231" s="17"/>
    </row>
    <row r="232" ht="12.7" customHeight="1">
      <c r="A232" t="s" s="18">
        <v>439</v>
      </c>
      <c r="B232" s="19">
        <v>400088</v>
      </c>
      <c r="C232" t="s" s="20">
        <v>440</v>
      </c>
      <c r="D232" t="s" s="21">
        <v>23</v>
      </c>
      <c r="E232" t="s" s="21">
        <f>A232&amp;D232</f>
        <v>442</v>
      </c>
      <c r="F232" s="22">
        <v>1399</v>
      </c>
      <c r="G232" s="22">
        <v>1853</v>
      </c>
      <c r="H232" s="22">
        <v>931</v>
      </c>
      <c r="I232" s="22">
        <v>502</v>
      </c>
      <c r="J232" s="86">
        <f>INDEX('Sales Actual'!$H$5:$H$66,MATCH($A232,'Sales Actual'!$G$5:$G$66,0))</f>
        <v>0</v>
      </c>
      <c r="K232" s="86">
        <f>INDEX('Sales Actual'!$J$5:$J$66,MATCH($A232,'Sales Actual'!$I$5:$I$66,0))</f>
        <v>0</v>
      </c>
      <c r="L232" s="86">
        <f>INDEX('Sales Actual'!$L$5:$L$66,MATCH($A232,'Sales Actual'!$K$5:$K$66,0))</f>
        <v>0</v>
      </c>
      <c r="M232" s="86">
        <f>INDEX('Sales Actual'!$N$4:$N$65,MATCH($A232,'Sales Actual'!$M$4:$M$65,0))</f>
        <v>0</v>
      </c>
      <c r="N232" s="86">
        <f>INDEX('Sales Actual'!$P$4:$P$64,MATCH($A232,'Sales Actual'!$O$4:$O$65,0))</f>
        <v>0</v>
      </c>
      <c r="O232" s="86">
        <f>INDEX('Sales Actual'!$R$4:$R$65,MATCH($A232,'Sales Actual'!$Q$4:$Q$65,0))</f>
        <v>0</v>
      </c>
      <c r="P232" s="86">
        <f>INDEX('Sales Actual'!$T$4:$T$66,MATCH($A232,'Sales Actual'!$S$4:$S$66,0))</f>
        <v>0</v>
      </c>
      <c r="Q232" s="86">
        <f>INDEX('Sales Actual'!$V$4:$V$65,MATCH($A232,'Sales Actual'!$U$4:$U$65,0))</f>
        <v>0</v>
      </c>
      <c r="R232" s="86">
        <f>INDEX('Sales Actual'!$X$4:$X$65,MATCH($A232,'Sales Actual'!$W$4:$W$65,0))</f>
        <v>0</v>
      </c>
      <c r="S232" s="22"/>
      <c r="T232" s="22"/>
      <c r="U232" s="22"/>
      <c r="V232" s="22"/>
      <c r="W232" s="22"/>
      <c r="X232" s="22"/>
      <c r="Y232" s="22"/>
      <c r="Z232" s="22"/>
      <c r="AA232" s="22"/>
      <c r="AB232" s="22"/>
      <c r="AC232" s="22"/>
      <c r="AD232" s="22"/>
    </row>
    <row r="233" ht="12.7" customHeight="1">
      <c r="A233" t="s" s="18">
        <v>439</v>
      </c>
      <c r="B233" s="19">
        <v>400088</v>
      </c>
      <c r="C233" t="s" s="20">
        <v>440</v>
      </c>
      <c r="D233" t="s" s="21">
        <v>25</v>
      </c>
      <c r="E233" t="s" s="21">
        <f>A233&amp;D233</f>
        <v>443</v>
      </c>
      <c r="F233" s="57"/>
      <c r="G233" s="58"/>
      <c r="H233" s="58"/>
      <c r="I233" s="58"/>
      <c r="J233" s="58"/>
      <c r="K233" s="58"/>
      <c r="L233" s="58"/>
      <c r="M233" s="59"/>
      <c r="N233" s="22">
        <v>0</v>
      </c>
      <c r="O233" s="22">
        <f>O231</f>
        <v>0</v>
      </c>
      <c r="P233" s="22">
        <f>4*80</f>
        <v>320</v>
      </c>
      <c r="Q233" s="22">
        <f>4*170</f>
        <v>680</v>
      </c>
      <c r="R233" s="22">
        <f>4*150</f>
        <v>600</v>
      </c>
      <c r="S233" s="24">
        <v>0</v>
      </c>
      <c r="T233" s="24"/>
      <c r="U233" s="24"/>
      <c r="V233" s="24"/>
      <c r="W233" s="24"/>
      <c r="X233" s="24"/>
      <c r="Y233" s="24"/>
      <c r="Z233" s="24"/>
      <c r="AA233" s="24"/>
      <c r="AB233" s="24"/>
      <c r="AC233" s="24"/>
      <c r="AD233" s="24"/>
    </row>
    <row r="234" ht="12.7" customHeight="1">
      <c r="A234" t="s" s="18">
        <v>439</v>
      </c>
      <c r="B234" s="19">
        <v>400088</v>
      </c>
      <c r="C234" t="s" s="20">
        <v>440</v>
      </c>
      <c r="D234" t="s" s="21">
        <v>27</v>
      </c>
      <c r="E234" t="s" s="21">
        <f>A234&amp;D234</f>
        <v>444</v>
      </c>
      <c r="F234" s="60"/>
      <c r="G234" s="61"/>
      <c r="H234" s="61"/>
      <c r="I234" s="32"/>
      <c r="J234" s="32"/>
      <c r="K234" s="32"/>
      <c r="L234" s="32"/>
      <c r="M234" s="33"/>
      <c r="N234" s="22">
        <f>N233</f>
        <v>0</v>
      </c>
      <c r="O234" s="22">
        <f>O233</f>
        <v>0</v>
      </c>
      <c r="P234" s="22">
        <f>P233</f>
        <v>320</v>
      </c>
      <c r="Q234" s="22">
        <f>Q233</f>
        <v>680</v>
      </c>
      <c r="R234" s="22">
        <f>R233</f>
        <v>600</v>
      </c>
      <c r="S234" s="24"/>
      <c r="T234" s="24"/>
      <c r="U234" s="24"/>
      <c r="V234" s="24"/>
      <c r="W234" s="24"/>
      <c r="X234" s="24"/>
      <c r="Y234" s="24"/>
      <c r="Z234" s="24"/>
      <c r="AA234" s="24"/>
      <c r="AB234" s="24"/>
      <c r="AC234" s="24"/>
      <c r="AD234" s="24"/>
    </row>
    <row r="235" ht="12.7" customHeight="1">
      <c r="A235" t="s" s="18">
        <v>439</v>
      </c>
      <c r="B235" s="19">
        <v>400088</v>
      </c>
      <c r="C235" t="s" s="20">
        <v>440</v>
      </c>
      <c r="D235" t="s" s="21">
        <v>29</v>
      </c>
      <c r="E235" t="s" s="21">
        <f>A235&amp;D235</f>
        <v>445</v>
      </c>
      <c r="F235" s="60"/>
      <c r="G235" s="61"/>
      <c r="H235" s="62"/>
      <c r="I235" s="22">
        <v>0</v>
      </c>
      <c r="J235" s="22">
        <f>IF((I235+J234-(J231-J232)-J239)&lt;0,0,(I235+J234-(J231-J232)-J239))</f>
        <v>0</v>
      </c>
      <c r="K235" s="22">
        <f>IF((J235+K234-(K231-K232)-K239)&lt;0,0,(J235+K234-(K231-K232)-K239))</f>
        <v>0</v>
      </c>
      <c r="L235" s="22">
        <f>IF((K235+L234-(L231-L232)-L239)&lt;0,0,(K235+L234-(L231-L232)-L239))</f>
        <v>0</v>
      </c>
      <c r="M235" s="22">
        <f>IF((L235+M234-(M231-M232)-M239)&lt;0,0,(L235+M234-(M231-M232)-M239))</f>
        <v>0</v>
      </c>
      <c r="N235" s="22">
        <f>IF((M235+N234-(N231-N232)-N239)&lt;0,0,(M235+N234-(N231-N232)-N239))</f>
        <v>0</v>
      </c>
      <c r="O235" s="22">
        <f>IF((N235+O234-(O231-O232)-O239)&lt;0,0,(N235+O234-(O231-O232)-O239))</f>
        <v>0</v>
      </c>
      <c r="P235" s="22">
        <f>IF((O235+P234-(P231-P232)-P239)&lt;0,0,(O235+P234-(P231-P232)-P239))</f>
        <v>320</v>
      </c>
      <c r="Q235" s="22">
        <f>IF((P235+Q234-(Q231-Q232)-Q239)&lt;0,0,(P235+Q234-(Q231-Q232)-Q239))</f>
        <v>420</v>
      </c>
      <c r="R235" s="22">
        <f>IF((Q235+R234-(R231-R232)-R239)&lt;0,0,(Q235+R234-(R231-R232)-R239))</f>
        <v>440</v>
      </c>
      <c r="S235" s="22"/>
      <c r="T235" s="22"/>
      <c r="U235" s="22"/>
      <c r="V235" s="22"/>
      <c r="W235" s="22"/>
      <c r="X235" s="22"/>
      <c r="Y235" s="22"/>
      <c r="Z235" s="22"/>
      <c r="AA235" s="22"/>
      <c r="AB235" s="22"/>
      <c r="AC235" s="22"/>
      <c r="AD235" s="22"/>
    </row>
    <row r="236" ht="12.7" customHeight="1">
      <c r="A236" t="s" s="18">
        <v>439</v>
      </c>
      <c r="B236" s="19">
        <v>400088</v>
      </c>
      <c r="C236" t="s" s="20">
        <v>440</v>
      </c>
      <c r="D236" t="s" s="21">
        <v>31</v>
      </c>
      <c r="E236" t="s" s="21">
        <f>A236&amp;D236</f>
        <v>446</v>
      </c>
      <c r="F236" s="31"/>
      <c r="G236" s="87"/>
      <c r="H236" s="33"/>
      <c r="I236" s="22">
        <v>0</v>
      </c>
      <c r="J236" s="48"/>
      <c r="K236" s="48"/>
      <c r="L236" s="48"/>
      <c r="M236" s="48"/>
      <c r="N236" s="48"/>
      <c r="O236" s="48"/>
      <c r="P236" s="48"/>
      <c r="Q236" s="48"/>
      <c r="R236" s="48"/>
      <c r="S236" s="22"/>
      <c r="T236" s="22"/>
      <c r="U236" s="22"/>
      <c r="V236" s="22"/>
      <c r="W236" s="22"/>
      <c r="X236" s="22"/>
      <c r="Y236" s="22"/>
      <c r="Z236" s="22"/>
      <c r="AA236" s="22"/>
      <c r="AB236" s="22"/>
      <c r="AC236" s="22"/>
      <c r="AD236" s="22"/>
    </row>
    <row r="237" ht="12.7" customHeight="1">
      <c r="A237" t="s" s="18">
        <v>439</v>
      </c>
      <c r="B237" s="19">
        <v>400088</v>
      </c>
      <c r="C237" t="s" s="20">
        <v>440</v>
      </c>
      <c r="D237" t="s" s="21">
        <v>33</v>
      </c>
      <c r="E237" t="s" s="21">
        <f>A237&amp;D237</f>
        <v>447</v>
      </c>
      <c r="F237" s="22">
        <v>0</v>
      </c>
      <c r="G237" s="22">
        <v>0</v>
      </c>
      <c r="H237" s="22">
        <v>0</v>
      </c>
      <c r="I237" s="22">
        <v>0</v>
      </c>
      <c r="J237" s="22">
        <f>IF((I235+J234-(J231-J232)-J239)&gt;0,0,(I235+J234-(J231-J232)-J239))</f>
        <v>0</v>
      </c>
      <c r="K237" s="22">
        <f>IF((J235+K234-(K231-K232)-K239)&gt;0,0,(J235+K234-(K231-K232)-K239))</f>
        <v>0</v>
      </c>
      <c r="L237" s="22">
        <f>IF((K235+L234-(L231-L232)-L239)&gt;0,0,(K235+L234-(L231-L232)-L239))</f>
        <v>0</v>
      </c>
      <c r="M237" s="22">
        <f>IF((L235+M234-(M231-M232)-M239)&gt;0,0,(L235+M234-(M231-M232)-M239))</f>
        <v>0</v>
      </c>
      <c r="N237" s="22">
        <f>IF((M235+N234-(N231-N232)-N239)&gt;0,0,(M235+N234-(N231-N232)-N239))</f>
        <v>0</v>
      </c>
      <c r="O237" s="22">
        <f>IF((N235+O234-(O231-O232)-O239)&gt;0,0,(N235+O234-(O231-O232)-O239))</f>
        <v>0</v>
      </c>
      <c r="P237" s="22">
        <f>IF((O235+P234-(P231-P232)-P239)&gt;0,0,(O235+P234-(P231-P232)-P239))</f>
        <v>0</v>
      </c>
      <c r="Q237" s="22">
        <f>IF((P235+Q234-(Q231-Q232)-Q239)&gt;0,0,(P235+Q234-(Q231-Q232)-Q239))</f>
        <v>0</v>
      </c>
      <c r="R237" s="22">
        <f>IF((Q235+R234-(R231-R232)-R239)&gt;0,0,(Q235+R234-(R231-R232)-R239))</f>
        <v>0</v>
      </c>
      <c r="S237" s="24">
        <f>IF((R235+S234-(S231-S232)-S239)&gt;0,0,(R235+S234-(S231-S232)-S239))</f>
        <v>-1413</v>
      </c>
      <c r="T237" s="24"/>
      <c r="U237" s="24"/>
      <c r="V237" s="24"/>
      <c r="W237" s="24"/>
      <c r="X237" s="24"/>
      <c r="Y237" s="24"/>
      <c r="Z237" s="24"/>
      <c r="AA237" s="24"/>
      <c r="AB237" s="24"/>
      <c r="AC237" s="24"/>
      <c r="AD237" s="24"/>
    </row>
    <row r="238" ht="12.7" customHeight="1">
      <c r="A238" t="s" s="18">
        <v>439</v>
      </c>
      <c r="B238" s="19">
        <v>400088</v>
      </c>
      <c r="C238" t="s" s="20">
        <v>440</v>
      </c>
      <c r="D238" t="s" s="21">
        <v>35</v>
      </c>
      <c r="E238" t="s" s="21">
        <f>A238&amp;D238</f>
        <v>448</v>
      </c>
      <c r="F238" s="46"/>
      <c r="G238" s="49"/>
      <c r="H238" s="47"/>
      <c r="I238" s="22">
        <v>0</v>
      </c>
      <c r="J238" s="22">
        <v>0</v>
      </c>
      <c r="K238" s="22">
        <v>0</v>
      </c>
      <c r="L238" s="22">
        <v>0</v>
      </c>
      <c r="M238" s="22">
        <v>0</v>
      </c>
      <c r="N238" s="46"/>
      <c r="O238" s="58"/>
      <c r="P238" s="58"/>
      <c r="Q238" s="58"/>
      <c r="R238" s="59"/>
      <c r="S238" s="24"/>
      <c r="T238" s="24"/>
      <c r="U238" s="24"/>
      <c r="V238" s="24"/>
      <c r="W238" s="24"/>
      <c r="X238" s="24"/>
      <c r="Y238" s="24"/>
      <c r="Z238" s="24"/>
      <c r="AA238" s="24"/>
      <c r="AB238" s="24"/>
      <c r="AC238" s="24"/>
      <c r="AD238" s="24"/>
    </row>
    <row r="239" ht="12.7" customHeight="1">
      <c r="A239" t="s" s="18">
        <v>439</v>
      </c>
      <c r="B239" s="19">
        <v>400088</v>
      </c>
      <c r="C239" t="s" s="20">
        <v>440</v>
      </c>
      <c r="D239" t="s" s="21">
        <v>37</v>
      </c>
      <c r="E239" t="s" s="21">
        <f>A239&amp;D239</f>
        <v>449</v>
      </c>
      <c r="F239" s="22">
        <v>0</v>
      </c>
      <c r="G239" s="22">
        <v>0</v>
      </c>
      <c r="H239" s="30">
        <v>0</v>
      </c>
      <c r="I239" s="22">
        <f>IF(I238&gt;0,IF(I238-(I231-I232)&gt;0,(I238-(I231-I232)),0),0)</f>
        <v>0</v>
      </c>
      <c r="J239" s="22">
        <f>IF(J238&gt;0,IF(J238-(J231-J232)&gt;0,(J238-(J231-J232)),0),0)</f>
        <v>0</v>
      </c>
      <c r="K239" s="22">
        <f>IF(K238&gt;0,IF(K238-(K231-K232)&gt;0,(K238-(K231-K232)),0),0)</f>
        <v>0</v>
      </c>
      <c r="L239" s="22">
        <f>IF(L238&gt;0,IF(L238-(L231-L232)&gt;0,(L238-(L231-L232)),0),0)</f>
        <v>0</v>
      </c>
      <c r="M239" s="22">
        <v>0</v>
      </c>
      <c r="N239" s="22">
        <v>0</v>
      </c>
      <c r="O239" s="31"/>
      <c r="P239" s="32"/>
      <c r="Q239" s="32"/>
      <c r="R239" s="33"/>
      <c r="S239" s="24"/>
      <c r="T239" s="24"/>
      <c r="U239" s="24"/>
      <c r="V239" s="24"/>
      <c r="W239" s="24"/>
      <c r="X239" s="24"/>
      <c r="Y239" s="24"/>
      <c r="Z239" s="24"/>
      <c r="AA239" s="24"/>
      <c r="AB239" s="24"/>
      <c r="AC239" s="24"/>
      <c r="AD239" s="24"/>
    </row>
    <row r="240" ht="12.7" customHeight="1">
      <c r="A240" t="s" s="34">
        <v>439</v>
      </c>
      <c r="B240" s="35">
        <v>400088</v>
      </c>
      <c r="C240" t="s" s="36">
        <v>440</v>
      </c>
      <c r="D240" t="s" s="37">
        <v>39</v>
      </c>
      <c r="E240" t="s" s="37">
        <f>A240&amp;D240</f>
        <v>450</v>
      </c>
      <c r="F240" s="38">
        <f>IFERROR(F236/AVERAGE(G231:H231)*30,0)</f>
        <v>0</v>
      </c>
      <c r="G240" s="38">
        <f>IFERROR(G236/AVERAGE(H231:I231)*30,0)</f>
        <v>0</v>
      </c>
      <c r="H240" s="38">
        <f>IFERROR(H235/AVERAGE(I231:J231)*30,0)</f>
        <v>0</v>
      </c>
      <c r="I240" s="38">
        <f>IFERROR(I235/AVERAGE(J231:K231)*30,0)</f>
        <v>0</v>
      </c>
      <c r="J240" s="38">
        <f>IFERROR(J235/AVERAGE(K231:L231)*30,0)</f>
        <v>0</v>
      </c>
      <c r="K240" s="38">
        <f>IFERROR(K235/AVERAGE(L231:M231)*30,0)</f>
        <v>0</v>
      </c>
      <c r="L240" s="38">
        <f>IFERROR(L235/AVERAGE(M231:N231)*30,0)</f>
        <v>0</v>
      </c>
      <c r="M240" s="38">
        <f>IFERROR(M235/AVERAGE(N231:O231)*30,0)</f>
        <v>0</v>
      </c>
      <c r="N240" s="38">
        <f>IFERROR(N235/AVERAGE(O231:P231)*30,0)</f>
        <v>0</v>
      </c>
      <c r="O240" s="38">
        <f>IFERROR(O235/AVERAGE(P231:Q231)*30,0)</f>
        <v>0</v>
      </c>
      <c r="P240" s="38">
        <f>IFERROR(P235/AVERAGE(Q231:R231)*30,0)</f>
        <v>16.55172413793104</v>
      </c>
      <c r="Q240" s="38">
        <f>IFERROR(Q235/AVERAGE(R231:S231)*30,0)</f>
        <v>10.35758323057953</v>
      </c>
      <c r="R240" s="38">
        <f>IFERROR(R235/AVERAGE(S231:T231)*30,0)</f>
        <v>7.123583378305451</v>
      </c>
      <c r="S240" s="38">
        <f>IFERROR(S235/AVERAGE(T231:U231)*30,0)</f>
        <v>0</v>
      </c>
      <c r="T240" s="38"/>
      <c r="U240" s="38"/>
      <c r="V240" s="38"/>
      <c r="W240" s="38"/>
      <c r="X240" s="38"/>
      <c r="Y240" s="38"/>
      <c r="Z240" s="38"/>
      <c r="AA240" s="38"/>
      <c r="AB240" s="38"/>
      <c r="AC240" s="38"/>
      <c r="AD240" s="38"/>
    </row>
    <row r="241" ht="12" customHeight="1">
      <c r="A241" s="39"/>
      <c r="B241" s="40"/>
      <c r="C241" s="40"/>
      <c r="D241" s="40"/>
      <c r="E241" s="40"/>
      <c r="F241" s="40"/>
      <c r="G241" t="s" s="90">
        <v>2</v>
      </c>
      <c r="H241" s="91"/>
      <c r="I241" s="91"/>
      <c r="J241" s="91"/>
      <c r="K241" s="91"/>
      <c r="L241" s="91"/>
      <c r="M241" s="91"/>
      <c r="N241" s="91"/>
      <c r="O241" s="91"/>
      <c r="P241" s="91"/>
      <c r="Q241" s="91"/>
      <c r="R241" s="91"/>
      <c r="S241" t="s" s="90">
        <v>3</v>
      </c>
      <c r="T241" s="91"/>
      <c r="U241" s="91"/>
      <c r="V241" s="91"/>
      <c r="W241" s="91"/>
      <c r="X241" s="91"/>
      <c r="Y241" s="91"/>
      <c r="Z241" s="91"/>
      <c r="AA241" s="91"/>
      <c r="AB241" s="91"/>
      <c r="AC241" s="91"/>
      <c r="AD241" s="92"/>
    </row>
    <row r="242" ht="13.5" customHeight="1">
      <c r="A242" t="s" s="8">
        <v>4</v>
      </c>
      <c r="B242" t="s" s="9">
        <v>5</v>
      </c>
      <c r="C242" t="s" s="9">
        <v>6</v>
      </c>
      <c r="D242" t="s" s="9">
        <v>7</v>
      </c>
      <c r="E242" s="10"/>
      <c r="F242" t="s" s="9">
        <v>18</v>
      </c>
      <c r="G242" t="s" s="9">
        <v>8</v>
      </c>
      <c r="H242" t="s" s="9">
        <v>9</v>
      </c>
      <c r="I242" t="s" s="9">
        <v>10</v>
      </c>
      <c r="J242" t="s" s="9">
        <v>11</v>
      </c>
      <c r="K242" t="s" s="9">
        <v>1</v>
      </c>
      <c r="L242" t="s" s="9">
        <v>12</v>
      </c>
      <c r="M242" t="s" s="9">
        <v>13</v>
      </c>
      <c r="N242" t="s" s="98">
        <v>14</v>
      </c>
      <c r="O242" t="s" s="98">
        <v>15</v>
      </c>
      <c r="P242" t="s" s="98">
        <v>16</v>
      </c>
      <c r="Q242" t="s" s="98">
        <v>17</v>
      </c>
      <c r="R242" t="s" s="98">
        <v>18</v>
      </c>
      <c r="S242" t="s" s="9">
        <v>8</v>
      </c>
      <c r="T242" t="s" s="9">
        <v>9</v>
      </c>
      <c r="U242" t="s" s="9">
        <v>10</v>
      </c>
      <c r="V242" t="s" s="9">
        <v>11</v>
      </c>
      <c r="W242" t="s" s="9">
        <v>1</v>
      </c>
      <c r="X242" t="s" s="9">
        <v>12</v>
      </c>
      <c r="Y242" t="s" s="9">
        <v>13</v>
      </c>
      <c r="Z242" t="s" s="9">
        <v>14</v>
      </c>
      <c r="AA242" t="s" s="9">
        <v>15</v>
      </c>
      <c r="AB242" t="s" s="9">
        <v>16</v>
      </c>
      <c r="AC242" t="s" s="9">
        <v>17</v>
      </c>
      <c r="AD242" t="s" s="11">
        <v>18</v>
      </c>
    </row>
    <row r="243" ht="12.7" customHeight="1">
      <c r="A243" t="s" s="12">
        <v>451</v>
      </c>
      <c r="B243" s="13">
        <v>500021</v>
      </c>
      <c r="C243" t="s" s="14">
        <v>452</v>
      </c>
      <c r="D243" t="s" s="15">
        <v>21</v>
      </c>
      <c r="E243" t="s" s="15">
        <f>A243&amp;D243</f>
        <v>453</v>
      </c>
      <c r="F243" s="93"/>
      <c r="G243" s="84"/>
      <c r="H243" s="84"/>
      <c r="I243" s="84"/>
      <c r="J243" s="84"/>
      <c r="K243" s="84"/>
      <c r="L243" s="84"/>
      <c r="M243" s="85"/>
      <c r="N243" s="22">
        <v>0</v>
      </c>
      <c r="O243" s="22">
        <v>0</v>
      </c>
      <c r="P243" s="22">
        <v>1392</v>
      </c>
      <c r="Q243" s="22">
        <v>2320</v>
      </c>
      <c r="R243" s="22">
        <v>3320.384</v>
      </c>
      <c r="S243" s="17">
        <v>3686.4</v>
      </c>
      <c r="T243" s="17"/>
      <c r="U243" s="17"/>
      <c r="V243" s="17"/>
      <c r="W243" s="17"/>
      <c r="X243" s="17"/>
      <c r="Y243" s="17"/>
      <c r="Z243" s="17"/>
      <c r="AA243" s="17"/>
      <c r="AB243" s="17"/>
      <c r="AC243" s="17"/>
      <c r="AD243" s="17"/>
    </row>
    <row r="244" ht="12.7" customHeight="1">
      <c r="A244" t="s" s="18">
        <v>451</v>
      </c>
      <c r="B244" s="19">
        <v>500021</v>
      </c>
      <c r="C244" t="s" s="20">
        <v>452</v>
      </c>
      <c r="D244" t="s" s="21">
        <v>23</v>
      </c>
      <c r="E244" t="s" s="21">
        <f>A244&amp;D244</f>
        <v>454</v>
      </c>
      <c r="F244" s="22">
        <v>3578</v>
      </c>
      <c r="G244" s="22">
        <v>3072</v>
      </c>
      <c r="H244" s="22">
        <v>607</v>
      </c>
      <c r="I244" s="22">
        <v>94</v>
      </c>
      <c r="J244" s="86">
        <f>INDEX('Sales Actual'!$H$5:$H$66,MATCH($A244,'Sales Actual'!$G$5:$G$66,0))</f>
        <v>0</v>
      </c>
      <c r="K244" s="86">
        <f>INDEX('Sales Actual'!$J$5:$J$66,MATCH($A244,'Sales Actual'!$I$5:$I$66,0))</f>
        <v>0</v>
      </c>
      <c r="L244" s="86">
        <f>INDEX('Sales Actual'!$L$5:$L$66,MATCH($A244,'Sales Actual'!$K$5:$K$66,0))</f>
        <v>0</v>
      </c>
      <c r="M244" s="86">
        <f>INDEX('Sales Actual'!$N$4:$N$65,MATCH($A244,'Sales Actual'!$M$4:$M$65,0))</f>
        <v>0</v>
      </c>
      <c r="N244" s="86">
        <f>INDEX('Sales Actual'!$P$4:$P$64,MATCH($A244,'Sales Actual'!$O$4:$O$65,0))</f>
        <v>0</v>
      </c>
      <c r="O244" s="86">
        <f>INDEX('Sales Actual'!$R$4:$R$65,MATCH($A244,'Sales Actual'!$Q$4:$Q$65,0))</f>
        <v>0</v>
      </c>
      <c r="P244" s="86">
        <f>INDEX('Sales Actual'!$T$4:$T$66,MATCH($A244,'Sales Actual'!$S$4:$S$66,0))</f>
        <v>0</v>
      </c>
      <c r="Q244" s="86">
        <f>INDEX('Sales Actual'!$V$4:$V$65,MATCH($A244,'Sales Actual'!$U$4:$U$65,0))</f>
        <v>0</v>
      </c>
      <c r="R244" s="86">
        <f>INDEX('Sales Actual'!$X$4:$X$65,MATCH($A244,'Sales Actual'!$W$4:$W$65,0))</f>
        <v>0</v>
      </c>
      <c r="S244" s="22"/>
      <c r="T244" s="22"/>
      <c r="U244" s="22"/>
      <c r="V244" s="22"/>
      <c r="W244" s="22"/>
      <c r="X244" s="22"/>
      <c r="Y244" s="22"/>
      <c r="Z244" s="22"/>
      <c r="AA244" s="22"/>
      <c r="AB244" s="22"/>
      <c r="AC244" s="22"/>
      <c r="AD244" s="22"/>
    </row>
    <row r="245" ht="12.7" customHeight="1">
      <c r="A245" t="s" s="18">
        <v>451</v>
      </c>
      <c r="B245" s="19">
        <v>500021</v>
      </c>
      <c r="C245" t="s" s="20">
        <v>452</v>
      </c>
      <c r="D245" t="s" s="21">
        <v>25</v>
      </c>
      <c r="E245" t="s" s="21">
        <f>A245&amp;D245</f>
        <v>455</v>
      </c>
      <c r="F245" s="57"/>
      <c r="G245" s="58"/>
      <c r="H245" s="58"/>
      <c r="I245" s="58"/>
      <c r="J245" s="58"/>
      <c r="K245" s="58"/>
      <c r="L245" s="58"/>
      <c r="M245" s="59"/>
      <c r="N245" s="22">
        <v>0</v>
      </c>
      <c r="O245" s="22">
        <f>8*70</f>
        <v>560</v>
      </c>
      <c r="P245" s="22">
        <f>8*350</f>
        <v>2800</v>
      </c>
      <c r="Q245" s="22">
        <f>8*340</f>
        <v>2720</v>
      </c>
      <c r="R245" s="22">
        <f>8*430</f>
        <v>3440</v>
      </c>
      <c r="S245" s="24">
        <v>0</v>
      </c>
      <c r="T245" s="24"/>
      <c r="U245" s="24"/>
      <c r="V245" s="24"/>
      <c r="W245" s="24"/>
      <c r="X245" s="24"/>
      <c r="Y245" s="24"/>
      <c r="Z245" s="24"/>
      <c r="AA245" s="24"/>
      <c r="AB245" s="24"/>
      <c r="AC245" s="24"/>
      <c r="AD245" s="24"/>
    </row>
    <row r="246" ht="12.7" customHeight="1">
      <c r="A246" t="s" s="18">
        <v>451</v>
      </c>
      <c r="B246" s="19">
        <v>500021</v>
      </c>
      <c r="C246" t="s" s="20">
        <v>452</v>
      </c>
      <c r="D246" t="s" s="21">
        <v>27</v>
      </c>
      <c r="E246" t="s" s="21">
        <f>A246&amp;D246</f>
        <v>456</v>
      </c>
      <c r="F246" s="60"/>
      <c r="G246" s="61"/>
      <c r="H246" s="61"/>
      <c r="I246" s="32"/>
      <c r="J246" s="32"/>
      <c r="K246" s="32"/>
      <c r="L246" s="32"/>
      <c r="M246" s="33"/>
      <c r="N246" s="22">
        <f>N245</f>
        <v>0</v>
      </c>
      <c r="O246" s="22">
        <f>O245</f>
        <v>560</v>
      </c>
      <c r="P246" s="22">
        <f>P245</f>
        <v>2800</v>
      </c>
      <c r="Q246" s="22">
        <f>Q245</f>
        <v>2720</v>
      </c>
      <c r="R246" s="22">
        <f>R245</f>
        <v>3440</v>
      </c>
      <c r="S246" s="24"/>
      <c r="T246" s="24"/>
      <c r="U246" s="24"/>
      <c r="V246" s="24"/>
      <c r="W246" s="24"/>
      <c r="X246" s="24"/>
      <c r="Y246" s="24"/>
      <c r="Z246" s="24"/>
      <c r="AA246" s="24"/>
      <c r="AB246" s="24"/>
      <c r="AC246" s="24"/>
      <c r="AD246" s="24"/>
    </row>
    <row r="247" ht="12.7" customHeight="1">
      <c r="A247" t="s" s="18">
        <v>451</v>
      </c>
      <c r="B247" s="19">
        <v>500021</v>
      </c>
      <c r="C247" t="s" s="20">
        <v>452</v>
      </c>
      <c r="D247" t="s" s="21">
        <v>29</v>
      </c>
      <c r="E247" t="s" s="21">
        <f>A247&amp;D247</f>
        <v>457</v>
      </c>
      <c r="F247" s="60"/>
      <c r="G247" s="87"/>
      <c r="H247" s="62"/>
      <c r="I247" s="22">
        <v>0</v>
      </c>
      <c r="J247" s="22">
        <f>IF((I247+J246-(J243-J244)-J251)&lt;0,0,(I247+J246-(J243-J244)-J251))</f>
        <v>0</v>
      </c>
      <c r="K247" s="22">
        <f>IF((J247+K246-(K243-K244)-K251)&lt;0,0,(J247+K246-(K243-K244)-K251))</f>
        <v>0</v>
      </c>
      <c r="L247" s="22">
        <f>IF((K247+L246-(L243-L244)-L251)&lt;0,0,(K247+L246-(L243-L244)-L251))</f>
        <v>0</v>
      </c>
      <c r="M247" s="22">
        <f>IF((L247+M246-(M243-M244)-M251)&lt;0,0,(L247+M246-(M243-M244)-M251))</f>
        <v>0</v>
      </c>
      <c r="N247" s="22">
        <f>IF((M247+N246-(N243-N244)-N251)&lt;0,0,(M247+N246-(N243-N244)-N251))</f>
        <v>0</v>
      </c>
      <c r="O247" s="22">
        <f>IF((N247+O246-(O243-O244)-O251)&lt;0,0,(N247+O246-(O243-O244)-O251))</f>
        <v>560</v>
      </c>
      <c r="P247" s="22">
        <f>IF((O247+P246-(P243-P244)-P251)&lt;0,0,(O247+P246-(P243-P244)-P251))</f>
        <v>1968</v>
      </c>
      <c r="Q247" s="22">
        <f>IF((P247+Q246-(Q243-Q244)-Q251)&lt;0,0,(P247+Q246-(Q243-Q244)-Q251))</f>
        <v>2368</v>
      </c>
      <c r="R247" s="22">
        <f>IF((Q247+R246-(R243-R244)-R251)&lt;0,0,(Q247+R246-(R243-R244)-R251))</f>
        <v>2487.616</v>
      </c>
      <c r="S247" s="22"/>
      <c r="T247" s="22"/>
      <c r="U247" s="22"/>
      <c r="V247" s="22"/>
      <c r="W247" s="22"/>
      <c r="X247" s="22"/>
      <c r="Y247" s="22"/>
      <c r="Z247" s="22"/>
      <c r="AA247" s="22"/>
      <c r="AB247" s="22"/>
      <c r="AC247" s="22"/>
      <c r="AD247" s="22"/>
    </row>
    <row r="248" ht="12.7" customHeight="1">
      <c r="A248" t="s" s="18">
        <v>451</v>
      </c>
      <c r="B248" s="19">
        <v>500021</v>
      </c>
      <c r="C248" t="s" s="20">
        <v>452</v>
      </c>
      <c r="D248" t="s" s="21">
        <v>31</v>
      </c>
      <c r="E248" t="s" s="21">
        <f>A248&amp;D248</f>
        <v>458</v>
      </c>
      <c r="F248" s="31"/>
      <c r="G248" s="89"/>
      <c r="H248" s="33"/>
      <c r="I248" s="22">
        <v>0</v>
      </c>
      <c r="J248" s="48"/>
      <c r="K248" s="48"/>
      <c r="L248" s="48"/>
      <c r="M248" s="48"/>
      <c r="N248" s="48"/>
      <c r="O248" s="48"/>
      <c r="P248" s="48"/>
      <c r="Q248" s="48"/>
      <c r="R248" s="48"/>
      <c r="S248" s="22"/>
      <c r="T248" s="22"/>
      <c r="U248" s="22"/>
      <c r="V248" s="22"/>
      <c r="W248" s="22"/>
      <c r="X248" s="22"/>
      <c r="Y248" s="22"/>
      <c r="Z248" s="22"/>
      <c r="AA248" s="22"/>
      <c r="AB248" s="22"/>
      <c r="AC248" s="22"/>
      <c r="AD248" s="22"/>
    </row>
    <row r="249" ht="12.7" customHeight="1">
      <c r="A249" t="s" s="18">
        <v>451</v>
      </c>
      <c r="B249" s="19">
        <v>500021</v>
      </c>
      <c r="C249" t="s" s="20">
        <v>452</v>
      </c>
      <c r="D249" t="s" s="21">
        <v>33</v>
      </c>
      <c r="E249" t="s" s="21">
        <f>A249&amp;D249</f>
        <v>459</v>
      </c>
      <c r="F249" s="22">
        <v>0</v>
      </c>
      <c r="G249" s="22">
        <v>0</v>
      </c>
      <c r="H249" s="22">
        <v>0</v>
      </c>
      <c r="I249" s="22">
        <v>0</v>
      </c>
      <c r="J249" s="22">
        <f>IF((I247+J246-(J243-J244)-J251)&gt;0,0,(I247+J246-(J243-J244)-J251))</f>
        <v>0</v>
      </c>
      <c r="K249" s="22">
        <f>IF((J247+K246-(K243-K244)-K251)&gt;0,0,(J247+K246-(K243-K244)-K251))</f>
        <v>0</v>
      </c>
      <c r="L249" s="22">
        <f>IF((K247+L246-(L243-L244)-L251)&gt;0,0,(K247+L246-(L243-L244)-L251))</f>
        <v>0</v>
      </c>
      <c r="M249" s="22">
        <f>IF((L247+M246-(M243-M244)-M251)&gt;0,0,(L247+M246-(M243-M244)-M251))</f>
        <v>0</v>
      </c>
      <c r="N249" s="22">
        <f>IF((M247+N246-(N243-N244)-N251)&gt;0,0,(M247+N246-(N243-N244)-N251))</f>
        <v>0</v>
      </c>
      <c r="O249" s="22">
        <f>IF((N247+O246-(O243-O244)-O251)&gt;0,0,(N247+O246-(O243-O244)-O251))</f>
        <v>0</v>
      </c>
      <c r="P249" s="22">
        <f>IF((O247+P246-(P243-P244)-P251)&gt;0,0,(O247+P246-(P243-P244)-P251))</f>
        <v>0</v>
      </c>
      <c r="Q249" s="22">
        <f>IF((P247+Q246-(Q243-Q244)-Q251)&gt;0,0,(P247+Q246-(Q243-Q244)-Q251))</f>
        <v>0</v>
      </c>
      <c r="R249" s="22">
        <f>IF((Q247+R246-(R243-R244)-R251)&gt;0,0,(Q247+R246-(R243-R244)-R251))</f>
        <v>0</v>
      </c>
      <c r="S249" s="24">
        <f>IF((R247+S246-(S243-S244)-S251)&gt;0,0,(R247+S246-(S243-S244)-S251))</f>
        <v>-1198.784</v>
      </c>
      <c r="T249" s="24"/>
      <c r="U249" s="24"/>
      <c r="V249" s="24"/>
      <c r="W249" s="24"/>
      <c r="X249" s="24"/>
      <c r="Y249" s="24"/>
      <c r="Z249" s="24"/>
      <c r="AA249" s="24"/>
      <c r="AB249" s="24"/>
      <c r="AC249" s="24"/>
      <c r="AD249" s="24"/>
    </row>
    <row r="250" ht="12.7" customHeight="1">
      <c r="A250" t="s" s="18">
        <v>451</v>
      </c>
      <c r="B250" s="19">
        <v>500021</v>
      </c>
      <c r="C250" t="s" s="20">
        <v>452</v>
      </c>
      <c r="D250" t="s" s="21">
        <v>35</v>
      </c>
      <c r="E250" t="s" s="21">
        <f>A250&amp;D250</f>
        <v>460</v>
      </c>
      <c r="F250" s="46"/>
      <c r="G250" s="49"/>
      <c r="H250" s="47"/>
      <c r="I250" s="22">
        <v>0</v>
      </c>
      <c r="J250" s="22">
        <v>0</v>
      </c>
      <c r="K250" s="22">
        <v>0</v>
      </c>
      <c r="L250" s="22">
        <v>0</v>
      </c>
      <c r="M250" s="22">
        <v>0</v>
      </c>
      <c r="N250" s="46"/>
      <c r="O250" s="58"/>
      <c r="P250" s="58"/>
      <c r="Q250" s="58"/>
      <c r="R250" s="59"/>
      <c r="S250" s="24"/>
      <c r="T250" s="24"/>
      <c r="U250" s="24"/>
      <c r="V250" s="24"/>
      <c r="W250" s="24"/>
      <c r="X250" s="24"/>
      <c r="Y250" s="24"/>
      <c r="Z250" s="24"/>
      <c r="AA250" s="24"/>
      <c r="AB250" s="24"/>
      <c r="AC250" s="24"/>
      <c r="AD250" s="24"/>
    </row>
    <row r="251" ht="12.7" customHeight="1">
      <c r="A251" t="s" s="18">
        <v>451</v>
      </c>
      <c r="B251" s="19">
        <v>500021</v>
      </c>
      <c r="C251" t="s" s="20">
        <v>452</v>
      </c>
      <c r="D251" t="s" s="21">
        <v>37</v>
      </c>
      <c r="E251" t="s" s="21">
        <f>A251&amp;D251</f>
        <v>461</v>
      </c>
      <c r="F251" s="22">
        <v>0</v>
      </c>
      <c r="G251" s="22">
        <v>0</v>
      </c>
      <c r="H251" s="30">
        <v>0</v>
      </c>
      <c r="I251" s="22">
        <f>IF(I250&gt;0,IF(I250-(I243-I244)&gt;0,(I250-(I243-I244)),0),0)</f>
        <v>0</v>
      </c>
      <c r="J251" s="22">
        <f>IF(J250&gt;0,IF(J250-(J243-J244)&gt;0,(J250-(J243-J244)),0),0)</f>
        <v>0</v>
      </c>
      <c r="K251" s="22">
        <f>IF(K250&gt;0,IF(K250-(K243-K244)&gt;0,(K250-(K243-K244)),0),0)</f>
        <v>0</v>
      </c>
      <c r="L251" s="22">
        <f>IF(L250&gt;0,IF(L250-(L243-L244)&gt;0,(L250-(L243-L244)),0),0)</f>
        <v>0</v>
      </c>
      <c r="M251" s="22">
        <v>0</v>
      </c>
      <c r="N251" s="22">
        <v>0</v>
      </c>
      <c r="O251" s="31"/>
      <c r="P251" s="32"/>
      <c r="Q251" s="32"/>
      <c r="R251" s="33"/>
      <c r="S251" s="24"/>
      <c r="T251" s="24"/>
      <c r="U251" s="24"/>
      <c r="V251" s="24"/>
      <c r="W251" s="24"/>
      <c r="X251" s="24"/>
      <c r="Y251" s="24"/>
      <c r="Z251" s="24"/>
      <c r="AA251" s="24"/>
      <c r="AB251" s="24"/>
      <c r="AC251" s="24"/>
      <c r="AD251" s="24"/>
    </row>
    <row r="252" ht="12.7" customHeight="1">
      <c r="A252" t="s" s="34">
        <v>451</v>
      </c>
      <c r="B252" s="35">
        <v>500021</v>
      </c>
      <c r="C252" t="s" s="36">
        <v>452</v>
      </c>
      <c r="D252" t="s" s="37">
        <v>39</v>
      </c>
      <c r="E252" t="s" s="37">
        <f>A252&amp;D252</f>
        <v>462</v>
      </c>
      <c r="F252" s="38">
        <f>IFERROR(F248/AVERAGE(G243:H243)*30,0)</f>
        <v>0</v>
      </c>
      <c r="G252" s="38">
        <f>IFERROR(G248/AVERAGE(H243:I243)*30,0)</f>
        <v>0</v>
      </c>
      <c r="H252" s="38">
        <f>IFERROR(H247/AVERAGE(I243:J243)*30,0)</f>
        <v>0</v>
      </c>
      <c r="I252" s="38">
        <f>IFERROR(I247/AVERAGE(J243:K243)*30,0)</f>
        <v>0</v>
      </c>
      <c r="J252" s="38">
        <f>IFERROR(J247/AVERAGE(K243:L243)*30,0)</f>
        <v>0</v>
      </c>
      <c r="K252" s="38">
        <f>IFERROR(K247/AVERAGE(L243:M243)*30,0)</f>
        <v>0</v>
      </c>
      <c r="L252" s="38">
        <f>IFERROR(L247/AVERAGE(M243:M243)*30,0)</f>
        <v>0</v>
      </c>
      <c r="M252" s="38">
        <v>0</v>
      </c>
      <c r="N252" s="38">
        <f>IFERROR(N247/AVERAGE(O243:P243)*30,0)</f>
        <v>0</v>
      </c>
      <c r="O252" s="38">
        <f>IFERROR(O247/AVERAGE(P243:Q243)*30,0)</f>
        <v>9.051724137931034</v>
      </c>
      <c r="P252" s="38">
        <f>IFERROR(P247/AVERAGE(Q243:R243)*30,0)</f>
        <v>20.93474486843449</v>
      </c>
      <c r="Q252" s="38">
        <f>IFERROR(Q247/AVERAGE(R243:S243)*30,0)</f>
        <v>20.27749107151013</v>
      </c>
      <c r="R252" s="38">
        <f>IFERROR(R247/AVERAGE(S243:T243)*30,0)</f>
        <v>20.24427083333333</v>
      </c>
      <c r="S252" s="38">
        <f>IFERROR(S247/AVERAGE(T243:U243)*30,0)</f>
        <v>0</v>
      </c>
      <c r="T252" s="38"/>
      <c r="U252" s="38"/>
      <c r="V252" s="38"/>
      <c r="W252" s="38"/>
      <c r="X252" s="38"/>
      <c r="Y252" s="38"/>
      <c r="Z252" s="38"/>
      <c r="AA252" s="38"/>
      <c r="AB252" s="38"/>
      <c r="AC252" s="38"/>
      <c r="AD252" s="38"/>
    </row>
    <row r="253" ht="12" customHeight="1">
      <c r="A253" s="39"/>
      <c r="B253" s="40"/>
      <c r="C253" s="40"/>
      <c r="D253" s="40"/>
      <c r="E253" s="40"/>
      <c r="F253" s="40"/>
      <c r="G253" t="s" s="90">
        <v>2</v>
      </c>
      <c r="H253" s="91"/>
      <c r="I253" s="91"/>
      <c r="J253" s="91"/>
      <c r="K253" s="91"/>
      <c r="L253" s="91"/>
      <c r="M253" s="91"/>
      <c r="N253" s="91"/>
      <c r="O253" s="91"/>
      <c r="P253" s="91"/>
      <c r="Q253" s="91"/>
      <c r="R253" s="91"/>
      <c r="S253" t="s" s="90">
        <v>3</v>
      </c>
      <c r="T253" s="91"/>
      <c r="U253" s="91"/>
      <c r="V253" s="91"/>
      <c r="W253" s="91"/>
      <c r="X253" s="91"/>
      <c r="Y253" s="91"/>
      <c r="Z253" s="91"/>
      <c r="AA253" s="91"/>
      <c r="AB253" s="91"/>
      <c r="AC253" s="91"/>
      <c r="AD253" s="92"/>
    </row>
    <row r="254" ht="13.5" customHeight="1">
      <c r="A254" t="s" s="8">
        <v>4</v>
      </c>
      <c r="B254" t="s" s="9">
        <v>5</v>
      </c>
      <c r="C254" t="s" s="9">
        <v>6</v>
      </c>
      <c r="D254" t="s" s="9">
        <v>7</v>
      </c>
      <c r="E254" s="10"/>
      <c r="F254" t="s" s="9">
        <v>18</v>
      </c>
      <c r="G254" t="s" s="9">
        <v>8</v>
      </c>
      <c r="H254" t="s" s="9">
        <v>9</v>
      </c>
      <c r="I254" t="s" s="9">
        <v>10</v>
      </c>
      <c r="J254" t="s" s="9">
        <v>11</v>
      </c>
      <c r="K254" t="s" s="9">
        <v>1</v>
      </c>
      <c r="L254" t="s" s="9">
        <v>12</v>
      </c>
      <c r="M254" t="s" s="9">
        <v>13</v>
      </c>
      <c r="N254" t="s" s="98">
        <v>14</v>
      </c>
      <c r="O254" t="s" s="98">
        <v>15</v>
      </c>
      <c r="P254" t="s" s="98">
        <v>16</v>
      </c>
      <c r="Q254" t="s" s="98">
        <v>17</v>
      </c>
      <c r="R254" t="s" s="98">
        <v>18</v>
      </c>
      <c r="S254" t="s" s="9">
        <v>8</v>
      </c>
      <c r="T254" t="s" s="9">
        <v>9</v>
      </c>
      <c r="U254" t="s" s="9">
        <v>10</v>
      </c>
      <c r="V254" t="s" s="9">
        <v>11</v>
      </c>
      <c r="W254" t="s" s="9">
        <v>1</v>
      </c>
      <c r="X254" t="s" s="9">
        <v>12</v>
      </c>
      <c r="Y254" t="s" s="9">
        <v>13</v>
      </c>
      <c r="Z254" t="s" s="9">
        <v>14</v>
      </c>
      <c r="AA254" t="s" s="9">
        <v>15</v>
      </c>
      <c r="AB254" t="s" s="9">
        <v>16</v>
      </c>
      <c r="AC254" t="s" s="9">
        <v>17</v>
      </c>
      <c r="AD254" t="s" s="11">
        <v>18</v>
      </c>
    </row>
    <row r="255" ht="12.7" customHeight="1">
      <c r="A255" t="s" s="12">
        <v>463</v>
      </c>
      <c r="B255" s="13">
        <v>400092</v>
      </c>
      <c r="C255" t="s" s="14">
        <v>464</v>
      </c>
      <c r="D255" t="s" s="15">
        <v>21</v>
      </c>
      <c r="E255" t="s" s="15">
        <f>A255&amp;D255</f>
        <v>465</v>
      </c>
      <c r="F255" s="99"/>
      <c r="G255" s="97"/>
      <c r="H255" s="97"/>
      <c r="I255" s="97"/>
      <c r="J255" s="84"/>
      <c r="K255" s="84"/>
      <c r="L255" s="84"/>
      <c r="M255" s="85"/>
      <c r="N255" s="22">
        <v>0</v>
      </c>
      <c r="O255" s="22">
        <v>5800</v>
      </c>
      <c r="P255" s="22">
        <v>25984</v>
      </c>
      <c r="Q255" s="22">
        <v>15080</v>
      </c>
      <c r="R255" s="22">
        <v>2320</v>
      </c>
      <c r="S255" s="17">
        <v>15381.6</v>
      </c>
      <c r="T255" s="17"/>
      <c r="U255" s="17"/>
      <c r="V255" s="17"/>
      <c r="W255" s="17"/>
      <c r="X255" s="17"/>
      <c r="Y255" s="17"/>
      <c r="Z255" s="17"/>
      <c r="AA255" s="17"/>
      <c r="AB255" s="17"/>
      <c r="AC255" s="17"/>
      <c r="AD255" s="17"/>
    </row>
    <row r="256" ht="12.7" customHeight="1">
      <c r="A256" t="s" s="18">
        <v>463</v>
      </c>
      <c r="B256" s="19">
        <v>400092</v>
      </c>
      <c r="C256" t="s" s="20">
        <v>464</v>
      </c>
      <c r="D256" t="s" s="21">
        <v>23</v>
      </c>
      <c r="E256" t="s" s="21">
        <f>A256&amp;D256</f>
        <v>466</v>
      </c>
      <c r="F256" s="88"/>
      <c r="G256" s="87"/>
      <c r="H256" s="61"/>
      <c r="I256" s="62"/>
      <c r="J256" s="86">
        <f>INDEX('Sales Actual'!$H$5:$H$66,MATCH($A256,'Sales Actual'!$G$5:$G$66,0))</f>
        <v>0</v>
      </c>
      <c r="K256" s="86">
        <f>INDEX('Sales Actual'!$J$5:$J$66,MATCH($A256,'Sales Actual'!$I$5:$I$66,0))</f>
        <v>0</v>
      </c>
      <c r="L256" s="86">
        <f>INDEX('Sales Actual'!$L$5:$L$66,MATCH($A256,'Sales Actual'!$K$5:$K$66,0))</f>
        <v>0</v>
      </c>
      <c r="M256" s="86">
        <f>INDEX('Sales Actual'!$N$4:$N$65,MATCH($A256,'Sales Actual'!$M$4:$M$65,0))</f>
        <v>0</v>
      </c>
      <c r="N256" s="86">
        <f>INDEX('Sales Actual'!$P$4:$P$64,MATCH($A256,'Sales Actual'!$O$4:$O$65,0))</f>
        <v>0</v>
      </c>
      <c r="O256" s="86">
        <f>INDEX('Sales Actual'!$R$4:$R$65,MATCH($A256,'Sales Actual'!$Q$4:$Q$65,0))</f>
        <v>0</v>
      </c>
      <c r="P256" s="86">
        <f>INDEX('Sales Actual'!$T$4:$T$66,MATCH($A256,'Sales Actual'!$S$4:$S$66,0))</f>
        <v>0</v>
      </c>
      <c r="Q256" s="86">
        <f>INDEX('Sales Actual'!$V$4:$V$65,MATCH($A256,'Sales Actual'!$U$4:$U$65,0))</f>
        <v>0</v>
      </c>
      <c r="R256" s="86">
        <f>INDEX('Sales Actual'!$X$4:$X$65,MATCH($A256,'Sales Actual'!$W$4:$W$65,0))</f>
        <v>0</v>
      </c>
      <c r="S256" s="22"/>
      <c r="T256" s="22"/>
      <c r="U256" s="22"/>
      <c r="V256" s="22"/>
      <c r="W256" s="22"/>
      <c r="X256" s="22"/>
      <c r="Y256" s="22"/>
      <c r="Z256" s="22"/>
      <c r="AA256" s="22"/>
      <c r="AB256" s="22"/>
      <c r="AC256" s="22"/>
      <c r="AD256" s="22"/>
    </row>
    <row r="257" ht="12.7" customHeight="1">
      <c r="A257" t="s" s="18">
        <v>463</v>
      </c>
      <c r="B257" s="19">
        <v>400092</v>
      </c>
      <c r="C257" t="s" s="20">
        <v>464</v>
      </c>
      <c r="D257" t="s" s="21">
        <v>25</v>
      </c>
      <c r="E257" t="s" s="21">
        <f>A257&amp;D257</f>
        <v>467</v>
      </c>
      <c r="F257" s="57"/>
      <c r="G257" s="58"/>
      <c r="H257" s="61"/>
      <c r="I257" s="61"/>
      <c r="J257" s="58"/>
      <c r="K257" s="58"/>
      <c r="L257" s="58"/>
      <c r="M257" s="59"/>
      <c r="N257" s="22">
        <v>0</v>
      </c>
      <c r="O257" s="22">
        <f>80*20</f>
        <v>1600</v>
      </c>
      <c r="P257" s="22">
        <f>80*400</f>
        <v>32000</v>
      </c>
      <c r="Q257" s="22">
        <f>80*180</f>
        <v>14400</v>
      </c>
      <c r="R257" s="22">
        <f>80*100</f>
        <v>8000</v>
      </c>
      <c r="S257" s="24">
        <v>0</v>
      </c>
      <c r="T257" s="24"/>
      <c r="U257" s="24"/>
      <c r="V257" s="24"/>
      <c r="W257" s="24"/>
      <c r="X257" s="24"/>
      <c r="Y257" s="24"/>
      <c r="Z257" s="24"/>
      <c r="AA257" s="24"/>
      <c r="AB257" s="24"/>
      <c r="AC257" s="24"/>
      <c r="AD257" s="24"/>
    </row>
    <row r="258" ht="12.7" customHeight="1">
      <c r="A258" t="s" s="18">
        <v>463</v>
      </c>
      <c r="B258" s="19">
        <v>400092</v>
      </c>
      <c r="C258" t="s" s="20">
        <v>464</v>
      </c>
      <c r="D258" t="s" s="21">
        <v>27</v>
      </c>
      <c r="E258" t="s" s="21">
        <f>A258&amp;D258</f>
        <v>468</v>
      </c>
      <c r="F258" s="60"/>
      <c r="G258" s="61"/>
      <c r="H258" s="61"/>
      <c r="I258" s="32"/>
      <c r="J258" s="32"/>
      <c r="K258" s="32"/>
      <c r="L258" s="32"/>
      <c r="M258" s="33"/>
      <c r="N258" s="22">
        <f>N257</f>
        <v>0</v>
      </c>
      <c r="O258" s="22">
        <f>80*21</f>
        <v>1680</v>
      </c>
      <c r="P258" s="22">
        <f>P257</f>
        <v>32000</v>
      </c>
      <c r="Q258" s="22">
        <f>Q257</f>
        <v>14400</v>
      </c>
      <c r="R258" s="22">
        <f>R257</f>
        <v>8000</v>
      </c>
      <c r="S258" s="24"/>
      <c r="T258" s="24"/>
      <c r="U258" s="24"/>
      <c r="V258" s="24"/>
      <c r="W258" s="24"/>
      <c r="X258" s="24"/>
      <c r="Y258" s="24"/>
      <c r="Z258" s="24"/>
      <c r="AA258" s="24"/>
      <c r="AB258" s="24"/>
      <c r="AC258" s="24"/>
      <c r="AD258" s="24"/>
    </row>
    <row r="259" ht="12.7" customHeight="1">
      <c r="A259" t="s" s="18">
        <v>463</v>
      </c>
      <c r="B259" s="19">
        <v>400092</v>
      </c>
      <c r="C259" t="s" s="20">
        <v>464</v>
      </c>
      <c r="D259" t="s" s="21">
        <v>29</v>
      </c>
      <c r="E259" t="s" s="21">
        <f>A259&amp;D259</f>
        <v>469</v>
      </c>
      <c r="F259" s="60"/>
      <c r="G259" s="87"/>
      <c r="H259" s="62"/>
      <c r="I259" s="22">
        <f>H260+I258-(I255-I256)-I263</f>
        <v>0</v>
      </c>
      <c r="J259" s="22">
        <f>IF((I259+J258-(J255-J256)-J263)&lt;0,0,(I259+J258-(J255-J256)-J263))</f>
        <v>0</v>
      </c>
      <c r="K259" s="22">
        <f>IF((J259+K258-(K255-K256)-K263)&lt;0,0,(J259+K258-(K255-K256)-K263))</f>
        <v>0</v>
      </c>
      <c r="L259" s="22">
        <f>IF((K259+L258-(L255-L256)-L263)&lt;0,0,(K259+L258-(L255-L256)-L263))</f>
        <v>0</v>
      </c>
      <c r="M259" s="22">
        <f>IF((L259+M258-(M255-M256)-M263)&lt;0,0,(L259+M258-(M255-M256)-M263))</f>
        <v>0</v>
      </c>
      <c r="N259" s="22">
        <f>IF((M259+N258-(N255-N256)-N263)&lt;0,0,(M259+N258-(N255-N256)-N263))</f>
        <v>0</v>
      </c>
      <c r="O259" s="22">
        <f>IF((N259+O258-(O255-O256)-O263)&lt;0,0,(N259+O258-(O255-O256)-O263))</f>
        <v>0</v>
      </c>
      <c r="P259" s="22">
        <f>IF((O259+P258-(P255-P256)-P263)&lt;0,0,(O259+P258-(P255-P256)-P263))</f>
        <v>6016</v>
      </c>
      <c r="Q259" s="22">
        <f>IF((P259+Q258-(Q255-Q256)-Q263)&lt;0,0,(P259+Q258-(Q255-Q256)-Q263))</f>
        <v>5336</v>
      </c>
      <c r="R259" s="22">
        <f>IF((Q259+R258-(R255-R256)-R263)&lt;0,0,(Q259+R258-(R255-R256)-R263))</f>
        <v>11016</v>
      </c>
      <c r="S259" s="22"/>
      <c r="T259" s="22"/>
      <c r="U259" s="22"/>
      <c r="V259" s="22"/>
      <c r="W259" s="22"/>
      <c r="X259" s="22"/>
      <c r="Y259" s="22"/>
      <c r="Z259" s="22"/>
      <c r="AA259" s="22"/>
      <c r="AB259" s="22"/>
      <c r="AC259" s="22"/>
      <c r="AD259" s="22"/>
    </row>
    <row r="260" ht="12.7" customHeight="1">
      <c r="A260" t="s" s="18">
        <v>463</v>
      </c>
      <c r="B260" s="19">
        <v>400092</v>
      </c>
      <c r="C260" t="s" s="20">
        <v>464</v>
      </c>
      <c r="D260" t="s" s="21">
        <v>31</v>
      </c>
      <c r="E260" t="s" s="21">
        <f>A260&amp;D260</f>
        <v>470</v>
      </c>
      <c r="F260" s="31"/>
      <c r="G260" s="89"/>
      <c r="H260" s="33"/>
      <c r="I260" s="22">
        <v>0</v>
      </c>
      <c r="J260" s="48"/>
      <c r="K260" s="48"/>
      <c r="L260" s="48"/>
      <c r="M260" s="48"/>
      <c r="N260" s="48"/>
      <c r="O260" s="48"/>
      <c r="P260" s="48"/>
      <c r="Q260" s="48"/>
      <c r="R260" s="48"/>
      <c r="S260" s="22"/>
      <c r="T260" s="22"/>
      <c r="U260" s="22"/>
      <c r="V260" s="22"/>
      <c r="W260" s="22"/>
      <c r="X260" s="22"/>
      <c r="Y260" s="22"/>
      <c r="Z260" s="22"/>
      <c r="AA260" s="22"/>
      <c r="AB260" s="22"/>
      <c r="AC260" s="22"/>
      <c r="AD260" s="22"/>
    </row>
    <row r="261" ht="12.7" customHeight="1">
      <c r="A261" t="s" s="18">
        <v>463</v>
      </c>
      <c r="B261" s="19">
        <v>400092</v>
      </c>
      <c r="C261" t="s" s="20">
        <v>464</v>
      </c>
      <c r="D261" t="s" s="21">
        <v>33</v>
      </c>
      <c r="E261" t="s" s="21">
        <f>A261&amp;D261</f>
        <v>471</v>
      </c>
      <c r="F261" s="22">
        <v>0</v>
      </c>
      <c r="G261" s="22">
        <v>0</v>
      </c>
      <c r="H261" s="22">
        <v>0</v>
      </c>
      <c r="I261" s="22">
        <v>0</v>
      </c>
      <c r="J261" s="22">
        <f>IF((I259+J258-(J255-J256)-J263)&gt;0,0,(I259+J258-(J255-J256)-J263))</f>
        <v>0</v>
      </c>
      <c r="K261" s="22">
        <f>IF((J259+K258-(K255-K256)-K263)&gt;0,0,(J259+K258-(K255-K256)-K263))</f>
        <v>0</v>
      </c>
      <c r="L261" s="22">
        <f>IF((K259+L258-(L255-L256)-L263)&gt;0,0,(K259+L258-(L255-L256)-L263))</f>
        <v>0</v>
      </c>
      <c r="M261" s="22">
        <f>IF((L259+M258-(M255-M256)-M263)&gt;0,0,(L259+M258-(M255-M256)-M263))</f>
        <v>0</v>
      </c>
      <c r="N261" s="22">
        <f>IF((M259+N258-(N255-N256)-N263)&gt;0,0,(M259+N258-(N255-N256)-N263))</f>
        <v>0</v>
      </c>
      <c r="O261" s="22">
        <f>IF((N259+O258-(O255-O256)-O263)&gt;0,0,(N259+O258-(O255-O256)-O263))</f>
        <v>-4120</v>
      </c>
      <c r="P261" s="22">
        <f>IF((O259+P258-(P255-P256)-P263)&gt;0,0,(O259+P258-(P255-P256)-P263))</f>
        <v>0</v>
      </c>
      <c r="Q261" s="22">
        <f>IF((P259+Q258-(Q255-Q256)-Q263)&gt;0,0,(P259+Q258-(Q255-Q256)-Q263))</f>
        <v>0</v>
      </c>
      <c r="R261" s="22">
        <f>IF((Q259+R258-(R255-R256)-R263)&gt;0,0,(Q259+R258-(R255-R256)-R263))</f>
        <v>0</v>
      </c>
      <c r="S261" s="24">
        <f>IF((R259+S258-(S255-S256)-S263)&gt;0,0,(R259+S258-(S255-S256)-S263))</f>
        <v>-4365.6</v>
      </c>
      <c r="T261" s="24"/>
      <c r="U261" s="24"/>
      <c r="V261" s="24"/>
      <c r="W261" s="24"/>
      <c r="X261" s="24"/>
      <c r="Y261" s="24"/>
      <c r="Z261" s="24"/>
      <c r="AA261" s="24"/>
      <c r="AB261" s="24"/>
      <c r="AC261" s="24"/>
      <c r="AD261" s="24"/>
    </row>
    <row r="262" ht="12.7" customHeight="1">
      <c r="A262" t="s" s="18">
        <v>463</v>
      </c>
      <c r="B262" s="19">
        <v>400092</v>
      </c>
      <c r="C262" t="s" s="20">
        <v>464</v>
      </c>
      <c r="D262" t="s" s="21">
        <v>35</v>
      </c>
      <c r="E262" t="s" s="21">
        <f>A262&amp;D262</f>
        <v>472</v>
      </c>
      <c r="F262" s="46"/>
      <c r="G262" s="49"/>
      <c r="H262" s="47"/>
      <c r="I262" s="22">
        <v>0</v>
      </c>
      <c r="J262" s="22">
        <v>0</v>
      </c>
      <c r="K262" s="22">
        <v>0</v>
      </c>
      <c r="L262" s="22">
        <v>0</v>
      </c>
      <c r="M262" s="22">
        <v>0</v>
      </c>
      <c r="N262" s="46"/>
      <c r="O262" s="58"/>
      <c r="P262" s="58"/>
      <c r="Q262" s="58"/>
      <c r="R262" s="59"/>
      <c r="S262" s="24"/>
      <c r="T262" s="24"/>
      <c r="U262" s="24"/>
      <c r="V262" s="24"/>
      <c r="W262" s="24"/>
      <c r="X262" s="24"/>
      <c r="Y262" s="24"/>
      <c r="Z262" s="24"/>
      <c r="AA262" s="24"/>
      <c r="AB262" s="24"/>
      <c r="AC262" s="24"/>
      <c r="AD262" s="24"/>
    </row>
    <row r="263" ht="12.7" customHeight="1">
      <c r="A263" t="s" s="18">
        <v>463</v>
      </c>
      <c r="B263" s="19">
        <v>400092</v>
      </c>
      <c r="C263" t="s" s="20">
        <v>464</v>
      </c>
      <c r="D263" t="s" s="21">
        <v>37</v>
      </c>
      <c r="E263" t="s" s="21">
        <f>A263&amp;D263</f>
        <v>473</v>
      </c>
      <c r="F263" s="22">
        <v>0</v>
      </c>
      <c r="G263" s="22">
        <v>0</v>
      </c>
      <c r="H263" s="30">
        <v>0</v>
      </c>
      <c r="I263" s="22">
        <f>IF(I262&gt;0,IF(I262-(I255-I256)&gt;0,(I262-(I255-I256)),0),0)</f>
        <v>0</v>
      </c>
      <c r="J263" s="22">
        <f>IF(J262&gt;0,IF(J262-(J255-J256)&gt;0,(J262-(J255-J256)),0),0)</f>
        <v>0</v>
      </c>
      <c r="K263" s="22">
        <f>IF(K262&gt;0,IF(K262-(K255-K256)&gt;0,(K262-(K255-K256)),0),0)</f>
        <v>0</v>
      </c>
      <c r="L263" s="22">
        <f>IF(L262&gt;0,IF(L262-(L255-L256)&gt;0,(L262-(L255-L256)),0),0)</f>
        <v>0</v>
      </c>
      <c r="M263" s="22">
        <v>0</v>
      </c>
      <c r="N263" s="22">
        <v>0</v>
      </c>
      <c r="O263" s="31"/>
      <c r="P263" s="32"/>
      <c r="Q263" s="32"/>
      <c r="R263" s="33"/>
      <c r="S263" s="24"/>
      <c r="T263" s="24"/>
      <c r="U263" s="24"/>
      <c r="V263" s="24"/>
      <c r="W263" s="24"/>
      <c r="X263" s="24"/>
      <c r="Y263" s="24"/>
      <c r="Z263" s="24"/>
      <c r="AA263" s="24"/>
      <c r="AB263" s="24"/>
      <c r="AC263" s="24"/>
      <c r="AD263" s="24"/>
    </row>
    <row r="264" ht="12.7" customHeight="1">
      <c r="A264" t="s" s="34">
        <v>463</v>
      </c>
      <c r="B264" s="35">
        <v>400092</v>
      </c>
      <c r="C264" t="s" s="36">
        <v>464</v>
      </c>
      <c r="D264" t="s" s="37">
        <v>39</v>
      </c>
      <c r="E264" t="s" s="37">
        <f>A264&amp;D264</f>
        <v>474</v>
      </c>
      <c r="F264" s="38">
        <f>IFERROR(F260/AVERAGE(G255:H255)*30,0)</f>
        <v>0</v>
      </c>
      <c r="G264" s="38">
        <f>IFERROR(G260/AVERAGE(H255:I255)*30,0)</f>
        <v>0</v>
      </c>
      <c r="H264" s="38">
        <f>IFERROR(H259/AVERAGE(I255:J255)*30,0)</f>
        <v>0</v>
      </c>
      <c r="I264" s="38">
        <f>IFERROR(I259/AVERAGE(J255:K255)*30,0)</f>
        <v>0</v>
      </c>
      <c r="J264" s="38">
        <f>IFERROR(J259/AVERAGE(K255:L255)*30,0)</f>
        <v>0</v>
      </c>
      <c r="K264" s="38">
        <f>IFERROR(K259/AVERAGE(L255:M255)*30,0)</f>
        <v>0</v>
      </c>
      <c r="L264" s="38">
        <f>IFERROR(L259/AVERAGE(M255:M255)*30,0)</f>
        <v>0</v>
      </c>
      <c r="M264" s="38">
        <v>0</v>
      </c>
      <c r="N264" s="38">
        <f>IFERROR(N259/AVERAGE(O255:P255)*30,0)</f>
        <v>0</v>
      </c>
      <c r="O264" s="38">
        <f>IFERROR(O259/AVERAGE(P255:Q255)*30,0)</f>
        <v>0</v>
      </c>
      <c r="P264" s="38">
        <f>IFERROR(P259/AVERAGE(Q255:R255)*30,0)</f>
        <v>20.7448275862069</v>
      </c>
      <c r="Q264" s="38">
        <f>IFERROR(Q259/AVERAGE(R255:S255)*30,0)</f>
        <v>18.086500655308</v>
      </c>
      <c r="R264" s="38">
        <f>IFERROR(R259/AVERAGE(S255:T255)*30,0)</f>
        <v>21.48541114058355</v>
      </c>
      <c r="S264" s="38">
        <f>IFERROR(S259/AVERAGE(T255:U255)*30,0)</f>
        <v>0</v>
      </c>
      <c r="T264" s="38"/>
      <c r="U264" s="38"/>
      <c r="V264" s="38"/>
      <c r="W264" s="38"/>
      <c r="X264" s="38"/>
      <c r="Y264" s="38"/>
      <c r="Z264" s="38"/>
      <c r="AA264" s="38"/>
      <c r="AB264" s="38"/>
      <c r="AC264" s="38"/>
      <c r="AD264" s="38"/>
    </row>
    <row r="265" ht="12" customHeight="1">
      <c r="A265" s="39"/>
      <c r="B265" s="40"/>
      <c r="C265" s="40"/>
      <c r="D265" s="40"/>
      <c r="E265" s="40"/>
      <c r="F265" s="40"/>
      <c r="G265" t="s" s="90">
        <v>2</v>
      </c>
      <c r="H265" s="91"/>
      <c r="I265" s="91"/>
      <c r="J265" s="91"/>
      <c r="K265" s="91"/>
      <c r="L265" s="91"/>
      <c r="M265" s="91"/>
      <c r="N265" s="91"/>
      <c r="O265" s="91"/>
      <c r="P265" s="91"/>
      <c r="Q265" s="91"/>
      <c r="R265" s="91"/>
      <c r="S265" t="s" s="90">
        <v>3</v>
      </c>
      <c r="T265" s="91"/>
      <c r="U265" s="91"/>
      <c r="V265" s="91"/>
      <c r="W265" s="91"/>
      <c r="X265" s="91"/>
      <c r="Y265" s="91"/>
      <c r="Z265" s="91"/>
      <c r="AA265" s="91"/>
      <c r="AB265" s="91"/>
      <c r="AC265" s="91"/>
      <c r="AD265" s="92"/>
    </row>
    <row r="266" ht="13.5" customHeight="1">
      <c r="A266" t="s" s="8">
        <v>4</v>
      </c>
      <c r="B266" t="s" s="9">
        <v>5</v>
      </c>
      <c r="C266" t="s" s="9">
        <v>6</v>
      </c>
      <c r="D266" t="s" s="9">
        <v>7</v>
      </c>
      <c r="E266" s="10"/>
      <c r="F266" t="s" s="9">
        <v>18</v>
      </c>
      <c r="G266" t="s" s="9">
        <v>8</v>
      </c>
      <c r="H266" t="s" s="9">
        <v>9</v>
      </c>
      <c r="I266" t="s" s="9">
        <v>10</v>
      </c>
      <c r="J266" t="s" s="9">
        <v>11</v>
      </c>
      <c r="K266" t="s" s="9">
        <v>1</v>
      </c>
      <c r="L266" t="s" s="9">
        <v>12</v>
      </c>
      <c r="M266" t="s" s="9">
        <v>13</v>
      </c>
      <c r="N266" t="s" s="98">
        <v>14</v>
      </c>
      <c r="O266" t="s" s="98">
        <v>15</v>
      </c>
      <c r="P266" t="s" s="98">
        <v>16</v>
      </c>
      <c r="Q266" t="s" s="98">
        <v>17</v>
      </c>
      <c r="R266" t="s" s="98">
        <v>18</v>
      </c>
      <c r="S266" t="s" s="9">
        <v>8</v>
      </c>
      <c r="T266" t="s" s="9">
        <v>9</v>
      </c>
      <c r="U266" t="s" s="9">
        <v>10</v>
      </c>
      <c r="V266" t="s" s="9">
        <v>11</v>
      </c>
      <c r="W266" t="s" s="9">
        <v>1</v>
      </c>
      <c r="X266" t="s" s="9">
        <v>12</v>
      </c>
      <c r="Y266" t="s" s="9">
        <v>13</v>
      </c>
      <c r="Z266" t="s" s="9">
        <v>14</v>
      </c>
      <c r="AA266" t="s" s="9">
        <v>15</v>
      </c>
      <c r="AB266" t="s" s="9">
        <v>16</v>
      </c>
      <c r="AC266" t="s" s="9">
        <v>17</v>
      </c>
      <c r="AD266" t="s" s="11">
        <v>18</v>
      </c>
    </row>
    <row r="267" ht="12.7" customHeight="1">
      <c r="A267" t="s" s="12">
        <v>475</v>
      </c>
      <c r="B267" s="13">
        <v>400044</v>
      </c>
      <c r="C267" t="s" s="14">
        <v>476</v>
      </c>
      <c r="D267" t="s" s="15">
        <v>21</v>
      </c>
      <c r="E267" t="s" s="15">
        <f>A267&amp;D267</f>
        <v>477</v>
      </c>
      <c r="F267" s="99"/>
      <c r="G267" s="97"/>
      <c r="H267" s="97"/>
      <c r="I267" s="97"/>
      <c r="J267" s="84"/>
      <c r="K267" s="84"/>
      <c r="L267" s="84"/>
      <c r="M267" s="85"/>
      <c r="N267" s="22">
        <v>29000</v>
      </c>
      <c r="O267" s="22">
        <v>47560</v>
      </c>
      <c r="P267" s="22">
        <v>20146</v>
      </c>
      <c r="Q267" s="22">
        <v>35795</v>
      </c>
      <c r="R267" s="22">
        <v>35442</v>
      </c>
      <c r="S267" s="17">
        <v>44581.497</v>
      </c>
      <c r="T267" s="17"/>
      <c r="U267" s="17"/>
      <c r="V267" s="17"/>
      <c r="W267" s="17"/>
      <c r="X267" s="17"/>
      <c r="Y267" s="17"/>
      <c r="Z267" s="17"/>
      <c r="AA267" s="17"/>
      <c r="AB267" s="17"/>
      <c r="AC267" s="17"/>
      <c r="AD267" s="17"/>
    </row>
    <row r="268" ht="12.7" customHeight="1">
      <c r="A268" t="s" s="18">
        <v>475</v>
      </c>
      <c r="B268" s="19">
        <v>400044</v>
      </c>
      <c r="C268" t="s" s="20">
        <v>476</v>
      </c>
      <c r="D268" t="s" s="21">
        <v>23</v>
      </c>
      <c r="E268" t="s" s="21">
        <f>A268&amp;D268</f>
        <v>478</v>
      </c>
      <c r="F268" s="88"/>
      <c r="G268" s="87"/>
      <c r="H268" s="61"/>
      <c r="I268" s="62"/>
      <c r="J268" s="86">
        <f>INDEX('Sales Actual'!$H$5:$H$66,MATCH($A268,'Sales Actual'!$G$5:$G$66,0))</f>
        <v>0</v>
      </c>
      <c r="K268" s="86">
        <f>INDEX('Sales Actual'!$J$5:$J$66,MATCH($A268,'Sales Actual'!$I$5:$I$66,0))</f>
        <v>0</v>
      </c>
      <c r="L268" s="86">
        <f>INDEX('Sales Actual'!$L$5:$L$66,MATCH($A268,'Sales Actual'!$K$5:$K$66,0))</f>
        <v>0</v>
      </c>
      <c r="M268" s="86">
        <f>INDEX('Sales Actual'!$N$4:$N$65,MATCH($A268,'Sales Actual'!$M$4:$M$65,0))</f>
        <v>0</v>
      </c>
      <c r="N268" s="86">
        <f>INDEX('Sales Actual'!$P$4:$P$64,MATCH($A268,'Sales Actual'!$O$4:$O$65,0))</f>
        <v>0</v>
      </c>
      <c r="O268" s="86">
        <f>INDEX('Sales Actual'!$R$4:$R$65,MATCH($A268,'Sales Actual'!$Q$4:$Q$65,0))</f>
        <v>0</v>
      </c>
      <c r="P268" s="86">
        <f>INDEX('Sales Actual'!$T$4:$T$66,MATCH($A268,'Sales Actual'!$S$4:$S$66,0))</f>
        <v>0</v>
      </c>
      <c r="Q268" s="86">
        <f>INDEX('Sales Actual'!$V$4:$V$65,MATCH($A268,'Sales Actual'!$U$4:$U$65,0))</f>
        <v>0</v>
      </c>
      <c r="R268" s="86">
        <f>INDEX('Sales Actual'!$X$4:$X$65,MATCH($A268,'Sales Actual'!$W$4:$W$65,0))</f>
        <v>0</v>
      </c>
      <c r="S268" s="22"/>
      <c r="T268" s="22"/>
      <c r="U268" s="22"/>
      <c r="V268" s="22"/>
      <c r="W268" s="22"/>
      <c r="X268" s="22"/>
      <c r="Y268" s="22"/>
      <c r="Z268" s="22"/>
      <c r="AA268" s="22"/>
      <c r="AB268" s="22"/>
      <c r="AC268" s="22"/>
      <c r="AD268" s="22"/>
    </row>
    <row r="269" ht="12.7" customHeight="1">
      <c r="A269" t="s" s="18">
        <v>475</v>
      </c>
      <c r="B269" s="19">
        <v>400044</v>
      </c>
      <c r="C269" t="s" s="20">
        <v>476</v>
      </c>
      <c r="D269" t="s" s="21">
        <v>25</v>
      </c>
      <c r="E269" t="s" s="21">
        <f>A269&amp;D269</f>
        <v>479</v>
      </c>
      <c r="F269" s="57"/>
      <c r="G269" s="58"/>
      <c r="H269" s="61"/>
      <c r="I269" s="61"/>
      <c r="J269" s="58"/>
      <c r="K269" s="58"/>
      <c r="L269" s="58"/>
      <c r="M269" s="59"/>
      <c r="N269" s="22">
        <f t="shared" si="1457" ref="N269:N270">4200*8</f>
        <v>33600</v>
      </c>
      <c r="O269" s="22">
        <f>8*3125</f>
        <v>25000</v>
      </c>
      <c r="P269" s="22">
        <f t="shared" si="1459" ref="P269:P293">8*6500</f>
        <v>52000</v>
      </c>
      <c r="Q269" s="22">
        <f>8*6000</f>
        <v>48000</v>
      </c>
      <c r="R269" s="22">
        <f>8*4900</f>
        <v>39200</v>
      </c>
      <c r="S269" s="24">
        <v>0</v>
      </c>
      <c r="T269" s="24"/>
      <c r="U269" s="24"/>
      <c r="V269" s="24"/>
      <c r="W269" s="24"/>
      <c r="X269" s="24"/>
      <c r="Y269" s="24"/>
      <c r="Z269" s="24"/>
      <c r="AA269" s="24"/>
      <c r="AB269" s="24"/>
      <c r="AC269" s="24"/>
      <c r="AD269" s="24"/>
    </row>
    <row r="270" ht="12.7" customHeight="1">
      <c r="A270" t="s" s="18">
        <v>475</v>
      </c>
      <c r="B270" s="19">
        <v>400044</v>
      </c>
      <c r="C270" t="s" s="20">
        <v>476</v>
      </c>
      <c r="D270" t="s" s="21">
        <v>27</v>
      </c>
      <c r="E270" t="s" s="21">
        <f>A270&amp;D270</f>
        <v>480</v>
      </c>
      <c r="F270" s="60"/>
      <c r="G270" s="61"/>
      <c r="H270" s="61"/>
      <c r="I270" s="32"/>
      <c r="J270" s="32"/>
      <c r="K270" s="32"/>
      <c r="L270" s="32"/>
      <c r="M270" s="33"/>
      <c r="N270" s="22">
        <f t="shared" si="1457"/>
        <v>33600</v>
      </c>
      <c r="O270" s="22">
        <f>8*3142</f>
        <v>25136</v>
      </c>
      <c r="P270" s="22">
        <f>P269</f>
        <v>52000</v>
      </c>
      <c r="Q270" s="22">
        <f>Q269</f>
        <v>48000</v>
      </c>
      <c r="R270" s="22">
        <f>R269</f>
        <v>39200</v>
      </c>
      <c r="S270" s="24"/>
      <c r="T270" s="24"/>
      <c r="U270" s="24"/>
      <c r="V270" s="24"/>
      <c r="W270" s="24"/>
      <c r="X270" s="24"/>
      <c r="Y270" s="24"/>
      <c r="Z270" s="24"/>
      <c r="AA270" s="24"/>
      <c r="AB270" s="24"/>
      <c r="AC270" s="24"/>
      <c r="AD270" s="24"/>
    </row>
    <row r="271" ht="12.7" customHeight="1">
      <c r="A271" t="s" s="18">
        <v>475</v>
      </c>
      <c r="B271" s="19">
        <v>400044</v>
      </c>
      <c r="C271" t="s" s="20">
        <v>476</v>
      </c>
      <c r="D271" t="s" s="21">
        <v>29</v>
      </c>
      <c r="E271" t="s" s="21">
        <f>A271&amp;D271</f>
        <v>481</v>
      </c>
      <c r="F271" s="60"/>
      <c r="G271" s="61"/>
      <c r="H271" s="62"/>
      <c r="I271" s="22">
        <f>H272+I270-(I267-I268)-I275</f>
        <v>0</v>
      </c>
      <c r="J271" s="22">
        <f>IF((I271+J270-(J267-J268)-J275)&lt;0,0,(I271+J270-(J267-J268)-J275))</f>
        <v>0</v>
      </c>
      <c r="K271" s="22">
        <f>IF((J271+K270-(K267-K268)-K275)&lt;0,0,(J271+K270-(K267-K268)-K275))</f>
        <v>0</v>
      </c>
      <c r="L271" s="22">
        <f>IF((K271+L270-(L267-L268)-L275)&lt;0,0,(K271+L270-(L267-L268)-L275))</f>
        <v>0</v>
      </c>
      <c r="M271" s="22">
        <f>IF((L271+M270-(M267-M268)-M275)&lt;0,0,(L271+M270-(M267-M268)-M275))</f>
        <v>0</v>
      </c>
      <c r="N271" s="22">
        <f>IF((M271+N270-(N267-N268)-N275)&lt;0,0,(M271+N270-(N267-N268)-N275))</f>
        <v>4600</v>
      </c>
      <c r="O271" s="22">
        <f>IF((N271+O270-(O267-O268)-O275)&lt;0,0,(N271+O270-(O267-O268)-O275))</f>
        <v>0</v>
      </c>
      <c r="P271" s="22">
        <f>IF((O271+P270-(P267-P268)-P275)&lt;0,0,(O271+P270-(P267-P268)-P275))</f>
        <v>31854</v>
      </c>
      <c r="Q271" s="22">
        <f>IF((P271+Q270-(Q267-Q268)-Q275)&lt;0,0,(P271+Q270-(Q267-Q268)-Q275))</f>
        <v>44059</v>
      </c>
      <c r="R271" s="22">
        <f>IF((Q271+R270-(R267-R268)-R275)&lt;0,0,(Q271+R270-(R267-R268)-R275))</f>
        <v>47817</v>
      </c>
      <c r="S271" s="22"/>
      <c r="T271" s="22"/>
      <c r="U271" s="22"/>
      <c r="V271" s="22"/>
      <c r="W271" s="22"/>
      <c r="X271" s="22"/>
      <c r="Y271" s="22"/>
      <c r="Z271" s="22"/>
      <c r="AA271" s="22"/>
      <c r="AB271" s="22"/>
      <c r="AC271" s="22"/>
      <c r="AD271" s="22"/>
    </row>
    <row r="272" ht="12.7" customHeight="1">
      <c r="A272" t="s" s="18">
        <v>475</v>
      </c>
      <c r="B272" s="19">
        <v>400044</v>
      </c>
      <c r="C272" t="s" s="20">
        <v>476</v>
      </c>
      <c r="D272" t="s" s="21">
        <v>31</v>
      </c>
      <c r="E272" t="s" s="21">
        <f>A272&amp;D272</f>
        <v>482</v>
      </c>
      <c r="F272" s="31"/>
      <c r="G272" s="87"/>
      <c r="H272" s="33"/>
      <c r="I272" s="22">
        <v>0</v>
      </c>
      <c r="J272" s="48"/>
      <c r="K272" s="48"/>
      <c r="L272" s="48"/>
      <c r="M272" s="48"/>
      <c r="N272" s="48"/>
      <c r="O272" s="48"/>
      <c r="P272" s="48"/>
      <c r="Q272" s="48"/>
      <c r="R272" s="48"/>
      <c r="S272" s="22"/>
      <c r="T272" s="22"/>
      <c r="U272" s="22"/>
      <c r="V272" s="22"/>
      <c r="W272" s="22"/>
      <c r="X272" s="22"/>
      <c r="Y272" s="22"/>
      <c r="Z272" s="22"/>
      <c r="AA272" s="22"/>
      <c r="AB272" s="22"/>
      <c r="AC272" s="22"/>
      <c r="AD272" s="22"/>
    </row>
    <row r="273" ht="12.7" customHeight="1">
      <c r="A273" t="s" s="18">
        <v>475</v>
      </c>
      <c r="B273" s="19">
        <v>400044</v>
      </c>
      <c r="C273" t="s" s="20">
        <v>476</v>
      </c>
      <c r="D273" t="s" s="21">
        <v>33</v>
      </c>
      <c r="E273" t="s" s="21">
        <f>A273&amp;D273</f>
        <v>483</v>
      </c>
      <c r="F273" s="22">
        <v>0</v>
      </c>
      <c r="G273" s="22">
        <v>0</v>
      </c>
      <c r="H273" s="22">
        <v>0</v>
      </c>
      <c r="I273" s="22">
        <v>0</v>
      </c>
      <c r="J273" s="22">
        <f>IF((I271+J270-(J267-J268)-J275)&gt;0,0,(I271+J270-(J267-J268)-J275))</f>
        <v>0</v>
      </c>
      <c r="K273" s="22">
        <f>IF((J271+K270-(K267-K268)-K275)&gt;0,0,(J271+K270-(K267-K268)-K275))</f>
        <v>0</v>
      </c>
      <c r="L273" s="22">
        <f>IF((K271+L270-(L267-L268)-L275)&gt;0,0,(K271+L270-(L267-L268)-L275))</f>
        <v>0</v>
      </c>
      <c r="M273" s="22">
        <f>IF((L271+M270-(M267-M268)-M275)&gt;0,0,(L271+M270-(M267-M268)-M275))</f>
        <v>0</v>
      </c>
      <c r="N273" s="22">
        <f>IF((M271+N270-(N267-N268)-N275)&gt;0,0,(M271+N270-(N267-N268)-N275))</f>
        <v>0</v>
      </c>
      <c r="O273" s="22">
        <f>IF((N271+O270-(O267-O268)-O275)&gt;0,0,(N271+O270-(O267-O268)-O275))</f>
        <v>-17824</v>
      </c>
      <c r="P273" s="22">
        <f>IF((O271+P270-(P267-P268)-P275)&gt;0,0,(O271+P270-(P267-P268)-P275))</f>
        <v>0</v>
      </c>
      <c r="Q273" s="22">
        <f>IF((P271+Q270-(Q267-Q268)-Q275)&gt;0,0,(P271+Q270-(Q267-Q268)-Q275))</f>
        <v>0</v>
      </c>
      <c r="R273" s="22">
        <f>IF((Q271+R270-(R267-R268)-R275)&gt;0,0,(Q271+R270-(R267-R268)-R275))</f>
        <v>0</v>
      </c>
      <c r="S273" s="24">
        <f>IF((R271+S270-(S267-S268)-S275)&gt;0,0,(R271+S270-(S267-S268)-S275))</f>
        <v>0</v>
      </c>
      <c r="T273" s="24"/>
      <c r="U273" s="24"/>
      <c r="V273" s="24"/>
      <c r="W273" s="24"/>
      <c r="X273" s="24"/>
      <c r="Y273" s="24"/>
      <c r="Z273" s="24"/>
      <c r="AA273" s="24"/>
      <c r="AB273" s="24"/>
      <c r="AC273" s="24"/>
      <c r="AD273" s="24"/>
    </row>
    <row r="274" ht="12.7" customHeight="1">
      <c r="A274" t="s" s="18">
        <v>475</v>
      </c>
      <c r="B274" s="19">
        <v>400044</v>
      </c>
      <c r="C274" t="s" s="20">
        <v>476</v>
      </c>
      <c r="D274" t="s" s="21">
        <v>35</v>
      </c>
      <c r="E274" t="s" s="21">
        <f>A274&amp;D274</f>
        <v>484</v>
      </c>
      <c r="F274" s="46"/>
      <c r="G274" s="49"/>
      <c r="H274" s="47"/>
      <c r="I274" s="22">
        <v>0</v>
      </c>
      <c r="J274" s="22">
        <v>0</v>
      </c>
      <c r="K274" s="22">
        <v>0</v>
      </c>
      <c r="L274" s="22">
        <v>0</v>
      </c>
      <c r="M274" s="22">
        <v>0</v>
      </c>
      <c r="N274" s="46"/>
      <c r="O274" s="58"/>
      <c r="P274" s="58"/>
      <c r="Q274" s="58"/>
      <c r="R274" s="59"/>
      <c r="S274" s="24"/>
      <c r="T274" s="24"/>
      <c r="U274" s="24"/>
      <c r="V274" s="24"/>
      <c r="W274" s="24"/>
      <c r="X274" s="24"/>
      <c r="Y274" s="24"/>
      <c r="Z274" s="24"/>
      <c r="AA274" s="24"/>
      <c r="AB274" s="24"/>
      <c r="AC274" s="24"/>
      <c r="AD274" s="24"/>
    </row>
    <row r="275" ht="12.7" customHeight="1">
      <c r="A275" t="s" s="18">
        <v>475</v>
      </c>
      <c r="B275" s="19">
        <v>400044</v>
      </c>
      <c r="C275" t="s" s="20">
        <v>476</v>
      </c>
      <c r="D275" t="s" s="21">
        <v>37</v>
      </c>
      <c r="E275" t="s" s="21">
        <f>A275&amp;D275</f>
        <v>485</v>
      </c>
      <c r="F275" s="22">
        <v>0</v>
      </c>
      <c r="G275" s="22">
        <v>0</v>
      </c>
      <c r="H275" s="30">
        <v>0</v>
      </c>
      <c r="I275" s="22">
        <f>IF(I274&gt;0,IF(I274-(I267-I268)&gt;0,(I274-(I267-I268)),0),0)</f>
        <v>0</v>
      </c>
      <c r="J275" s="22">
        <f>IF(J274&gt;0,IF(J274-(J267-J268)&gt;0,(J274-(J267-J268)),0),0)</f>
        <v>0</v>
      </c>
      <c r="K275" s="22">
        <f>IF(K274&gt;0,IF(K274-(K267-K268)&gt;0,(K274-(K267-K268)),0),0)</f>
        <v>0</v>
      </c>
      <c r="L275" s="22">
        <f>IF(L274&gt;0,IF(L274-(L267-L268)&gt;0,(L274-(L267-L268)),0),0)</f>
        <v>0</v>
      </c>
      <c r="M275" s="22">
        <v>0</v>
      </c>
      <c r="N275" s="22">
        <v>0</v>
      </c>
      <c r="O275" s="31"/>
      <c r="P275" s="32"/>
      <c r="Q275" s="32"/>
      <c r="R275" s="33"/>
      <c r="S275" s="24"/>
      <c r="T275" s="24"/>
      <c r="U275" s="24"/>
      <c r="V275" s="24"/>
      <c r="W275" s="24"/>
      <c r="X275" s="24"/>
      <c r="Y275" s="24"/>
      <c r="Z275" s="24"/>
      <c r="AA275" s="24"/>
      <c r="AB275" s="24"/>
      <c r="AC275" s="24"/>
      <c r="AD275" s="24"/>
    </row>
    <row r="276" ht="12.7" customHeight="1">
      <c r="A276" t="s" s="34">
        <v>475</v>
      </c>
      <c r="B276" s="35">
        <v>400044</v>
      </c>
      <c r="C276" t="s" s="36">
        <v>476</v>
      </c>
      <c r="D276" t="s" s="37">
        <v>39</v>
      </c>
      <c r="E276" t="s" s="37">
        <f>A276&amp;D276</f>
        <v>486</v>
      </c>
      <c r="F276" s="38">
        <f>IFERROR(F272/AVERAGE(G267:H267)*30,0)</f>
        <v>0</v>
      </c>
      <c r="G276" s="38">
        <f>IFERROR(G272/AVERAGE(H267:I267)*30,0)</f>
        <v>0</v>
      </c>
      <c r="H276" s="38">
        <f>IFERROR(H271/AVERAGE(I267:J267)*30,0)</f>
        <v>0</v>
      </c>
      <c r="I276" s="38">
        <f>IFERROR(I271/AVERAGE(J267:K267)*30,0)</f>
        <v>0</v>
      </c>
      <c r="J276" s="38">
        <f>IFERROR(J271/AVERAGE(K267:L267)*30,0)</f>
        <v>0</v>
      </c>
      <c r="K276" s="38">
        <f>IFERROR(K271/AVERAGE(L267:M267)*30,0)</f>
        <v>0</v>
      </c>
      <c r="L276" s="38">
        <f>IFERROR(L271/AVERAGE(M267:M267)*30,0)</f>
        <v>0</v>
      </c>
      <c r="M276" s="38">
        <v>0</v>
      </c>
      <c r="N276" s="38">
        <f>IFERROR(N271/AVERAGE(O267:P267)*30,0)</f>
        <v>4.076448172983191</v>
      </c>
      <c r="O276" s="38">
        <f>IFERROR(O271/AVERAGE(P267:Q267)*30,0)</f>
        <v>0</v>
      </c>
      <c r="P276" s="38">
        <f>IFERROR(P271/AVERAGE(Q267:R267)*30,0)</f>
        <v>26.82931622611845</v>
      </c>
      <c r="Q276" s="38">
        <f>IFERROR(Q271/AVERAGE(R267:S267)*30,0)</f>
        <v>33.03454734051425</v>
      </c>
      <c r="R276" s="38">
        <f>IFERROR(R271/AVERAGE(S267:T267)*30,0)</f>
        <v>32.17725057550221</v>
      </c>
      <c r="S276" s="38">
        <f>IFERROR(S271/AVERAGE(T267:U267)*30,0)</f>
        <v>0</v>
      </c>
      <c r="T276" s="38"/>
      <c r="U276" s="38"/>
      <c r="V276" s="38"/>
      <c r="W276" s="38"/>
      <c r="X276" s="38"/>
      <c r="Y276" s="38"/>
      <c r="Z276" s="38"/>
      <c r="AA276" s="38"/>
      <c r="AB276" s="38"/>
      <c r="AC276" s="38"/>
      <c r="AD276" s="38"/>
    </row>
    <row r="277" ht="12" customHeight="1">
      <c r="A277" s="39"/>
      <c r="B277" s="40"/>
      <c r="C277" s="40"/>
      <c r="D277" s="40"/>
      <c r="E277" s="40"/>
      <c r="F277" s="40"/>
      <c r="G277" t="s" s="90">
        <v>2</v>
      </c>
      <c r="H277" s="91"/>
      <c r="I277" s="91"/>
      <c r="J277" s="91"/>
      <c r="K277" s="91"/>
      <c r="L277" s="91"/>
      <c r="M277" s="91"/>
      <c r="N277" s="91"/>
      <c r="O277" s="91"/>
      <c r="P277" s="91"/>
      <c r="Q277" s="91"/>
      <c r="R277" s="91"/>
      <c r="S277" t="s" s="90">
        <v>3</v>
      </c>
      <c r="T277" s="91"/>
      <c r="U277" s="91"/>
      <c r="V277" s="91"/>
      <c r="W277" s="91"/>
      <c r="X277" s="91"/>
      <c r="Y277" s="91"/>
      <c r="Z277" s="91"/>
      <c r="AA277" s="91"/>
      <c r="AB277" s="91"/>
      <c r="AC277" s="91"/>
      <c r="AD277" s="92"/>
    </row>
    <row r="278" ht="13.5" customHeight="1">
      <c r="A278" t="s" s="8">
        <v>4</v>
      </c>
      <c r="B278" t="s" s="9">
        <v>5</v>
      </c>
      <c r="C278" t="s" s="9">
        <v>6</v>
      </c>
      <c r="D278" t="s" s="9">
        <v>7</v>
      </c>
      <c r="E278" s="10"/>
      <c r="F278" t="s" s="9">
        <v>18</v>
      </c>
      <c r="G278" t="s" s="9">
        <v>8</v>
      </c>
      <c r="H278" t="s" s="9">
        <v>9</v>
      </c>
      <c r="I278" t="s" s="9">
        <v>10</v>
      </c>
      <c r="J278" t="s" s="9">
        <v>11</v>
      </c>
      <c r="K278" t="s" s="9">
        <v>1</v>
      </c>
      <c r="L278" t="s" s="9">
        <v>12</v>
      </c>
      <c r="M278" t="s" s="9">
        <v>13</v>
      </c>
      <c r="N278" t="s" s="98">
        <v>14</v>
      </c>
      <c r="O278" t="s" s="98">
        <v>15</v>
      </c>
      <c r="P278" t="s" s="98">
        <v>16</v>
      </c>
      <c r="Q278" t="s" s="98">
        <v>17</v>
      </c>
      <c r="R278" t="s" s="98">
        <v>18</v>
      </c>
      <c r="S278" t="s" s="9">
        <v>8</v>
      </c>
      <c r="T278" t="s" s="9">
        <v>9</v>
      </c>
      <c r="U278" t="s" s="9">
        <v>10</v>
      </c>
      <c r="V278" t="s" s="9">
        <v>11</v>
      </c>
      <c r="W278" t="s" s="9">
        <v>1</v>
      </c>
      <c r="X278" t="s" s="9">
        <v>12</v>
      </c>
      <c r="Y278" t="s" s="9">
        <v>13</v>
      </c>
      <c r="Z278" t="s" s="9">
        <v>14</v>
      </c>
      <c r="AA278" t="s" s="9">
        <v>15</v>
      </c>
      <c r="AB278" t="s" s="9">
        <v>16</v>
      </c>
      <c r="AC278" t="s" s="9">
        <v>17</v>
      </c>
      <c r="AD278" t="s" s="11">
        <v>18</v>
      </c>
    </row>
    <row r="279" ht="12.7" customHeight="1">
      <c r="A279" t="s" s="12">
        <v>487</v>
      </c>
      <c r="B279" s="13">
        <v>400045</v>
      </c>
      <c r="C279" t="s" s="14">
        <v>488</v>
      </c>
      <c r="D279" t="s" s="15">
        <v>21</v>
      </c>
      <c r="E279" t="s" s="15">
        <f>A279&amp;D279</f>
        <v>489</v>
      </c>
      <c r="F279" s="99"/>
      <c r="G279" s="97"/>
      <c r="H279" s="97"/>
      <c r="I279" s="97"/>
      <c r="J279" s="84"/>
      <c r="K279" s="84"/>
      <c r="L279" s="84"/>
      <c r="M279" s="85"/>
      <c r="N279" s="22">
        <v>4640</v>
      </c>
      <c r="O279" s="22">
        <v>15080</v>
      </c>
      <c r="P279" s="22">
        <v>4606.94</v>
      </c>
      <c r="Q279" s="22">
        <v>21889.896</v>
      </c>
      <c r="R279" s="22">
        <v>25334.98</v>
      </c>
      <c r="S279" s="17">
        <v>22327.69392</v>
      </c>
      <c r="T279" s="17"/>
      <c r="U279" s="17"/>
      <c r="V279" s="17"/>
      <c r="W279" s="17"/>
      <c r="X279" s="17"/>
      <c r="Y279" s="17"/>
      <c r="Z279" s="17"/>
      <c r="AA279" s="17"/>
      <c r="AB279" s="17"/>
      <c r="AC279" s="17"/>
      <c r="AD279" s="17"/>
    </row>
    <row r="280" ht="12.7" customHeight="1">
      <c r="A280" t="s" s="18">
        <v>487</v>
      </c>
      <c r="B280" s="19">
        <v>400045</v>
      </c>
      <c r="C280" t="s" s="20">
        <v>488</v>
      </c>
      <c r="D280" t="s" s="21">
        <v>23</v>
      </c>
      <c r="E280" t="s" s="21">
        <f>A280&amp;D280</f>
        <v>490</v>
      </c>
      <c r="F280" s="88"/>
      <c r="G280" s="87"/>
      <c r="H280" s="61"/>
      <c r="I280" s="62"/>
      <c r="J280" s="86">
        <f>INDEX('Sales Actual'!$H$5:$H$66,MATCH($A280,'Sales Actual'!$G$5:$G$66,0))</f>
        <v>0</v>
      </c>
      <c r="K280" s="86">
        <f>INDEX('Sales Actual'!$J$5:$J$66,MATCH($A280,'Sales Actual'!$I$5:$I$66,0))</f>
        <v>0</v>
      </c>
      <c r="L280" s="86">
        <f>INDEX('Sales Actual'!$L$5:$L$66,MATCH($A280,'Sales Actual'!$K$5:$K$66,0))</f>
        <v>0</v>
      </c>
      <c r="M280" s="86">
        <f>INDEX('Sales Actual'!$N$4:$N$65,MATCH($A280,'Sales Actual'!$M$4:$M$65,0))</f>
        <v>0</v>
      </c>
      <c r="N280" s="86">
        <f>INDEX('Sales Actual'!$P$4:$P$64,MATCH($A280,'Sales Actual'!$O$4:$O$65,0))</f>
        <v>0</v>
      </c>
      <c r="O280" s="86">
        <f>INDEX('Sales Actual'!$R$4:$R$65,MATCH($A280,'Sales Actual'!$Q$4:$Q$65,0))</f>
        <v>0</v>
      </c>
      <c r="P280" s="86">
        <f>INDEX('Sales Actual'!$T$4:$T$66,MATCH($A280,'Sales Actual'!$S$4:$S$66,0))</f>
        <v>0</v>
      </c>
      <c r="Q280" s="86">
        <f>INDEX('Sales Actual'!$V$4:$V$65,MATCH($A280,'Sales Actual'!$U$4:$U$65,0))</f>
        <v>0</v>
      </c>
      <c r="R280" s="86">
        <f>INDEX('Sales Actual'!$X$4:$X$65,MATCH($A280,'Sales Actual'!$W$4:$W$65,0))</f>
        <v>0</v>
      </c>
      <c r="S280" s="22"/>
      <c r="T280" s="22"/>
      <c r="U280" s="22"/>
      <c r="V280" s="22"/>
      <c r="W280" s="22"/>
      <c r="X280" s="22"/>
      <c r="Y280" s="22"/>
      <c r="Z280" s="22"/>
      <c r="AA280" s="22"/>
      <c r="AB280" s="22"/>
      <c r="AC280" s="22"/>
      <c r="AD280" s="22"/>
    </row>
    <row r="281" ht="12.7" customHeight="1">
      <c r="A281" t="s" s="18">
        <v>487</v>
      </c>
      <c r="B281" s="19">
        <v>400045</v>
      </c>
      <c r="C281" t="s" s="20">
        <v>488</v>
      </c>
      <c r="D281" t="s" s="21">
        <v>25</v>
      </c>
      <c r="E281" t="s" s="21">
        <f>A281&amp;D281</f>
        <v>491</v>
      </c>
      <c r="F281" s="57"/>
      <c r="G281" s="58"/>
      <c r="H281" s="61"/>
      <c r="I281" s="61"/>
      <c r="J281" s="58"/>
      <c r="K281" s="58"/>
      <c r="L281" s="58"/>
      <c r="M281" s="59"/>
      <c r="N281" s="22">
        <f t="shared" si="1523" ref="N281:P282">8*1800</f>
        <v>14400</v>
      </c>
      <c r="O281" s="22">
        <f>8*801</f>
        <v>6408</v>
      </c>
      <c r="P281" s="22">
        <f t="shared" si="1523"/>
        <v>14400</v>
      </c>
      <c r="Q281" s="22">
        <f>8*2800</f>
        <v>22400</v>
      </c>
      <c r="R281" s="22">
        <f>8*3700</f>
        <v>29600</v>
      </c>
      <c r="S281" s="24">
        <v>0</v>
      </c>
      <c r="T281" s="24"/>
      <c r="U281" s="24"/>
      <c r="V281" s="24"/>
      <c r="W281" s="24"/>
      <c r="X281" s="24"/>
      <c r="Y281" s="24"/>
      <c r="Z281" s="24"/>
      <c r="AA281" s="24"/>
      <c r="AB281" s="24"/>
      <c r="AC281" s="24"/>
      <c r="AD281" s="24"/>
    </row>
    <row r="282" ht="12.7" customHeight="1">
      <c r="A282" t="s" s="18">
        <v>487</v>
      </c>
      <c r="B282" s="19">
        <v>400045</v>
      </c>
      <c r="C282" t="s" s="20">
        <v>488</v>
      </c>
      <c r="D282" t="s" s="21">
        <v>27</v>
      </c>
      <c r="E282" t="s" s="21">
        <f>A282&amp;D282</f>
        <v>492</v>
      </c>
      <c r="F282" s="60"/>
      <c r="G282" s="61"/>
      <c r="H282" s="61"/>
      <c r="I282" s="32"/>
      <c r="J282" s="32"/>
      <c r="K282" s="32"/>
      <c r="L282" s="32"/>
      <c r="M282" s="33"/>
      <c r="N282" s="22">
        <f t="shared" si="1523"/>
        <v>14400</v>
      </c>
      <c r="O282" s="22">
        <f>8*822</f>
        <v>6576</v>
      </c>
      <c r="P282" s="22">
        <f>P281</f>
        <v>14400</v>
      </c>
      <c r="Q282" s="22">
        <f>Q281</f>
        <v>22400</v>
      </c>
      <c r="R282" s="22">
        <f>R281</f>
        <v>29600</v>
      </c>
      <c r="S282" s="24"/>
      <c r="T282" s="24"/>
      <c r="U282" s="24"/>
      <c r="V282" s="24"/>
      <c r="W282" s="24"/>
      <c r="X282" s="24"/>
      <c r="Y282" s="24"/>
      <c r="Z282" s="24"/>
      <c r="AA282" s="24"/>
      <c r="AB282" s="24"/>
      <c r="AC282" s="24"/>
      <c r="AD282" s="24"/>
    </row>
    <row r="283" ht="12.7" customHeight="1">
      <c r="A283" t="s" s="18">
        <v>487</v>
      </c>
      <c r="B283" s="19">
        <v>400045</v>
      </c>
      <c r="C283" t="s" s="20">
        <v>488</v>
      </c>
      <c r="D283" t="s" s="21">
        <v>29</v>
      </c>
      <c r="E283" t="s" s="21">
        <f>A283&amp;D283</f>
        <v>493</v>
      </c>
      <c r="F283" s="60"/>
      <c r="G283" s="61"/>
      <c r="H283" s="62"/>
      <c r="I283" s="22">
        <f>H284+I282-(I279-I280)-I287</f>
        <v>0</v>
      </c>
      <c r="J283" s="22">
        <f>IF((I283+J282-(J279-J280)-J287)&lt;0,0,(I283+J282-(J279-J280)-J287))</f>
        <v>0</v>
      </c>
      <c r="K283" s="22">
        <f>IF((J283+K282-(K279-K280)-K287)&lt;0,0,(J283+K282-(K279-K280)-K287))</f>
        <v>0</v>
      </c>
      <c r="L283" s="22">
        <f>IF((K283+L282-(L279-L280)-L287)&lt;0,0,(K283+L282-(L279-L280)-L287))</f>
        <v>0</v>
      </c>
      <c r="M283" s="22">
        <f>IF((L283+M282-(M279-M280)-M287)&lt;0,0,(L283+M282-(M279-M280)-M287))</f>
        <v>0</v>
      </c>
      <c r="N283" s="22">
        <f>IF((M283+N282-(N279-N280)-N287)&lt;0,0,(M283+N282-(N279-N280)-N287))</f>
        <v>9760</v>
      </c>
      <c r="O283" s="22">
        <f>IF((N283+O282-(O279-O280)-O287)&lt;0,0,(N283+O282-(O279-O280)-O287))</f>
        <v>1256</v>
      </c>
      <c r="P283" s="22">
        <f>IF((O283+P282-(P279-P280)-P287)&lt;0,0,(O283+P282-(P279-P280)-P287))</f>
        <v>11049.06</v>
      </c>
      <c r="Q283" s="22">
        <f>IF((P283+Q282-(Q279-Q280)-Q287)&lt;0,0,(P283+Q282-(Q279-Q280)-Q287))</f>
        <v>11559.164</v>
      </c>
      <c r="R283" s="22">
        <f>IF((Q283+R282-(R279-R280)-R287)&lt;0,0,(Q283+R282-(R279-R280)-R287))</f>
        <v>15824.184</v>
      </c>
      <c r="S283" s="22"/>
      <c r="T283" s="22"/>
      <c r="U283" s="22"/>
      <c r="V283" s="22"/>
      <c r="W283" s="22"/>
      <c r="X283" s="22"/>
      <c r="Y283" s="22"/>
      <c r="Z283" s="22"/>
      <c r="AA283" s="22"/>
      <c r="AB283" s="22"/>
      <c r="AC283" s="22"/>
      <c r="AD283" s="22"/>
    </row>
    <row r="284" ht="12.7" customHeight="1">
      <c r="A284" t="s" s="18">
        <v>487</v>
      </c>
      <c r="B284" s="19">
        <v>400045</v>
      </c>
      <c r="C284" t="s" s="20">
        <v>488</v>
      </c>
      <c r="D284" t="s" s="21">
        <v>31</v>
      </c>
      <c r="E284" t="s" s="21">
        <f>A284&amp;D284</f>
        <v>494</v>
      </c>
      <c r="F284" s="31"/>
      <c r="G284" s="87"/>
      <c r="H284" s="33"/>
      <c r="I284" s="22">
        <v>0</v>
      </c>
      <c r="J284" s="48"/>
      <c r="K284" s="48"/>
      <c r="L284" s="48"/>
      <c r="M284" s="48"/>
      <c r="N284" s="48"/>
      <c r="O284" s="48"/>
      <c r="P284" s="48"/>
      <c r="Q284" s="48"/>
      <c r="R284" s="48"/>
      <c r="S284" s="22"/>
      <c r="T284" s="22"/>
      <c r="U284" s="22"/>
      <c r="V284" s="22"/>
      <c r="W284" s="22"/>
      <c r="X284" s="22"/>
      <c r="Y284" s="22"/>
      <c r="Z284" s="22"/>
      <c r="AA284" s="22"/>
      <c r="AB284" s="22"/>
      <c r="AC284" s="22"/>
      <c r="AD284" s="22"/>
    </row>
    <row r="285" ht="12.7" customHeight="1">
      <c r="A285" t="s" s="18">
        <v>487</v>
      </c>
      <c r="B285" s="19">
        <v>400045</v>
      </c>
      <c r="C285" t="s" s="20">
        <v>488</v>
      </c>
      <c r="D285" t="s" s="21">
        <v>33</v>
      </c>
      <c r="E285" t="s" s="21">
        <f>A285&amp;D285</f>
        <v>495</v>
      </c>
      <c r="F285" s="22">
        <v>0</v>
      </c>
      <c r="G285" s="22">
        <v>0</v>
      </c>
      <c r="H285" s="22">
        <v>0</v>
      </c>
      <c r="I285" s="22">
        <v>0</v>
      </c>
      <c r="J285" s="22">
        <f>IF((I283+J282-(J279-J280)-J287)&gt;0,0,(I283+J282-(J279-J280)-J287))</f>
        <v>0</v>
      </c>
      <c r="K285" s="22">
        <f>IF((J283+K282-(K279-K280)-K287)&gt;0,0,(J283+K282-(K279-K280)-K287))</f>
        <v>0</v>
      </c>
      <c r="L285" s="22">
        <f>IF((K283+L282-(L279-L280)-L287)&gt;0,0,(K283+L282-(L279-L280)-L287))</f>
        <v>0</v>
      </c>
      <c r="M285" s="22">
        <f>IF((L283+M282-(M279-M280)-M287)&gt;0,0,(L283+M282-(M279-M280)-M287))</f>
        <v>0</v>
      </c>
      <c r="N285" s="22">
        <f>IF((M283+N282-(N279-N280)-N287)&gt;0,0,(M283+N282-(N279-N280)-N287))</f>
        <v>0</v>
      </c>
      <c r="O285" s="22">
        <f>IF((N283+O282-(O279-O280)-O287)&gt;0,0,(N283+O282-(O279-O280)-O287))</f>
        <v>0</v>
      </c>
      <c r="P285" s="22">
        <f>IF((O283+P282-(P279-P280)-P287)&gt;0,0,(O283+P282-(P279-P280)-P287))</f>
        <v>0</v>
      </c>
      <c r="Q285" s="22">
        <f>IF((P283+Q282-(Q279-Q280)-Q287)&gt;0,0,(P283+Q282-(Q279-Q280)-Q287))</f>
        <v>0</v>
      </c>
      <c r="R285" s="22">
        <f>IF((Q283+R282-(R279-R280)-R287)&gt;0,0,(Q283+R282-(R279-R280)-R287))</f>
        <v>0</v>
      </c>
      <c r="S285" s="24">
        <f>IF((R283+S282-(S279-S280)-S287)&gt;0,0,(R283+S282-(S279-S280)-S287))</f>
        <v>-6503.509920000004</v>
      </c>
      <c r="T285" s="24"/>
      <c r="U285" s="24"/>
      <c r="V285" s="24"/>
      <c r="W285" s="24"/>
      <c r="X285" s="24"/>
      <c r="Y285" s="24"/>
      <c r="Z285" s="24"/>
      <c r="AA285" s="24"/>
      <c r="AB285" s="24"/>
      <c r="AC285" s="24"/>
      <c r="AD285" s="24"/>
    </row>
    <row r="286" ht="12.7" customHeight="1">
      <c r="A286" t="s" s="18">
        <v>487</v>
      </c>
      <c r="B286" s="19">
        <v>400045</v>
      </c>
      <c r="C286" t="s" s="20">
        <v>488</v>
      </c>
      <c r="D286" t="s" s="21">
        <v>35</v>
      </c>
      <c r="E286" t="s" s="21">
        <f>A286&amp;D286</f>
        <v>496</v>
      </c>
      <c r="F286" s="46"/>
      <c r="G286" s="49"/>
      <c r="H286" s="47"/>
      <c r="I286" s="22">
        <v>0</v>
      </c>
      <c r="J286" s="22">
        <v>0</v>
      </c>
      <c r="K286" s="22">
        <v>0</v>
      </c>
      <c r="L286" s="22">
        <v>0</v>
      </c>
      <c r="M286" s="22">
        <v>0</v>
      </c>
      <c r="N286" s="46"/>
      <c r="O286" s="58"/>
      <c r="P286" s="58"/>
      <c r="Q286" s="58"/>
      <c r="R286" s="59"/>
      <c r="S286" s="24"/>
      <c r="T286" s="24"/>
      <c r="U286" s="24"/>
      <c r="V286" s="24"/>
      <c r="W286" s="24"/>
      <c r="X286" s="24"/>
      <c r="Y286" s="24"/>
      <c r="Z286" s="24"/>
      <c r="AA286" s="24"/>
      <c r="AB286" s="24"/>
      <c r="AC286" s="24"/>
      <c r="AD286" s="24"/>
    </row>
    <row r="287" ht="12.7" customHeight="1">
      <c r="A287" t="s" s="18">
        <v>487</v>
      </c>
      <c r="B287" s="19">
        <v>400045</v>
      </c>
      <c r="C287" t="s" s="20">
        <v>488</v>
      </c>
      <c r="D287" t="s" s="21">
        <v>37</v>
      </c>
      <c r="E287" t="s" s="21">
        <f>A287&amp;D287</f>
        <v>497</v>
      </c>
      <c r="F287" s="22">
        <v>0</v>
      </c>
      <c r="G287" s="22">
        <v>0</v>
      </c>
      <c r="H287" s="30">
        <v>0</v>
      </c>
      <c r="I287" s="22">
        <f>IF(I286&gt;0,IF(I286-(I279-I280)&gt;0,(I286-(I279-I280)),0),0)</f>
        <v>0</v>
      </c>
      <c r="J287" s="22">
        <f>IF(J286&gt;0,IF(J286-(J279-J280)&gt;0,(J286-(J279-J280)),0),0)</f>
        <v>0</v>
      </c>
      <c r="K287" s="22">
        <f>IF(K286&gt;0,IF(K286-(K279-K280)&gt;0,(K286-(K279-K280)),0),0)</f>
        <v>0</v>
      </c>
      <c r="L287" s="22">
        <f>IF(L286&gt;0,IF(L286-(L279-L280)&gt;0,(L286-(L279-L280)),0),0)</f>
        <v>0</v>
      </c>
      <c r="M287" s="22">
        <v>0</v>
      </c>
      <c r="N287" s="22">
        <v>0</v>
      </c>
      <c r="O287" s="31"/>
      <c r="P287" s="32"/>
      <c r="Q287" s="32"/>
      <c r="R287" s="33"/>
      <c r="S287" s="24"/>
      <c r="T287" s="24"/>
      <c r="U287" s="24"/>
      <c r="V287" s="24"/>
      <c r="W287" s="24"/>
      <c r="X287" s="24"/>
      <c r="Y287" s="24"/>
      <c r="Z287" s="24"/>
      <c r="AA287" s="24"/>
      <c r="AB287" s="24"/>
      <c r="AC287" s="24"/>
      <c r="AD287" s="24"/>
    </row>
    <row r="288" ht="12.7" customHeight="1">
      <c r="A288" t="s" s="34">
        <v>487</v>
      </c>
      <c r="B288" s="35">
        <v>400045</v>
      </c>
      <c r="C288" t="s" s="36">
        <v>488</v>
      </c>
      <c r="D288" t="s" s="37">
        <v>39</v>
      </c>
      <c r="E288" t="s" s="37">
        <f>A288&amp;D288</f>
        <v>498</v>
      </c>
      <c r="F288" s="38">
        <f>IFERROR(F284/AVERAGE(G279:H279)*30,0)</f>
        <v>0</v>
      </c>
      <c r="G288" s="38">
        <f>IFERROR(G284/AVERAGE(H279:I279)*30,0)</f>
        <v>0</v>
      </c>
      <c r="H288" s="38">
        <f>IFERROR(H283/AVERAGE(I279:J279)*30,0)</f>
        <v>0</v>
      </c>
      <c r="I288" s="38">
        <f>IFERROR(I283/AVERAGE(J279:K279)*30,0)</f>
        <v>0</v>
      </c>
      <c r="J288" s="38">
        <f>IFERROR(J283/AVERAGE(K279:L279)*30,0)</f>
        <v>0</v>
      </c>
      <c r="K288" s="38">
        <f>IFERROR(K283/AVERAGE(L279:M279)*30,0)</f>
        <v>0</v>
      </c>
      <c r="L288" s="38">
        <f>IFERROR(L283/AVERAGE(M279:M279)*30,0)</f>
        <v>0</v>
      </c>
      <c r="M288" s="38">
        <v>0</v>
      </c>
      <c r="N288" s="38">
        <f>IFERROR(N283/AVERAGE(O279:P279)*30,0)</f>
        <v>29.74560800205619</v>
      </c>
      <c r="O288" s="38">
        <f>IFERROR(O283/AVERAGE(P279:Q279)*30,0)</f>
        <v>2.844113161284615</v>
      </c>
      <c r="P288" s="38">
        <f>IFERROR(P283/AVERAGE(Q279:R279)*30,0)</f>
        <v>14.03801674354846</v>
      </c>
      <c r="Q288" s="38">
        <f>IFERROR(Q283/AVERAGE(R279:S279)*30,0)</f>
        <v>14.55121551015155</v>
      </c>
      <c r="R288" s="38">
        <f>IFERROR(R283/AVERAGE(S279:T279)*30,0)</f>
        <v>21.2617353901813</v>
      </c>
      <c r="S288" s="38">
        <f>IFERROR(S283/AVERAGE(T279:U279)*30,0)</f>
        <v>0</v>
      </c>
      <c r="T288" s="38"/>
      <c r="U288" s="38"/>
      <c r="V288" s="38"/>
      <c r="W288" s="38"/>
      <c r="X288" s="38"/>
      <c r="Y288" s="38"/>
      <c r="Z288" s="38"/>
      <c r="AA288" s="38"/>
      <c r="AB288" s="38"/>
      <c r="AC288" s="38"/>
      <c r="AD288" s="38"/>
    </row>
    <row r="289" ht="12" customHeight="1">
      <c r="A289" s="39"/>
      <c r="B289" s="40"/>
      <c r="C289" s="40"/>
      <c r="D289" s="40"/>
      <c r="E289" s="40"/>
      <c r="F289" s="40"/>
      <c r="G289" t="s" s="90">
        <v>2</v>
      </c>
      <c r="H289" s="91"/>
      <c r="I289" s="91"/>
      <c r="J289" s="91"/>
      <c r="K289" s="91"/>
      <c r="L289" s="91"/>
      <c r="M289" s="91"/>
      <c r="N289" s="91"/>
      <c r="O289" s="91"/>
      <c r="P289" s="91"/>
      <c r="Q289" s="91"/>
      <c r="R289" s="91"/>
      <c r="S289" t="s" s="90">
        <v>3</v>
      </c>
      <c r="T289" s="91"/>
      <c r="U289" s="91"/>
      <c r="V289" s="91"/>
      <c r="W289" s="91"/>
      <c r="X289" s="91"/>
      <c r="Y289" s="91"/>
      <c r="Z289" s="91"/>
      <c r="AA289" s="91"/>
      <c r="AB289" s="91"/>
      <c r="AC289" s="91"/>
      <c r="AD289" s="92"/>
    </row>
    <row r="290" ht="13.5" customHeight="1">
      <c r="A290" t="s" s="8">
        <v>4</v>
      </c>
      <c r="B290" t="s" s="9">
        <v>5</v>
      </c>
      <c r="C290" t="s" s="9">
        <v>6</v>
      </c>
      <c r="D290" t="s" s="9">
        <v>7</v>
      </c>
      <c r="E290" s="10"/>
      <c r="F290" t="s" s="9">
        <v>18</v>
      </c>
      <c r="G290" t="s" s="9">
        <v>8</v>
      </c>
      <c r="H290" t="s" s="9">
        <v>9</v>
      </c>
      <c r="I290" t="s" s="9">
        <v>10</v>
      </c>
      <c r="J290" t="s" s="9">
        <v>11</v>
      </c>
      <c r="K290" t="s" s="9">
        <v>1</v>
      </c>
      <c r="L290" t="s" s="9">
        <v>12</v>
      </c>
      <c r="M290" t="s" s="9">
        <v>13</v>
      </c>
      <c r="N290" t="s" s="98">
        <v>14</v>
      </c>
      <c r="O290" t="s" s="98">
        <v>15</v>
      </c>
      <c r="P290" t="s" s="98">
        <v>16</v>
      </c>
      <c r="Q290" t="s" s="98">
        <v>17</v>
      </c>
      <c r="R290" t="s" s="98">
        <v>18</v>
      </c>
      <c r="S290" t="s" s="9">
        <v>8</v>
      </c>
      <c r="T290" t="s" s="9">
        <v>9</v>
      </c>
      <c r="U290" t="s" s="9">
        <v>10</v>
      </c>
      <c r="V290" t="s" s="9">
        <v>11</v>
      </c>
      <c r="W290" t="s" s="9">
        <v>1</v>
      </c>
      <c r="X290" t="s" s="9">
        <v>12</v>
      </c>
      <c r="Y290" t="s" s="9">
        <v>13</v>
      </c>
      <c r="Z290" t="s" s="9">
        <v>14</v>
      </c>
      <c r="AA290" t="s" s="9">
        <v>15</v>
      </c>
      <c r="AB290" t="s" s="9">
        <v>16</v>
      </c>
      <c r="AC290" t="s" s="9">
        <v>17</v>
      </c>
      <c r="AD290" t="s" s="11">
        <v>18</v>
      </c>
    </row>
    <row r="291" ht="12.7" customHeight="1">
      <c r="A291" t="s" s="12">
        <v>499</v>
      </c>
      <c r="B291" s="13">
        <v>400047</v>
      </c>
      <c r="C291" t="s" s="14">
        <v>500</v>
      </c>
      <c r="D291" t="s" s="15">
        <v>21</v>
      </c>
      <c r="E291" t="s" s="15">
        <f>A291&amp;D291</f>
        <v>501</v>
      </c>
      <c r="F291" s="99"/>
      <c r="G291" s="97"/>
      <c r="H291" s="97"/>
      <c r="I291" s="97"/>
      <c r="J291" s="84"/>
      <c r="K291" s="84"/>
      <c r="L291" s="84"/>
      <c r="M291" s="85"/>
      <c r="N291" s="22">
        <v>29000</v>
      </c>
      <c r="O291" s="22">
        <v>36458.8</v>
      </c>
      <c r="P291" s="22">
        <v>30221.828</v>
      </c>
      <c r="Q291" s="22">
        <v>49343.616</v>
      </c>
      <c r="R291" s="22">
        <v>45696.924</v>
      </c>
      <c r="S291" s="17">
        <v>50330.48832</v>
      </c>
      <c r="T291" s="17"/>
      <c r="U291" s="17"/>
      <c r="V291" s="17"/>
      <c r="W291" s="17"/>
      <c r="X291" s="17"/>
      <c r="Y291" s="17"/>
      <c r="Z291" s="17"/>
      <c r="AA291" s="17"/>
      <c r="AB291" s="17"/>
      <c r="AC291" s="17"/>
      <c r="AD291" s="17"/>
    </row>
    <row r="292" ht="12.7" customHeight="1">
      <c r="A292" t="s" s="18">
        <v>499</v>
      </c>
      <c r="B292" s="19">
        <v>400047</v>
      </c>
      <c r="C292" t="s" s="20">
        <v>500</v>
      </c>
      <c r="D292" t="s" s="21">
        <v>23</v>
      </c>
      <c r="E292" t="s" s="21">
        <f>A292&amp;D292</f>
        <v>502</v>
      </c>
      <c r="F292" s="88"/>
      <c r="G292" s="87"/>
      <c r="H292" s="61"/>
      <c r="I292" s="62"/>
      <c r="J292" s="86">
        <f>INDEX('Sales Actual'!$H$5:$H$66,MATCH($A292,'Sales Actual'!$G$5:$G$66,0))</f>
        <v>0</v>
      </c>
      <c r="K292" s="86">
        <f>INDEX('Sales Actual'!$J$5:$J$66,MATCH($A292,'Sales Actual'!$I$5:$I$66,0))</f>
        <v>0</v>
      </c>
      <c r="L292" s="86">
        <f>INDEX('Sales Actual'!$L$5:$L$66,MATCH($A292,'Sales Actual'!$K$5:$K$66,0))</f>
        <v>0</v>
      </c>
      <c r="M292" s="86">
        <f>INDEX('Sales Actual'!$N$4:$N$65,MATCH($A292,'Sales Actual'!$M$4:$M$65,0))</f>
        <v>0</v>
      </c>
      <c r="N292" s="86">
        <f>INDEX('Sales Actual'!$P$4:$P$64,MATCH($A292,'Sales Actual'!$O$4:$O$65,0))</f>
        <v>0</v>
      </c>
      <c r="O292" s="86">
        <f>INDEX('Sales Actual'!$R$4:$R$65,MATCH($A292,'Sales Actual'!$Q$4:$Q$65,0))</f>
        <v>0</v>
      </c>
      <c r="P292" s="86">
        <f>INDEX('Sales Actual'!$T$4:$T$66,MATCH($A292,'Sales Actual'!$S$4:$S$66,0))</f>
        <v>0</v>
      </c>
      <c r="Q292" s="86">
        <f>INDEX('Sales Actual'!$V$4:$V$65,MATCH($A292,'Sales Actual'!$U$4:$U$65,0))</f>
        <v>0</v>
      </c>
      <c r="R292" s="86">
        <f>INDEX('Sales Actual'!$X$4:$X$65,MATCH($A292,'Sales Actual'!$W$4:$W$65,0))</f>
        <v>0</v>
      </c>
      <c r="S292" s="22"/>
      <c r="T292" s="22"/>
      <c r="U292" s="22"/>
      <c r="V292" s="22"/>
      <c r="W292" s="22"/>
      <c r="X292" s="22"/>
      <c r="Y292" s="22"/>
      <c r="Z292" s="22"/>
      <c r="AA292" s="22"/>
      <c r="AB292" s="22"/>
      <c r="AC292" s="22"/>
      <c r="AD292" s="22"/>
    </row>
    <row r="293" ht="12.7" customHeight="1">
      <c r="A293" t="s" s="18">
        <v>499</v>
      </c>
      <c r="B293" s="19">
        <v>400047</v>
      </c>
      <c r="C293" t="s" s="20">
        <v>500</v>
      </c>
      <c r="D293" t="s" s="21">
        <v>25</v>
      </c>
      <c r="E293" t="s" s="21">
        <f>A293&amp;D293</f>
        <v>503</v>
      </c>
      <c r="F293" s="57"/>
      <c r="G293" s="58"/>
      <c r="H293" s="61"/>
      <c r="I293" s="61"/>
      <c r="J293" s="58"/>
      <c r="K293" s="58"/>
      <c r="L293" s="58"/>
      <c r="M293" s="59"/>
      <c r="N293" s="22">
        <f t="shared" si="1589" ref="N293:N294">5460*8</f>
        <v>43680</v>
      </c>
      <c r="O293" s="22">
        <f>8*2875</f>
        <v>23000</v>
      </c>
      <c r="P293" s="22">
        <f t="shared" si="1459"/>
        <v>52000</v>
      </c>
      <c r="Q293" s="22">
        <f t="shared" si="1592" ref="Q293:R293">8*6800</f>
        <v>54400</v>
      </c>
      <c r="R293" s="22">
        <f t="shared" si="1592"/>
        <v>54400</v>
      </c>
      <c r="S293" s="24">
        <v>0</v>
      </c>
      <c r="T293" s="24"/>
      <c r="U293" s="24"/>
      <c r="V293" s="24"/>
      <c r="W293" s="24"/>
      <c r="X293" s="24"/>
      <c r="Y293" s="24"/>
      <c r="Z293" s="24"/>
      <c r="AA293" s="24"/>
      <c r="AB293" s="24"/>
      <c r="AC293" s="24"/>
      <c r="AD293" s="24"/>
    </row>
    <row r="294" ht="12.7" customHeight="1">
      <c r="A294" t="s" s="18">
        <v>499</v>
      </c>
      <c r="B294" s="19">
        <v>400047</v>
      </c>
      <c r="C294" t="s" s="20">
        <v>500</v>
      </c>
      <c r="D294" t="s" s="21">
        <v>27</v>
      </c>
      <c r="E294" t="s" s="21">
        <f>A294&amp;D294</f>
        <v>504</v>
      </c>
      <c r="F294" s="60"/>
      <c r="G294" s="61"/>
      <c r="H294" s="61"/>
      <c r="I294" s="32"/>
      <c r="J294" s="32"/>
      <c r="K294" s="32"/>
      <c r="L294" s="32"/>
      <c r="M294" s="33"/>
      <c r="N294" s="22">
        <f t="shared" si="1589"/>
        <v>43680</v>
      </c>
      <c r="O294" s="22">
        <f>8*2878</f>
        <v>23024</v>
      </c>
      <c r="P294" s="22">
        <f>P293</f>
        <v>52000</v>
      </c>
      <c r="Q294" s="22">
        <f>Q293</f>
        <v>54400</v>
      </c>
      <c r="R294" s="22">
        <f>R293</f>
        <v>54400</v>
      </c>
      <c r="S294" s="24"/>
      <c r="T294" s="24"/>
      <c r="U294" s="24"/>
      <c r="V294" s="24"/>
      <c r="W294" s="24"/>
      <c r="X294" s="24"/>
      <c r="Y294" s="24"/>
      <c r="Z294" s="24"/>
      <c r="AA294" s="24"/>
      <c r="AB294" s="24"/>
      <c r="AC294" s="24"/>
      <c r="AD294" s="24"/>
    </row>
    <row r="295" ht="12.7" customHeight="1">
      <c r="A295" t="s" s="18">
        <v>499</v>
      </c>
      <c r="B295" s="19">
        <v>400047</v>
      </c>
      <c r="C295" t="s" s="20">
        <v>500</v>
      </c>
      <c r="D295" t="s" s="21">
        <v>29</v>
      </c>
      <c r="E295" t="s" s="21">
        <f>A295&amp;D295</f>
        <v>505</v>
      </c>
      <c r="F295" s="60"/>
      <c r="G295" s="87"/>
      <c r="H295" s="62"/>
      <c r="I295" s="22">
        <f>H296+I294-(I291-I292)-I299</f>
        <v>0</v>
      </c>
      <c r="J295" s="22">
        <f>IF((I295+J294-(J291-J292)-J299)&lt;0,0,(I295+J294-(J291-J292)-J299))</f>
        <v>0</v>
      </c>
      <c r="K295" s="22">
        <f>IF((J295+K294-(K291-K292)-K299)&lt;0,0,(J295+K294-(K291-K292)-K299))</f>
        <v>0</v>
      </c>
      <c r="L295" s="22">
        <f>IF((K295+L294-(L291-L292)-L299)&lt;0,0,(K295+L294-(L291-L292)-L299))</f>
        <v>0</v>
      </c>
      <c r="M295" s="22">
        <f>IF((L295+M294-(M291-M292)-M299)&lt;0,0,(L295+M294-(M291-M292)-M299))</f>
        <v>0</v>
      </c>
      <c r="N295" s="22">
        <f>IF((M295+N294-(N291-N292)-N299)&lt;0,0,(M295+N294-(N291-N292)-N299))</f>
        <v>14680</v>
      </c>
      <c r="O295" s="22">
        <f>IF((N295+O294-(O291-O292)-O299)&lt;0,0,(N295+O294-(O291-O292)-O299))</f>
        <v>1245.199999999997</v>
      </c>
      <c r="P295" s="22">
        <f>IF((O295+P294-(P291-P292)-P299)&lt;0,0,(O295+P294-(P291-P292)-P299))</f>
        <v>23023.372</v>
      </c>
      <c r="Q295" s="22">
        <f>IF((P295+Q294-(Q291-Q292)-Q299)&lt;0,0,(P295+Q294-(Q291-Q292)-Q299))</f>
        <v>28079.756</v>
      </c>
      <c r="R295" s="22">
        <f>IF((Q295+R294-(R291-R292)-R299)&lt;0,0,(Q295+R294-(R291-R292)-R299))</f>
        <v>36782.831999999995</v>
      </c>
      <c r="S295" s="22"/>
      <c r="T295" s="22"/>
      <c r="U295" s="22"/>
      <c r="V295" s="22"/>
      <c r="W295" s="22"/>
      <c r="X295" s="22"/>
      <c r="Y295" s="22"/>
      <c r="Z295" s="22"/>
      <c r="AA295" s="22"/>
      <c r="AB295" s="22"/>
      <c r="AC295" s="22"/>
      <c r="AD295" s="22"/>
    </row>
    <row r="296" ht="12.7" customHeight="1">
      <c r="A296" t="s" s="18">
        <v>499</v>
      </c>
      <c r="B296" s="19">
        <v>400047</v>
      </c>
      <c r="C296" t="s" s="20">
        <v>500</v>
      </c>
      <c r="D296" t="s" s="21">
        <v>31</v>
      </c>
      <c r="E296" t="s" s="21">
        <f>A296&amp;D296</f>
        <v>506</v>
      </c>
      <c r="F296" s="31"/>
      <c r="G296" s="89"/>
      <c r="H296" s="33"/>
      <c r="I296" s="22">
        <v>0</v>
      </c>
      <c r="J296" s="48"/>
      <c r="K296" s="48"/>
      <c r="L296" s="48"/>
      <c r="M296" s="48"/>
      <c r="N296" s="48"/>
      <c r="O296" s="48"/>
      <c r="P296" s="48"/>
      <c r="Q296" s="48"/>
      <c r="R296" s="48"/>
      <c r="S296" s="22"/>
      <c r="T296" s="22"/>
      <c r="U296" s="22"/>
      <c r="V296" s="22"/>
      <c r="W296" s="22"/>
      <c r="X296" s="22"/>
      <c r="Y296" s="22"/>
      <c r="Z296" s="22"/>
      <c r="AA296" s="22"/>
      <c r="AB296" s="22"/>
      <c r="AC296" s="22"/>
      <c r="AD296" s="22"/>
    </row>
    <row r="297" ht="12.7" customHeight="1">
      <c r="A297" t="s" s="18">
        <v>499</v>
      </c>
      <c r="B297" s="19">
        <v>400047</v>
      </c>
      <c r="C297" t="s" s="20">
        <v>500</v>
      </c>
      <c r="D297" t="s" s="21">
        <v>33</v>
      </c>
      <c r="E297" t="s" s="21">
        <f>A297&amp;D297</f>
        <v>507</v>
      </c>
      <c r="F297" s="22">
        <v>0</v>
      </c>
      <c r="G297" s="22">
        <v>0</v>
      </c>
      <c r="H297" s="22">
        <v>0</v>
      </c>
      <c r="I297" s="22">
        <v>0</v>
      </c>
      <c r="J297" s="22">
        <f>IF((I295+J294-(J291-J292)-J299)&gt;0,0,(I295+J294-(J291-J292)-J299))</f>
        <v>0</v>
      </c>
      <c r="K297" s="22">
        <f>IF((J295+K294-(K291-K292)-K299)&gt;0,0,(J295+K294-(K291-K292)-K299))</f>
        <v>0</v>
      </c>
      <c r="L297" s="22">
        <f>IF((K295+L294-(L291-L292)-L299)&gt;0,0,(K295+L294-(L291-L292)-L299))</f>
        <v>0</v>
      </c>
      <c r="M297" s="22">
        <f>IF((L295+M294-(M291-M292)-M299)&gt;0,0,(L295+M294-(M291-M292)-M299))</f>
        <v>0</v>
      </c>
      <c r="N297" s="22">
        <f>IF((M295+N294-(N291-N292)-N299)&gt;0,0,(M295+N294-(N291-N292)-N299))</f>
        <v>0</v>
      </c>
      <c r="O297" s="22">
        <f>IF((N295+O294-(O291-O292)-O299)&gt;0,0,(N295+O294-(O291-O292)-O299))</f>
        <v>0</v>
      </c>
      <c r="P297" s="22">
        <f>IF((O295+P294-(P291-P292)-P299)&gt;0,0,(O295+P294-(P291-P292)-P299))</f>
        <v>0</v>
      </c>
      <c r="Q297" s="22">
        <f>IF((P295+Q294-(Q291-Q292)-Q299)&gt;0,0,(P295+Q294-(Q291-Q292)-Q299))</f>
        <v>0</v>
      </c>
      <c r="R297" s="22">
        <f>IF((Q295+R294-(R291-R292)-R299)&gt;0,0,(Q295+R294-(R291-R292)-R299))</f>
        <v>0</v>
      </c>
      <c r="S297" s="24">
        <f>IF((R295+S294-(S291-S292)-S299)&gt;0,0,(R295+S294-(S291-S292)-S299))</f>
        <v>-13547.65632</v>
      </c>
      <c r="T297" s="24"/>
      <c r="U297" s="24"/>
      <c r="V297" s="24"/>
      <c r="W297" s="24"/>
      <c r="X297" s="24"/>
      <c r="Y297" s="24"/>
      <c r="Z297" s="24"/>
      <c r="AA297" s="24"/>
      <c r="AB297" s="24"/>
      <c r="AC297" s="24"/>
      <c r="AD297" s="24"/>
    </row>
    <row r="298" ht="12.7" customHeight="1">
      <c r="A298" t="s" s="18">
        <v>499</v>
      </c>
      <c r="B298" s="19">
        <v>400047</v>
      </c>
      <c r="C298" t="s" s="20">
        <v>500</v>
      </c>
      <c r="D298" t="s" s="21">
        <v>35</v>
      </c>
      <c r="E298" t="s" s="21">
        <f>A298&amp;D298</f>
        <v>508</v>
      </c>
      <c r="F298" s="46"/>
      <c r="G298" s="49"/>
      <c r="H298" s="47"/>
      <c r="I298" s="22">
        <v>0</v>
      </c>
      <c r="J298" s="22">
        <v>0</v>
      </c>
      <c r="K298" s="22">
        <v>0</v>
      </c>
      <c r="L298" s="22">
        <v>0</v>
      </c>
      <c r="M298" s="22">
        <v>0</v>
      </c>
      <c r="N298" s="46"/>
      <c r="O298" s="58"/>
      <c r="P298" s="58"/>
      <c r="Q298" s="58"/>
      <c r="R298" s="59"/>
      <c r="S298" s="24"/>
      <c r="T298" s="24"/>
      <c r="U298" s="24"/>
      <c r="V298" s="24"/>
      <c r="W298" s="24"/>
      <c r="X298" s="24"/>
      <c r="Y298" s="24"/>
      <c r="Z298" s="24"/>
      <c r="AA298" s="24"/>
      <c r="AB298" s="24"/>
      <c r="AC298" s="24"/>
      <c r="AD298" s="24"/>
    </row>
    <row r="299" ht="12.7" customHeight="1">
      <c r="A299" t="s" s="18">
        <v>499</v>
      </c>
      <c r="B299" s="19">
        <v>400047</v>
      </c>
      <c r="C299" t="s" s="20">
        <v>500</v>
      </c>
      <c r="D299" t="s" s="21">
        <v>37</v>
      </c>
      <c r="E299" t="s" s="21">
        <f>A299&amp;D299</f>
        <v>509</v>
      </c>
      <c r="F299" s="22">
        <v>0</v>
      </c>
      <c r="G299" s="22">
        <v>0</v>
      </c>
      <c r="H299" s="30">
        <v>0</v>
      </c>
      <c r="I299" s="22">
        <f>IF(I298&gt;0,IF(I298-(I291-I292)&gt;0,(I298-(I291-I292)),0),0)</f>
        <v>0</v>
      </c>
      <c r="J299" s="22">
        <f>IF(J298&gt;0,IF(J298-(J291-J292)&gt;0,(J298-(J291-J292)),0),0)</f>
        <v>0</v>
      </c>
      <c r="K299" s="22">
        <f>IF(K298&gt;0,IF(K298-(K291-K292)&gt;0,(K298-(K291-K292)),0),0)</f>
        <v>0</v>
      </c>
      <c r="L299" s="22">
        <f>IF(L298&gt;0,IF(L298-(L291-L292)&gt;0,(L298-(L291-L292)),0),0)</f>
        <v>0</v>
      </c>
      <c r="M299" s="22">
        <v>0</v>
      </c>
      <c r="N299" s="22">
        <v>0</v>
      </c>
      <c r="O299" s="31"/>
      <c r="P299" s="32"/>
      <c r="Q299" s="32"/>
      <c r="R299" s="33"/>
      <c r="S299" s="24"/>
      <c r="T299" s="24"/>
      <c r="U299" s="24"/>
      <c r="V299" s="24"/>
      <c r="W299" s="24"/>
      <c r="X299" s="24"/>
      <c r="Y299" s="24"/>
      <c r="Z299" s="24"/>
      <c r="AA299" s="24"/>
      <c r="AB299" s="24"/>
      <c r="AC299" s="24"/>
      <c r="AD299" s="24"/>
    </row>
    <row r="300" ht="12.7" customHeight="1">
      <c r="A300" t="s" s="34">
        <v>499</v>
      </c>
      <c r="B300" s="35">
        <v>400047</v>
      </c>
      <c r="C300" t="s" s="36">
        <v>500</v>
      </c>
      <c r="D300" t="s" s="37">
        <v>39</v>
      </c>
      <c r="E300" t="s" s="37">
        <f>A300&amp;D300</f>
        <v>510</v>
      </c>
      <c r="F300" s="38">
        <f>IFERROR(F296/AVERAGE(G291:H291)*30,0)</f>
        <v>0</v>
      </c>
      <c r="G300" s="38">
        <f>IFERROR(G296/AVERAGE(H291:I291)*30,0)</f>
        <v>0</v>
      </c>
      <c r="H300" s="38">
        <f>IFERROR(H295/AVERAGE(I291:J291)*30,0)</f>
        <v>0</v>
      </c>
      <c r="I300" s="38">
        <f>IFERROR(I295/AVERAGE(J291:K291)*30,0)</f>
        <v>0</v>
      </c>
      <c r="J300" s="38">
        <f>IFERROR(J295/AVERAGE(K291:L291)*30,0)</f>
        <v>0</v>
      </c>
      <c r="K300" s="38">
        <f>IFERROR(K295/AVERAGE(L291:M291)*30,0)</f>
        <v>0</v>
      </c>
      <c r="L300" s="38">
        <f>IFERROR(L295/AVERAGE(M291:M291)*30,0)</f>
        <v>0</v>
      </c>
      <c r="M300" s="38">
        <v>0</v>
      </c>
      <c r="N300" s="38">
        <f>IFERROR(N295/AVERAGE(O291:P291)*30,0)</f>
        <v>13.20923372227388</v>
      </c>
      <c r="O300" s="38">
        <f>IFERROR(O295/AVERAGE(P291:Q291)*30,0)</f>
        <v>0.9390006043327028</v>
      </c>
      <c r="P300" s="38">
        <f>IFERROR(P295/AVERAGE(Q291:R291)*30,0)</f>
        <v>14.53487448619294</v>
      </c>
      <c r="Q300" s="38">
        <f>IFERROR(Q295/AVERAGE(R291:S291)*30,0)</f>
        <v>17.54483765933056</v>
      </c>
      <c r="R300" s="38">
        <f>IFERROR(R295/AVERAGE(S291:T291)*30,0)</f>
        <v>21.92478151580946</v>
      </c>
      <c r="S300" s="38">
        <f>IFERROR(S295/AVERAGE(T291:U291)*30,0)</f>
        <v>0</v>
      </c>
      <c r="T300" s="38"/>
      <c r="U300" s="38"/>
      <c r="V300" s="38"/>
      <c r="W300" s="38"/>
      <c r="X300" s="38"/>
      <c r="Y300" s="38"/>
      <c r="Z300" s="38"/>
      <c r="AA300" s="38"/>
      <c r="AB300" s="38"/>
      <c r="AC300" s="38"/>
      <c r="AD300" s="38"/>
    </row>
    <row r="301" ht="12" customHeight="1">
      <c r="A301" s="39"/>
      <c r="B301" s="40"/>
      <c r="C301" s="40"/>
      <c r="D301" s="40"/>
      <c r="E301" s="40"/>
      <c r="F301" s="40"/>
      <c r="G301" t="s" s="90">
        <v>2</v>
      </c>
      <c r="H301" s="91"/>
      <c r="I301" s="91"/>
      <c r="J301" s="91"/>
      <c r="K301" s="91"/>
      <c r="L301" s="91"/>
      <c r="M301" s="91"/>
      <c r="N301" s="91"/>
      <c r="O301" s="91"/>
      <c r="P301" s="91"/>
      <c r="Q301" s="91"/>
      <c r="R301" s="91"/>
      <c r="S301" t="s" s="90">
        <v>3</v>
      </c>
      <c r="T301" s="91"/>
      <c r="U301" s="91"/>
      <c r="V301" s="91"/>
      <c r="W301" s="91"/>
      <c r="X301" s="91"/>
      <c r="Y301" s="91"/>
      <c r="Z301" s="91"/>
      <c r="AA301" s="91"/>
      <c r="AB301" s="91"/>
      <c r="AC301" s="91"/>
      <c r="AD301" s="92"/>
    </row>
    <row r="302" ht="13.5" customHeight="1">
      <c r="A302" t="s" s="8">
        <v>4</v>
      </c>
      <c r="B302" t="s" s="9">
        <v>5</v>
      </c>
      <c r="C302" t="s" s="9">
        <v>6</v>
      </c>
      <c r="D302" t="s" s="9">
        <v>7</v>
      </c>
      <c r="E302" s="10"/>
      <c r="F302" t="s" s="9">
        <v>18</v>
      </c>
      <c r="G302" t="s" s="9">
        <v>8</v>
      </c>
      <c r="H302" t="s" s="9">
        <v>9</v>
      </c>
      <c r="I302" t="s" s="9">
        <v>10</v>
      </c>
      <c r="J302" t="s" s="9">
        <v>11</v>
      </c>
      <c r="K302" t="s" s="9">
        <v>1</v>
      </c>
      <c r="L302" t="s" s="9">
        <v>12</v>
      </c>
      <c r="M302" t="s" s="9">
        <v>13</v>
      </c>
      <c r="N302" t="s" s="98">
        <v>14</v>
      </c>
      <c r="O302" t="s" s="98">
        <v>15</v>
      </c>
      <c r="P302" t="s" s="98">
        <v>16</v>
      </c>
      <c r="Q302" t="s" s="98">
        <v>17</v>
      </c>
      <c r="R302" t="s" s="98">
        <v>18</v>
      </c>
      <c r="S302" t="s" s="9">
        <v>8</v>
      </c>
      <c r="T302" t="s" s="9">
        <v>9</v>
      </c>
      <c r="U302" t="s" s="9">
        <v>10</v>
      </c>
      <c r="V302" t="s" s="9">
        <v>11</v>
      </c>
      <c r="W302" t="s" s="9">
        <v>1</v>
      </c>
      <c r="X302" t="s" s="9">
        <v>12</v>
      </c>
      <c r="Y302" t="s" s="9">
        <v>13</v>
      </c>
      <c r="Z302" t="s" s="9">
        <v>14</v>
      </c>
      <c r="AA302" t="s" s="9">
        <v>15</v>
      </c>
      <c r="AB302" t="s" s="9">
        <v>16</v>
      </c>
      <c r="AC302" t="s" s="9">
        <v>17</v>
      </c>
      <c r="AD302" t="s" s="11">
        <v>18</v>
      </c>
    </row>
    <row r="303" ht="12.7" customHeight="1">
      <c r="A303" t="s" s="12">
        <v>511</v>
      </c>
      <c r="B303" s="13">
        <v>400105</v>
      </c>
      <c r="C303" t="s" s="14">
        <v>512</v>
      </c>
      <c r="D303" t="s" s="15">
        <v>21</v>
      </c>
      <c r="E303" t="s" s="15">
        <f>A303&amp;D303</f>
        <v>513</v>
      </c>
      <c r="F303" s="99"/>
      <c r="G303" s="97"/>
      <c r="H303" s="97"/>
      <c r="I303" s="97"/>
      <c r="J303" s="84"/>
      <c r="K303" s="84"/>
      <c r="L303" s="84"/>
      <c r="M303" s="85"/>
      <c r="N303" s="22">
        <v>0</v>
      </c>
      <c r="O303" s="22">
        <v>0</v>
      </c>
      <c r="P303" s="22">
        <v>8119.999999999999</v>
      </c>
      <c r="Q303" s="22">
        <v>5800</v>
      </c>
      <c r="R303" s="22">
        <v>5800</v>
      </c>
      <c r="S303" s="17">
        <v>5916</v>
      </c>
      <c r="T303" s="17"/>
      <c r="U303" s="17"/>
      <c r="V303" s="17"/>
      <c r="W303" s="17"/>
      <c r="X303" s="17"/>
      <c r="Y303" s="17"/>
      <c r="Z303" s="17"/>
      <c r="AA303" s="17"/>
      <c r="AB303" s="17"/>
      <c r="AC303" s="17"/>
      <c r="AD303" s="17"/>
    </row>
    <row r="304" ht="12.7" customHeight="1">
      <c r="A304" t="s" s="18">
        <v>511</v>
      </c>
      <c r="B304" s="19">
        <v>400105</v>
      </c>
      <c r="C304" t="s" s="20">
        <v>512</v>
      </c>
      <c r="D304" t="s" s="21">
        <v>23</v>
      </c>
      <c r="E304" t="s" s="21">
        <f>A304&amp;D304</f>
        <v>514</v>
      </c>
      <c r="F304" s="88"/>
      <c r="G304" s="87"/>
      <c r="H304" s="61"/>
      <c r="I304" s="62"/>
      <c r="J304" s="86">
        <f>INDEX('Sales Actual'!$H$5:$H$66,MATCH($A304,'Sales Actual'!$G$5:$G$66,0))</f>
        <v>0</v>
      </c>
      <c r="K304" s="86">
        <f>INDEX('Sales Actual'!$J$5:$J$66,MATCH($A304,'Sales Actual'!$I$5:$I$66,0))</f>
        <v>0</v>
      </c>
      <c r="L304" s="86">
        <f>INDEX('Sales Actual'!$L$5:$L$66,MATCH($A304,'Sales Actual'!$K$5:$K$66,0))</f>
        <v>0</v>
      </c>
      <c r="M304" s="86">
        <f>INDEX('Sales Actual'!$N$4:$N$65,MATCH($A304,'Sales Actual'!$M$4:$M$65,0))</f>
        <v>0</v>
      </c>
      <c r="N304" s="86">
        <f>INDEX('Sales Actual'!$P$4:$P$64,MATCH($A304,'Sales Actual'!$O$4:$O$65,0))</f>
        <v>0</v>
      </c>
      <c r="O304" s="86">
        <f>INDEX('Sales Actual'!$R$4:$R$65,MATCH($A304,'Sales Actual'!$Q$4:$Q$65,0))</f>
        <v>0</v>
      </c>
      <c r="P304" s="86">
        <f>INDEX('Sales Actual'!$T$4:$T$66,MATCH($A304,'Sales Actual'!$S$4:$S$66,0))</f>
        <v>0</v>
      </c>
      <c r="Q304" s="86">
        <f>INDEX('Sales Actual'!$V$4:$V$65,MATCH($A304,'Sales Actual'!$U$4:$U$65,0))</f>
        <v>0</v>
      </c>
      <c r="R304" s="86">
        <f>INDEX('Sales Actual'!$X$4:$X$65,MATCH($A304,'Sales Actual'!$W$4:$W$65,0))</f>
        <v>0</v>
      </c>
      <c r="S304" s="22"/>
      <c r="T304" s="22"/>
      <c r="U304" s="22"/>
      <c r="V304" s="22"/>
      <c r="W304" s="22"/>
      <c r="X304" s="22"/>
      <c r="Y304" s="22"/>
      <c r="Z304" s="22"/>
      <c r="AA304" s="22"/>
      <c r="AB304" s="22"/>
      <c r="AC304" s="22"/>
      <c r="AD304" s="22"/>
    </row>
    <row r="305" ht="12.7" customHeight="1">
      <c r="A305" t="s" s="18">
        <v>511</v>
      </c>
      <c r="B305" s="19">
        <v>400105</v>
      </c>
      <c r="C305" t="s" s="20">
        <v>512</v>
      </c>
      <c r="D305" t="s" s="21">
        <v>25</v>
      </c>
      <c r="E305" t="s" s="21">
        <f>A305&amp;D305</f>
        <v>515</v>
      </c>
      <c r="F305" s="57"/>
      <c r="G305" s="58"/>
      <c r="H305" s="61"/>
      <c r="I305" s="61"/>
      <c r="J305" s="58"/>
      <c r="K305" s="58"/>
      <c r="L305" s="58"/>
      <c r="M305" s="59"/>
      <c r="N305" s="22">
        <v>0</v>
      </c>
      <c r="O305" s="22">
        <f>O303</f>
        <v>0</v>
      </c>
      <c r="P305" s="22">
        <f>8*1400</f>
        <v>11200</v>
      </c>
      <c r="Q305" s="22">
        <f>8*700</f>
        <v>5600</v>
      </c>
      <c r="R305" s="22">
        <f>8*850</f>
        <v>6800</v>
      </c>
      <c r="S305" s="24">
        <v>0</v>
      </c>
      <c r="T305" s="24"/>
      <c r="U305" s="24"/>
      <c r="V305" s="24"/>
      <c r="W305" s="24"/>
      <c r="X305" s="24"/>
      <c r="Y305" s="24"/>
      <c r="Z305" s="24"/>
      <c r="AA305" s="24"/>
      <c r="AB305" s="24"/>
      <c r="AC305" s="24"/>
      <c r="AD305" s="24"/>
    </row>
    <row r="306" ht="12.7" customHeight="1">
      <c r="A306" t="s" s="18">
        <v>511</v>
      </c>
      <c r="B306" s="19">
        <v>400105</v>
      </c>
      <c r="C306" t="s" s="20">
        <v>512</v>
      </c>
      <c r="D306" t="s" s="21">
        <v>27</v>
      </c>
      <c r="E306" t="s" s="21">
        <f>A306&amp;D306</f>
        <v>516</v>
      </c>
      <c r="F306" s="60"/>
      <c r="G306" s="61"/>
      <c r="H306" s="61"/>
      <c r="I306" s="32"/>
      <c r="J306" s="32"/>
      <c r="K306" s="32"/>
      <c r="L306" s="32"/>
      <c r="M306" s="33"/>
      <c r="N306" s="22">
        <f>N305</f>
        <v>0</v>
      </c>
      <c r="O306" s="22">
        <f>O305</f>
        <v>0</v>
      </c>
      <c r="P306" s="22">
        <f>P305</f>
        <v>11200</v>
      </c>
      <c r="Q306" s="22">
        <f>Q305</f>
        <v>5600</v>
      </c>
      <c r="R306" s="22">
        <f>R305</f>
        <v>6800</v>
      </c>
      <c r="S306" s="24"/>
      <c r="T306" s="24"/>
      <c r="U306" s="24"/>
      <c r="V306" s="24"/>
      <c r="W306" s="24"/>
      <c r="X306" s="24"/>
      <c r="Y306" s="24"/>
      <c r="Z306" s="24"/>
      <c r="AA306" s="24"/>
      <c r="AB306" s="24"/>
      <c r="AC306" s="24"/>
      <c r="AD306" s="24"/>
    </row>
    <row r="307" ht="12.7" customHeight="1">
      <c r="A307" t="s" s="18">
        <v>511</v>
      </c>
      <c r="B307" s="19">
        <v>400105</v>
      </c>
      <c r="C307" t="s" s="20">
        <v>512</v>
      </c>
      <c r="D307" t="s" s="21">
        <v>29</v>
      </c>
      <c r="E307" t="s" s="21">
        <f>A307&amp;D307</f>
        <v>517</v>
      </c>
      <c r="F307" s="60"/>
      <c r="G307" s="87"/>
      <c r="H307" s="62"/>
      <c r="I307" s="22">
        <f>H308+I306-(I303-I304)-I311</f>
        <v>0</v>
      </c>
      <c r="J307" s="22">
        <f>IF((I307+J306-(J303-J304)-J311)&lt;0,0,(I307+J306-(J303-J304)-J311))</f>
        <v>0</v>
      </c>
      <c r="K307" s="22">
        <f>IF((J307+K306-(K303-K304)-K311)&lt;0,0,(J307+K306-(K303-K304)-K311))</f>
        <v>0</v>
      </c>
      <c r="L307" s="22">
        <f>IF((K307+L306-(L303-L304)-L311)&lt;0,0,(K307+L306-(L303-L304)-L311))</f>
        <v>0</v>
      </c>
      <c r="M307" s="22">
        <f>IF((L307+M306-(M303-M304)-M311)&lt;0,0,(L307+M306-(M303-M304)-M311))</f>
        <v>0</v>
      </c>
      <c r="N307" s="22">
        <f>IF((M307+N306-(N303-N304)-N311)&lt;0,0,(M307+N306-(N303-N304)-N311))</f>
        <v>0</v>
      </c>
      <c r="O307" s="22">
        <f>IF((N307+O306-(O303-O304)-O311)&lt;0,0,(N307+O306-(O303-O304)-O311))</f>
        <v>0</v>
      </c>
      <c r="P307" s="22">
        <f>IF((O307+P306-(P303-P304)-P311)&lt;0,0,(O307+P306-(P303-P304)-P311))</f>
        <v>3080.000000000001</v>
      </c>
      <c r="Q307" s="22">
        <f>IF((P307+Q306-(Q303-Q304)-Q311)&lt;0,0,(P307+Q306-(Q303-Q304)-Q311))</f>
        <v>2880</v>
      </c>
      <c r="R307" s="22">
        <f>IF((Q307+R306-(R303-R304)-R311)&lt;0,0,(Q307+R306-(R303-R304)-R311))</f>
        <v>3880</v>
      </c>
      <c r="S307" s="22"/>
      <c r="T307" s="22"/>
      <c r="U307" s="22"/>
      <c r="V307" s="22"/>
      <c r="W307" s="22"/>
      <c r="X307" s="22"/>
      <c r="Y307" s="22"/>
      <c r="Z307" s="22"/>
      <c r="AA307" s="22"/>
      <c r="AB307" s="22"/>
      <c r="AC307" s="22"/>
      <c r="AD307" s="22"/>
    </row>
    <row r="308" ht="12.7" customHeight="1">
      <c r="A308" t="s" s="18">
        <v>511</v>
      </c>
      <c r="B308" s="19">
        <v>400105</v>
      </c>
      <c r="C308" t="s" s="20">
        <v>512</v>
      </c>
      <c r="D308" t="s" s="21">
        <v>31</v>
      </c>
      <c r="E308" t="s" s="21">
        <f>A308&amp;D308</f>
        <v>518</v>
      </c>
      <c r="F308" s="31"/>
      <c r="G308" s="89"/>
      <c r="H308" s="33"/>
      <c r="I308" s="22">
        <v>0</v>
      </c>
      <c r="J308" s="48"/>
      <c r="K308" s="48"/>
      <c r="L308" s="48"/>
      <c r="M308" s="48"/>
      <c r="N308" s="48"/>
      <c r="O308" s="48"/>
      <c r="P308" s="48"/>
      <c r="Q308" s="48"/>
      <c r="R308" s="48"/>
      <c r="S308" s="22"/>
      <c r="T308" s="22"/>
      <c r="U308" s="22"/>
      <c r="V308" s="22"/>
      <c r="W308" s="22"/>
      <c r="X308" s="22"/>
      <c r="Y308" s="22"/>
      <c r="Z308" s="22"/>
      <c r="AA308" s="22"/>
      <c r="AB308" s="22"/>
      <c r="AC308" s="22"/>
      <c r="AD308" s="22"/>
    </row>
    <row r="309" ht="12.7" customHeight="1">
      <c r="A309" t="s" s="18">
        <v>511</v>
      </c>
      <c r="B309" s="19">
        <v>400105</v>
      </c>
      <c r="C309" t="s" s="20">
        <v>512</v>
      </c>
      <c r="D309" t="s" s="21">
        <v>33</v>
      </c>
      <c r="E309" t="s" s="21">
        <f>A309&amp;D309</f>
        <v>519</v>
      </c>
      <c r="F309" s="22">
        <v>0</v>
      </c>
      <c r="G309" s="22">
        <v>0</v>
      </c>
      <c r="H309" s="22">
        <v>0</v>
      </c>
      <c r="I309" s="22">
        <v>0</v>
      </c>
      <c r="J309" s="22">
        <f>IF((I307+J306-(J303-J304)-J311)&gt;0,0,(I307+J306-(J303-J304)-J311))</f>
        <v>0</v>
      </c>
      <c r="K309" s="22">
        <f>IF((J307+K306-(K303-K304)-K311)&gt;0,0,(J307+K306-(K303-K304)-K311))</f>
        <v>0</v>
      </c>
      <c r="L309" s="22">
        <f>IF((K307+L306-(L303-L304)-L311)&gt;0,0,(K307+L306-(L303-L304)-L311))</f>
        <v>0</v>
      </c>
      <c r="M309" s="22">
        <f>IF((L307+M306-(M303-M304)-M311)&gt;0,0,(L307+M306-(M303-M304)-M311))</f>
        <v>0</v>
      </c>
      <c r="N309" s="22">
        <f>IF((M307+N306-(N303-N304)-N311)&gt;0,0,(M307+N306-(N303-N304)-N311))</f>
        <v>0</v>
      </c>
      <c r="O309" s="22">
        <f>IF((N307+O306-(O303-O304)-O311)&gt;0,0,(N307+O306-(O303-O304)-O311))</f>
        <v>0</v>
      </c>
      <c r="P309" s="22">
        <f>IF((O307+P306-(P303-P304)-P311)&gt;0,0,(O307+P306-(P303-P304)-P311))</f>
        <v>0</v>
      </c>
      <c r="Q309" s="22">
        <f>IF((P307+Q306-(Q303-Q304)-Q311)&gt;0,0,(P307+Q306-(Q303-Q304)-Q311))</f>
        <v>0</v>
      </c>
      <c r="R309" s="22">
        <f>IF((Q307+R306-(R303-R304)-R311)&gt;0,0,(Q307+R306-(R303-R304)-R311))</f>
        <v>0</v>
      </c>
      <c r="S309" s="24">
        <f>IF((R307+S306-(S303-S304)-S311)&gt;0,0,(R307+S306-(S303-S304)-S311))</f>
        <v>-2036</v>
      </c>
      <c r="T309" s="24"/>
      <c r="U309" s="24"/>
      <c r="V309" s="24"/>
      <c r="W309" s="24"/>
      <c r="X309" s="24"/>
      <c r="Y309" s="24"/>
      <c r="Z309" s="24"/>
      <c r="AA309" s="24"/>
      <c r="AB309" s="24"/>
      <c r="AC309" s="24"/>
      <c r="AD309" s="24"/>
    </row>
    <row r="310" ht="12.7" customHeight="1">
      <c r="A310" t="s" s="18">
        <v>511</v>
      </c>
      <c r="B310" s="19">
        <v>400105</v>
      </c>
      <c r="C310" t="s" s="20">
        <v>512</v>
      </c>
      <c r="D310" t="s" s="21">
        <v>35</v>
      </c>
      <c r="E310" t="s" s="21">
        <f>A310&amp;D310</f>
        <v>520</v>
      </c>
      <c r="F310" s="46"/>
      <c r="G310" s="49"/>
      <c r="H310" s="47"/>
      <c r="I310" s="22">
        <v>0</v>
      </c>
      <c r="J310" s="22">
        <v>0</v>
      </c>
      <c r="K310" s="22">
        <v>0</v>
      </c>
      <c r="L310" s="22">
        <v>0</v>
      </c>
      <c r="M310" s="22">
        <v>0</v>
      </c>
      <c r="N310" s="46"/>
      <c r="O310" s="58"/>
      <c r="P310" s="58"/>
      <c r="Q310" s="58"/>
      <c r="R310" s="59"/>
      <c r="S310" s="24"/>
      <c r="T310" s="24"/>
      <c r="U310" s="24"/>
      <c r="V310" s="24"/>
      <c r="W310" s="24"/>
      <c r="X310" s="24"/>
      <c r="Y310" s="24"/>
      <c r="Z310" s="24"/>
      <c r="AA310" s="24"/>
      <c r="AB310" s="24"/>
      <c r="AC310" s="24"/>
      <c r="AD310" s="24"/>
    </row>
    <row r="311" ht="12.7" customHeight="1">
      <c r="A311" t="s" s="18">
        <v>511</v>
      </c>
      <c r="B311" s="19">
        <v>400105</v>
      </c>
      <c r="C311" t="s" s="20">
        <v>512</v>
      </c>
      <c r="D311" t="s" s="21">
        <v>37</v>
      </c>
      <c r="E311" t="s" s="21">
        <f>A311&amp;D311</f>
        <v>521</v>
      </c>
      <c r="F311" s="22">
        <v>0</v>
      </c>
      <c r="G311" s="22">
        <v>0</v>
      </c>
      <c r="H311" s="30">
        <v>0</v>
      </c>
      <c r="I311" s="22">
        <f>IF(I310&gt;0,IF(I310-(I303-I304)&gt;0,(I310-(I303-I304)),0),0)</f>
        <v>0</v>
      </c>
      <c r="J311" s="22">
        <f>IF(J310&gt;0,IF(J310-(J303-J304)&gt;0,(J310-(J303-J304)),0),0)</f>
        <v>0</v>
      </c>
      <c r="K311" s="22">
        <f>IF(K310&gt;0,IF(K310-(K303-K304)&gt;0,(K310-(K303-K304)),0),0)</f>
        <v>0</v>
      </c>
      <c r="L311" s="22">
        <f>IF(L310&gt;0,IF(L310-(L303-L304)&gt;0,(L310-(L303-L304)),0),0)</f>
        <v>0</v>
      </c>
      <c r="M311" s="22">
        <v>0</v>
      </c>
      <c r="N311" s="22">
        <v>0</v>
      </c>
      <c r="O311" s="31"/>
      <c r="P311" s="32"/>
      <c r="Q311" s="32"/>
      <c r="R311" s="33"/>
      <c r="S311" s="24"/>
      <c r="T311" s="24"/>
      <c r="U311" s="24"/>
      <c r="V311" s="24"/>
      <c r="W311" s="24"/>
      <c r="X311" s="24"/>
      <c r="Y311" s="24"/>
      <c r="Z311" s="24"/>
      <c r="AA311" s="24"/>
      <c r="AB311" s="24"/>
      <c r="AC311" s="24"/>
      <c r="AD311" s="24"/>
    </row>
    <row r="312" ht="12.7" customHeight="1">
      <c r="A312" t="s" s="34">
        <v>511</v>
      </c>
      <c r="B312" s="35">
        <v>400105</v>
      </c>
      <c r="C312" t="s" s="36">
        <v>512</v>
      </c>
      <c r="D312" t="s" s="37">
        <v>39</v>
      </c>
      <c r="E312" t="s" s="37">
        <f>A312&amp;D312</f>
        <v>522</v>
      </c>
      <c r="F312" s="38">
        <f>IFERROR(F308/AVERAGE(G303:H303)*30,0)</f>
        <v>0</v>
      </c>
      <c r="G312" s="38">
        <f>IFERROR(G308/AVERAGE(H303:I303)*30,0)</f>
        <v>0</v>
      </c>
      <c r="H312" s="38">
        <f>IFERROR(H307/AVERAGE(I303:J303)*30,0)</f>
        <v>0</v>
      </c>
      <c r="I312" s="38">
        <f>IFERROR(I307/AVERAGE(J303:K303)*30,0)</f>
        <v>0</v>
      </c>
      <c r="J312" s="38">
        <f>IFERROR(J307/AVERAGE(K303:L303)*30,0)</f>
        <v>0</v>
      </c>
      <c r="K312" s="38">
        <f>IFERROR(K307/AVERAGE(L303:M303)*30,0)</f>
        <v>0</v>
      </c>
      <c r="L312" s="38">
        <f>IFERROR(L307/AVERAGE(M303:M303)*30,0)</f>
        <v>0</v>
      </c>
      <c r="M312" s="38">
        <v>0</v>
      </c>
      <c r="N312" s="38">
        <f>IFERROR(N307/AVERAGE(O303:P303)*30,0)</f>
        <v>0</v>
      </c>
      <c r="O312" s="38">
        <f>IFERROR(O307/AVERAGE(P303:Q303)*30,0)</f>
        <v>0</v>
      </c>
      <c r="P312" s="38">
        <f>IFERROR(P307/AVERAGE(Q303:R303)*30,0)</f>
        <v>15.93103448275863</v>
      </c>
      <c r="Q312" s="38">
        <f>IFERROR(Q307/AVERAGE(R303:S303)*30,0)</f>
        <v>14.74906111300785</v>
      </c>
      <c r="R312" s="38">
        <f>IFERROR(R307/AVERAGE(S303:T303)*30,0)</f>
        <v>19.67545638945233</v>
      </c>
      <c r="S312" s="38">
        <f>IFERROR(S307/AVERAGE(T303:U303)*30,0)</f>
        <v>0</v>
      </c>
      <c r="T312" s="38"/>
      <c r="U312" s="38"/>
      <c r="V312" s="38"/>
      <c r="W312" s="38"/>
      <c r="X312" s="38"/>
      <c r="Y312" s="38"/>
      <c r="Z312" s="38"/>
      <c r="AA312" s="38"/>
      <c r="AB312" s="38"/>
      <c r="AC312" s="38"/>
      <c r="AD312" s="38"/>
    </row>
    <row r="313" ht="12" customHeight="1">
      <c r="A313" s="39"/>
      <c r="B313" s="40"/>
      <c r="C313" s="40"/>
      <c r="D313" s="40"/>
      <c r="E313" s="40"/>
      <c r="F313" s="40"/>
      <c r="G313" t="s" s="90">
        <v>2</v>
      </c>
      <c r="H313" s="91"/>
      <c r="I313" s="91"/>
      <c r="J313" s="91"/>
      <c r="K313" s="91"/>
      <c r="L313" s="91"/>
      <c r="M313" s="91"/>
      <c r="N313" s="91"/>
      <c r="O313" s="91"/>
      <c r="P313" s="91"/>
      <c r="Q313" s="91"/>
      <c r="R313" s="91"/>
      <c r="S313" t="s" s="90">
        <v>3</v>
      </c>
      <c r="T313" s="91"/>
      <c r="U313" s="91"/>
      <c r="V313" s="91"/>
      <c r="W313" s="91"/>
      <c r="X313" s="91"/>
      <c r="Y313" s="91"/>
      <c r="Z313" s="91"/>
      <c r="AA313" s="91"/>
      <c r="AB313" s="91"/>
      <c r="AC313" s="91"/>
      <c r="AD313" s="92"/>
    </row>
    <row r="314" ht="13.5" customHeight="1">
      <c r="A314" t="s" s="8">
        <v>210</v>
      </c>
      <c r="B314" s="40"/>
      <c r="C314" s="10"/>
      <c r="D314" t="s" s="9">
        <v>7</v>
      </c>
      <c r="E314" s="10"/>
      <c r="F314" t="s" s="9">
        <v>18</v>
      </c>
      <c r="G314" t="s" s="9">
        <v>8</v>
      </c>
      <c r="H314" t="s" s="9">
        <v>9</v>
      </c>
      <c r="I314" t="s" s="9">
        <v>10</v>
      </c>
      <c r="J314" t="s" s="9">
        <v>11</v>
      </c>
      <c r="K314" t="s" s="9">
        <v>1</v>
      </c>
      <c r="L314" t="s" s="9">
        <v>12</v>
      </c>
      <c r="M314" t="s" s="9">
        <v>13</v>
      </c>
      <c r="N314" t="s" s="9">
        <v>14</v>
      </c>
      <c r="O314" t="s" s="9">
        <v>15</v>
      </c>
      <c r="P314" t="s" s="9">
        <v>16</v>
      </c>
      <c r="Q314" t="s" s="9">
        <v>17</v>
      </c>
      <c r="R314" t="s" s="9">
        <v>18</v>
      </c>
      <c r="S314" t="s" s="9">
        <v>8</v>
      </c>
      <c r="T314" t="s" s="9">
        <v>9</v>
      </c>
      <c r="U314" t="s" s="9">
        <v>10</v>
      </c>
      <c r="V314" t="s" s="9">
        <v>11</v>
      </c>
      <c r="W314" t="s" s="9">
        <v>1</v>
      </c>
      <c r="X314" t="s" s="9">
        <v>12</v>
      </c>
      <c r="Y314" t="s" s="9">
        <v>13</v>
      </c>
      <c r="Z314" t="s" s="9">
        <v>14</v>
      </c>
      <c r="AA314" t="s" s="9">
        <v>15</v>
      </c>
      <c r="AB314" t="s" s="9">
        <v>16</v>
      </c>
      <c r="AC314" t="s" s="9">
        <v>17</v>
      </c>
      <c r="AD314" t="s" s="11">
        <v>18</v>
      </c>
    </row>
    <row r="315" ht="12.7" customHeight="1">
      <c r="A315" s="66"/>
      <c r="B315" s="67"/>
      <c r="C315" s="68"/>
      <c r="D315" t="s" s="15">
        <v>21</v>
      </c>
      <c r="E315" t="s" s="15">
        <f>A315&amp;D315</f>
        <v>523</v>
      </c>
      <c r="F315" s="99"/>
      <c r="G315" s="83"/>
      <c r="H315" s="97"/>
      <c r="I315" s="97"/>
      <c r="J315" s="97"/>
      <c r="K315" s="97"/>
      <c r="L315" s="97"/>
      <c r="M315" s="97"/>
      <c r="N315" s="97"/>
      <c r="O315" s="97"/>
      <c r="P315" s="97"/>
      <c r="Q315" s="97"/>
      <c r="R315" s="94"/>
      <c r="S315" s="17">
        <f>G316+H316</f>
        <v>0</v>
      </c>
      <c r="T315" s="17"/>
      <c r="U315" s="17"/>
      <c r="V315" s="17"/>
      <c r="W315" s="17"/>
      <c r="X315" s="17"/>
      <c r="Y315" s="17"/>
      <c r="Z315" s="17"/>
      <c r="AA315" s="17"/>
      <c r="AB315" s="17"/>
      <c r="AC315" s="17"/>
      <c r="AD315" s="17"/>
    </row>
    <row r="316" ht="12.7" customHeight="1">
      <c r="A316" s="70"/>
      <c r="B316" s="71"/>
      <c r="C316" s="72"/>
      <c r="D316" t="s" s="21">
        <v>23</v>
      </c>
      <c r="E316" t="s" s="21">
        <f>A316&amp;D316</f>
        <v>524</v>
      </c>
      <c r="F316" s="60"/>
      <c r="G316" s="89"/>
      <c r="H316" s="61"/>
      <c r="I316" s="61"/>
      <c r="J316" s="61"/>
      <c r="K316" s="61"/>
      <c r="L316" s="61"/>
      <c r="M316" s="61"/>
      <c r="N316" s="61"/>
      <c r="O316" s="61"/>
      <c r="P316" s="61"/>
      <c r="Q316" s="61"/>
      <c r="R316" s="62"/>
      <c r="S316" s="22"/>
      <c r="T316" s="22"/>
      <c r="U316" s="22"/>
      <c r="V316" s="22"/>
      <c r="W316" s="22"/>
      <c r="X316" s="22"/>
      <c r="Y316" s="22"/>
      <c r="Z316" s="22"/>
      <c r="AA316" s="22"/>
      <c r="AB316" s="22"/>
      <c r="AC316" s="22"/>
      <c r="AD316" s="22"/>
    </row>
    <row r="317" ht="12.7" customHeight="1">
      <c r="A317" s="70"/>
      <c r="B317" s="71"/>
      <c r="C317" s="72"/>
      <c r="D317" t="s" s="21">
        <v>25</v>
      </c>
      <c r="E317" t="s" s="21">
        <f>A317&amp;D317</f>
        <v>525</v>
      </c>
      <c r="F317" s="60"/>
      <c r="G317" s="89"/>
      <c r="H317" s="61"/>
      <c r="I317" s="61"/>
      <c r="J317" s="61"/>
      <c r="K317" s="61"/>
      <c r="L317" s="61"/>
      <c r="M317" s="61"/>
      <c r="N317" s="32"/>
      <c r="O317" s="61"/>
      <c r="P317" s="61"/>
      <c r="Q317" s="61"/>
      <c r="R317" s="62"/>
      <c r="S317" s="24">
        <v>0</v>
      </c>
      <c r="T317" s="24"/>
      <c r="U317" s="24"/>
      <c r="V317" s="24"/>
      <c r="W317" s="24"/>
      <c r="X317" s="24"/>
      <c r="Y317" s="24"/>
      <c r="Z317" s="24"/>
      <c r="AA317" s="24"/>
      <c r="AB317" s="24"/>
      <c r="AC317" s="24"/>
      <c r="AD317" s="24"/>
    </row>
    <row r="318" ht="12.7" customHeight="1">
      <c r="A318" s="70"/>
      <c r="B318" s="71"/>
      <c r="C318" s="72"/>
      <c r="D318" t="s" s="21">
        <v>27</v>
      </c>
      <c r="E318" t="s" s="21">
        <f>A318&amp;D318</f>
        <v>526</v>
      </c>
      <c r="F318" s="60"/>
      <c r="G318" s="89"/>
      <c r="H318" s="61"/>
      <c r="I318" s="32"/>
      <c r="J318" s="32"/>
      <c r="K318" s="32"/>
      <c r="L318" s="32"/>
      <c r="M318" s="33"/>
      <c r="N318" s="22"/>
      <c r="O318" s="31"/>
      <c r="P318" s="32"/>
      <c r="Q318" s="32"/>
      <c r="R318" s="33"/>
      <c r="S318" s="24"/>
      <c r="T318" s="24"/>
      <c r="U318" s="24"/>
      <c r="V318" s="24"/>
      <c r="W318" s="24"/>
      <c r="X318" s="24"/>
      <c r="Y318" s="24"/>
      <c r="Z318" s="24"/>
      <c r="AA318" s="24"/>
      <c r="AB318" s="24"/>
      <c r="AC318" s="24"/>
      <c r="AD318" s="24"/>
    </row>
    <row r="319" ht="12.7" customHeight="1">
      <c r="A319" s="70"/>
      <c r="B319" s="71"/>
      <c r="C319" s="72"/>
      <c r="D319" t="s" s="21">
        <v>29</v>
      </c>
      <c r="E319" t="s" s="21">
        <f>A319&amp;D319</f>
        <v>527</v>
      </c>
      <c r="F319" s="60"/>
      <c r="G319" s="58"/>
      <c r="H319" s="62"/>
      <c r="I319" s="22">
        <f>H320+I318-(I315-I316)-I323</f>
        <v>0</v>
      </c>
      <c r="J319" s="22">
        <f>IF((I319+J318-(J315-J316)-J323)&lt;0,0,(I319+J318-(J315-J316)-J323))</f>
        <v>0</v>
      </c>
      <c r="K319" s="22">
        <f>IF((J319+K318-(K315-K316)-K323)&lt;0,0,(J319+K318-(K315-K316)-K323))</f>
        <v>0</v>
      </c>
      <c r="L319" s="22">
        <f>IF((K319+L318-(L315-L316)-L323)&lt;0,0,(K319+L318-(L315-L316)-L323))</f>
        <v>0</v>
      </c>
      <c r="M319" s="22">
        <f>IF((L319+M318-(M315-M316)-M323)&lt;0,0,(L319+M318-(M315-M316)-M323))</f>
        <v>0</v>
      </c>
      <c r="N319" s="22">
        <f>IF((M319+N318-(N315-N316)-N323)&lt;0,0,(M319+N318-(N315-N316)-N323))</f>
        <v>0</v>
      </c>
      <c r="O319" s="22">
        <f>IF((N319+O318-(O315-O316)-O323)&lt;0,0,(N319+O318-(O315-O316)-O323))</f>
        <v>0</v>
      </c>
      <c r="P319" s="22">
        <f>IF((O319+P318-(P315-P316)-P323)&lt;0,0,(O319+P318-(P315-P316)-P323))</f>
        <v>0</v>
      </c>
      <c r="Q319" s="22">
        <f>IF((P319+Q318-(Q315-Q316)-Q323)&lt;0,0,(P319+Q318-(Q315-Q316)-Q323))</f>
        <v>0</v>
      </c>
      <c r="R319" s="22">
        <f>IF((Q319+R318-(R315-R316)-R323)&lt;0,0,(Q319+R318-(R315-R316)-R323))</f>
        <v>0</v>
      </c>
      <c r="S319" s="22"/>
      <c r="T319" s="22"/>
      <c r="U319" s="22"/>
      <c r="V319" s="22"/>
      <c r="W319" s="22"/>
      <c r="X319" s="22"/>
      <c r="Y319" s="22"/>
      <c r="Z319" s="22"/>
      <c r="AA319" s="22"/>
      <c r="AB319" s="22"/>
      <c r="AC319" s="22"/>
      <c r="AD319" s="22"/>
    </row>
    <row r="320" ht="12.7" customHeight="1">
      <c r="A320" s="70"/>
      <c r="B320" s="71"/>
      <c r="C320" s="72"/>
      <c r="D320" t="s" s="21">
        <v>31</v>
      </c>
      <c r="E320" t="s" s="21">
        <f>A320&amp;D320</f>
        <v>528</v>
      </c>
      <c r="F320" s="31"/>
      <c r="G320" s="87"/>
      <c r="H320" s="33"/>
      <c r="I320" s="22">
        <v>0</v>
      </c>
      <c r="J320" s="22">
        <v>0</v>
      </c>
      <c r="K320" s="22">
        <v>0</v>
      </c>
      <c r="L320" s="22">
        <v>0</v>
      </c>
      <c r="M320" s="22">
        <v>0</v>
      </c>
      <c r="N320" s="22">
        <v>0</v>
      </c>
      <c r="O320" s="46"/>
      <c r="P320" s="49"/>
      <c r="Q320" s="49"/>
      <c r="R320" s="47"/>
      <c r="S320" s="22"/>
      <c r="T320" s="22"/>
      <c r="U320" s="22"/>
      <c r="V320" s="22"/>
      <c r="W320" s="22"/>
      <c r="X320" s="22"/>
      <c r="Y320" s="22"/>
      <c r="Z320" s="22"/>
      <c r="AA320" s="22"/>
      <c r="AB320" s="22"/>
      <c r="AC320" s="22"/>
      <c r="AD320" s="22"/>
    </row>
    <row r="321" ht="12.7" customHeight="1">
      <c r="A321" s="70"/>
      <c r="B321" s="71"/>
      <c r="C321" s="72"/>
      <c r="D321" t="s" s="21">
        <v>33</v>
      </c>
      <c r="E321" t="s" s="21">
        <f>A321&amp;D321</f>
        <v>529</v>
      </c>
      <c r="F321" s="22">
        <v>0</v>
      </c>
      <c r="G321" s="22">
        <v>0</v>
      </c>
      <c r="H321" s="22">
        <v>0</v>
      </c>
      <c r="I321" s="22">
        <v>0</v>
      </c>
      <c r="J321" s="22">
        <f>IF((I319+J318-(J315-J316)-J323)&gt;0,0,(I319+J318-(J315-J316)-J323))</f>
        <v>0</v>
      </c>
      <c r="K321" s="22">
        <f>IF((J319+K318-(K315-K316)-K323)&gt;0,0,(J319+K318-(K315-K316)-K323))</f>
        <v>0</v>
      </c>
      <c r="L321" s="22">
        <f>IF((K319+L318-(L315-L316)-L323)&gt;0,0,(K319+L318-(L315-L316)-L323))</f>
        <v>0</v>
      </c>
      <c r="M321" s="22">
        <f>IF((L319+M318-(M315-M316)-M323)&gt;0,0,(L319+M318-(M315-M316)-M323))</f>
        <v>0</v>
      </c>
      <c r="N321" s="22">
        <f>IF((M319+N318-(N315-N316)-N323)&gt;0,0,(M319+N318-(N315-N316)-N323))</f>
        <v>0</v>
      </c>
      <c r="O321" s="22">
        <f>IF((N319+O318-(O315-O316)-O323)&gt;0,0,(N319+O318-(O315-O316)-O323))</f>
        <v>0</v>
      </c>
      <c r="P321" s="22">
        <f>IF((O319+P318-(P315-P316)-P323)&gt;0,0,(O319+P318-(P315-P316)-P323))</f>
        <v>0</v>
      </c>
      <c r="Q321" s="22">
        <f>IF((P319+Q318-(Q315-Q316)-Q323)&gt;0,0,(P319+Q318-(Q315-Q316)-Q323))</f>
        <v>0</v>
      </c>
      <c r="R321" s="22">
        <f>IF((Q319+R318-(R315-R316)-R323)&gt;0,0,(Q319+R318-(R315-R316)-R323))</f>
        <v>0</v>
      </c>
      <c r="S321" s="24">
        <f>IF((R319+S318-(S315-S316)-S323)&gt;0,0,(R319+S318-(S315-S316)-S323))</f>
        <v>0</v>
      </c>
      <c r="T321" s="24"/>
      <c r="U321" s="24"/>
      <c r="V321" s="24"/>
      <c r="W321" s="24"/>
      <c r="X321" s="24"/>
      <c r="Y321" s="24"/>
      <c r="Z321" s="24"/>
      <c r="AA321" s="24"/>
      <c r="AB321" s="24"/>
      <c r="AC321" s="24"/>
      <c r="AD321" s="24"/>
    </row>
    <row r="322" ht="12.7" customHeight="1">
      <c r="A322" s="70"/>
      <c r="B322" s="71"/>
      <c r="C322" s="72"/>
      <c r="D322" t="s" s="21">
        <v>35</v>
      </c>
      <c r="E322" t="s" s="21">
        <f>A322&amp;D322</f>
        <v>530</v>
      </c>
      <c r="F322" s="46"/>
      <c r="G322" s="49"/>
      <c r="H322" s="47"/>
      <c r="I322" s="22">
        <v>0</v>
      </c>
      <c r="J322" s="22">
        <v>0</v>
      </c>
      <c r="K322" s="22">
        <v>0</v>
      </c>
      <c r="L322" s="22">
        <v>0</v>
      </c>
      <c r="M322" s="22">
        <v>0</v>
      </c>
      <c r="N322" s="46"/>
      <c r="O322" s="58"/>
      <c r="P322" s="58"/>
      <c r="Q322" s="58"/>
      <c r="R322" s="59"/>
      <c r="S322" s="24"/>
      <c r="T322" s="24"/>
      <c r="U322" s="24"/>
      <c r="V322" s="24"/>
      <c r="W322" s="24"/>
      <c r="X322" s="24"/>
      <c r="Y322" s="24"/>
      <c r="Z322" s="24"/>
      <c r="AA322" s="24"/>
      <c r="AB322" s="24"/>
      <c r="AC322" s="24"/>
      <c r="AD322" s="24"/>
    </row>
    <row r="323" ht="12.7" customHeight="1">
      <c r="A323" s="70"/>
      <c r="B323" s="71"/>
      <c r="C323" s="72"/>
      <c r="D323" t="s" s="21">
        <v>37</v>
      </c>
      <c r="E323" t="s" s="21">
        <f>A323&amp;D323</f>
        <v>531</v>
      </c>
      <c r="F323" s="22">
        <v>0</v>
      </c>
      <c r="G323" s="22">
        <v>0</v>
      </c>
      <c r="H323" s="30">
        <v>0</v>
      </c>
      <c r="I323" s="22">
        <f>IF(I322&gt;0,IF(I322-(I315-I316)&gt;0,(I322-(I315-I316)),0),0)</f>
        <v>0</v>
      </c>
      <c r="J323" s="22">
        <f>IF(J322&gt;0,IF(J322-(J315-J316)&gt;0,(J322-(J315-J316)),0),0)</f>
        <v>0</v>
      </c>
      <c r="K323" s="22">
        <f>IF(K322&gt;0,IF(K322-(K315-K316)&gt;0,(K322-(K315-K316)),0),0)</f>
        <v>0</v>
      </c>
      <c r="L323" s="22">
        <f>IF(L322&gt;0,IF(L322-(L315-L316)&gt;0,(L322-(L315-L316)),0),0)</f>
        <v>0</v>
      </c>
      <c r="M323" s="22">
        <v>0</v>
      </c>
      <c r="N323" s="22">
        <v>0</v>
      </c>
      <c r="O323" s="31"/>
      <c r="P323" s="32"/>
      <c r="Q323" s="32"/>
      <c r="R323" s="33"/>
      <c r="S323" s="24"/>
      <c r="T323" s="24"/>
      <c r="U323" s="24"/>
      <c r="V323" s="24"/>
      <c r="W323" s="24"/>
      <c r="X323" s="24"/>
      <c r="Y323" s="24"/>
      <c r="Z323" s="24"/>
      <c r="AA323" s="24"/>
      <c r="AB323" s="24"/>
      <c r="AC323" s="24"/>
      <c r="AD323" s="24"/>
    </row>
    <row r="324" ht="12.7" customHeight="1">
      <c r="A324" s="74"/>
      <c r="B324" s="75"/>
      <c r="C324" s="76"/>
      <c r="D324" t="s" s="37">
        <v>39</v>
      </c>
      <c r="E324" t="s" s="37">
        <f>A324&amp;D324</f>
        <v>532</v>
      </c>
      <c r="F324" s="38">
        <f>IFERROR(F320/AVERAGE(G315:H315)*30,0)</f>
        <v>0</v>
      </c>
      <c r="G324" s="38">
        <f>IFERROR(G320/AVERAGE(H315:I315)*30,0)</f>
        <v>0</v>
      </c>
      <c r="H324" s="38">
        <f>IFERROR(H319/AVERAGE(I315:J315)*30,0)</f>
        <v>0</v>
      </c>
      <c r="I324" s="38">
        <f>IFERROR(I319/AVERAGE(J315:K315)*30,0)</f>
        <v>0</v>
      </c>
      <c r="J324" s="38">
        <f>IFERROR(J319/AVERAGE(K315:L315)*30,0)</f>
        <v>0</v>
      </c>
      <c r="K324" s="38">
        <f>IFERROR(K319/AVERAGE(L315:M315)*30,0)</f>
        <v>0</v>
      </c>
      <c r="L324" s="38">
        <f>IFERROR(L319/AVERAGE(M315:N315)*30,0)</f>
        <v>0</v>
      </c>
      <c r="M324" s="38">
        <f>IFERROR(M319/AVERAGE(N315:O315)*30,0)</f>
        <v>0</v>
      </c>
      <c r="N324" s="38">
        <f>IFERROR(N319/AVERAGE(O315:P315)*30,0)</f>
        <v>0</v>
      </c>
      <c r="O324" s="38">
        <f>IFERROR(O319/AVERAGE(P315:Q315)*30,0)</f>
        <v>0</v>
      </c>
      <c r="P324" s="38">
        <f>IFERROR(P319/AVERAGE(Q315:R315)*30,0)</f>
        <v>0</v>
      </c>
      <c r="Q324" s="38">
        <f>IFERROR(Q319/AVERAGE(R315:S315)*30,0)</f>
        <v>0</v>
      </c>
      <c r="R324" s="38">
        <f>IFERROR(R319/AVERAGE(S315:T315)*30,0)</f>
        <v>0</v>
      </c>
      <c r="S324" s="38">
        <f>IFERROR(S319/AVERAGE(T315:U315)*30,0)</f>
        <v>0</v>
      </c>
      <c r="T324" s="38"/>
      <c r="U324" s="38"/>
      <c r="V324" s="38"/>
      <c r="W324" s="38"/>
      <c r="X324" s="38"/>
      <c r="Y324" s="38"/>
      <c r="Z324" s="38"/>
      <c r="AA324" s="38"/>
      <c r="AB324" s="38"/>
      <c r="AC324" s="38"/>
      <c r="AD324" s="38"/>
    </row>
    <row r="325" ht="16" customHeight="1">
      <c r="A325" s="100"/>
      <c r="B325" s="101"/>
      <c r="C325" s="101"/>
      <c r="D325" s="101"/>
      <c r="E325" s="101"/>
      <c r="F325" s="101"/>
      <c r="G325" s="102"/>
      <c r="H325" s="102"/>
      <c r="I325" s="102"/>
      <c r="J325" s="102"/>
      <c r="K325" s="102"/>
      <c r="L325" s="102"/>
      <c r="M325" s="102"/>
      <c r="N325" s="102"/>
      <c r="O325" s="102"/>
      <c r="P325" s="102"/>
      <c r="Q325" s="102"/>
      <c r="R325" s="102"/>
      <c r="S325" s="102"/>
      <c r="T325" s="102"/>
      <c r="U325" s="102"/>
      <c r="V325" s="102"/>
      <c r="W325" s="102"/>
      <c r="X325" s="102"/>
      <c r="Y325" s="102"/>
      <c r="Z325" s="102"/>
      <c r="AA325" s="102"/>
      <c r="AB325" s="102"/>
      <c r="AC325" s="102"/>
      <c r="AD325" s="103"/>
    </row>
  </sheetData>
  <mergeCells count="57">
    <mergeCell ref="S289:AD289"/>
    <mergeCell ref="G37:R37"/>
    <mergeCell ref="A1:B1"/>
    <mergeCell ref="S253:AD253"/>
    <mergeCell ref="G301:R301"/>
    <mergeCell ref="S301:AD301"/>
    <mergeCell ref="G241:R241"/>
    <mergeCell ref="S193:AD193"/>
    <mergeCell ref="S313:AD313"/>
    <mergeCell ref="G313:R313"/>
    <mergeCell ref="S265:AD265"/>
    <mergeCell ref="G265:R265"/>
    <mergeCell ref="S217:AD217"/>
    <mergeCell ref="S181:AD181"/>
    <mergeCell ref="G229:R229"/>
    <mergeCell ref="G277:R277"/>
    <mergeCell ref="S229:AD229"/>
    <mergeCell ref="G289:R289"/>
    <mergeCell ref="S241:AD241"/>
    <mergeCell ref="G253:R253"/>
    <mergeCell ref="S205:AD205"/>
    <mergeCell ref="G217:R217"/>
    <mergeCell ref="S169:AD169"/>
    <mergeCell ref="G181:R181"/>
    <mergeCell ref="S133:AD133"/>
    <mergeCell ref="G193:R193"/>
    <mergeCell ref="S145:AD145"/>
    <mergeCell ref="G169:R169"/>
    <mergeCell ref="S121:AD121"/>
    <mergeCell ref="S109:AD109"/>
    <mergeCell ref="G157:R157"/>
    <mergeCell ref="G205:R205"/>
    <mergeCell ref="S157:AD157"/>
    <mergeCell ref="G121:R121"/>
    <mergeCell ref="S73:AD73"/>
    <mergeCell ref="G133:R133"/>
    <mergeCell ref="S85:AD85"/>
    <mergeCell ref="G145:R145"/>
    <mergeCell ref="S97:AD97"/>
    <mergeCell ref="G85:R85"/>
    <mergeCell ref="S37:AD37"/>
    <mergeCell ref="S325:AD325"/>
    <mergeCell ref="G97:R97"/>
    <mergeCell ref="S49:AD49"/>
    <mergeCell ref="G109:R109"/>
    <mergeCell ref="S61:AD61"/>
    <mergeCell ref="G1:R1"/>
    <mergeCell ref="S277:AD277"/>
    <mergeCell ref="G325:R325"/>
    <mergeCell ref="G49:R49"/>
    <mergeCell ref="S1:AD1"/>
    <mergeCell ref="G61:R61"/>
    <mergeCell ref="S13:AD13"/>
    <mergeCell ref="G25:R25"/>
    <mergeCell ref="G13:R13"/>
    <mergeCell ref="G73:R73"/>
    <mergeCell ref="S25:AD25"/>
  </mergeCells>
  <conditionalFormatting sqref="G1:AD2 H3:AD3 F4:I6 S4:AD4 J5:AD6 F7 H7:AD7 H8 J8:AD8 F9:AD12 G13:AD13 F14:AD14 F15:F16 H15:AD15 G16:I16 S16:AD16 F17:AD18 F19 H19:AD20 F21:AD24 G25:AD25 F26:AD26 F27:F28 H27:AD27 G28:I28 S28:AD28 F29:AD31 F32:F36 H32:AD32 G33:AD37 F38:AD38 F39:F40 H39:AD39 G40:I40 S40:AD40 F41:AD43 F44:F48 H44:AD44 G45:AD49 F50:AD50 F51:F52 H51:AD51 G52:I52 S52:AD52 F53:AD55 F56:F60 H56:AD56 G57:AD61 F62:AD62 F63:F64 H63:AD63 G64:I64 S64:AD64 F65:AD67 F68:F72 H68:AD68 G69:AD73 F74:AD74 F75:F76 H75:AD75 G76:I76 S76:AD76 F77:AD79 F80:F84 H80:AD80 G81:AD85 F86:AD86 F87:F88 H87:AD87 G88:I88 S88:AD88 F89:AD91 F92:F96 H92:AD92 G93:AD97 F98:AD98 F99:F100 H99:AD99 G100:I100 S100:AD100 F101:AD103 F104:F108 H104:AD104 G105:AD109 F110:AD110 F111:F112 H111:AD111 G112:I112 S112:AD112 F113:AD115 F116:F120 H116:AD116 G117:AD121 F122:AD122 F123:F124 H123:AD123 G124:I124 S124:AD124 F125:AD127 F128:F132 H128:AD128 G129:AD133 F134:AD134 F135:F136 H135:AD135 G136:I136 S136:AD136 F137:AD139 F140:F144 H140:AD140 G141:AD145 F146:AD146 F147:F148 H147:AD147 G148:I148 S148:AD148 F149:AD151 F152:F156 H152:AD152 G153:AD157 F158:AD158 F159:F160 H159:AD159 G160:I160 S160:AD160 F161:AD163 F164:F168 H164:AD164 G165:AD169 F170:AD170 F171:F172 H171:AD171 G172:I172 S172:AD172 F173:AD175 F176:F180 H176:AD176 G177:AD181 F182:AD182 F183:F184 H183:AD183 G184:I184 S184:AD184 F185:AD187 F188:F192 H188:AD188 G189:AD193 F194:AD194 F195:F196 H195:AD195 G196:I196 S196:AD196 F197:AD199 F200:F204 H200:AD200 G201:AD205 F206:AD206 F207:F208 H207:AD207 G208:I208 S208:AD208 F209:AD211 F212:F216 H212:AD212 G213:AD217 F218:AD218 F219:F220 H219:AD219 G220:I220 S220:AD220 F221:AD223 F224:F228 H224:AD224 G225:AD229 F230:AD231 F232:I235 S232:AD232 J233:AD235 F236:F240 H236:AD236 G237:AD241 F242:AD243 F244:I246 S244:AD244 J245:AD246 F247:F252 H247:AD248 G249:AD253 F254:AD255 H256:I256 S256:AD256 F257:AD258 F259:F264 H259:AD260 G261:AD265 F266:AD267 H268:I268 S268:AD268 F269:AD271 F272:F276 H272:AD272 G273:AD277 F278:AD279 H280:I280 S280:AD280 F281:AD283 F284:F288 H284:AD284 G285:AD289 F290:AD291 H292:I292 S292:AD292 F293:AD294 F295:F300 H295:AD296 G297:AD301 F302:AD303 H304:I304 S304:AD304 F305:AD306 F307:F312 H307:AD308 G309:AD313 F314:AD314 F315:F320 H315:AD318 G319:AD319 H320:AD320 F321:AD324 G325:AD325">
    <cfRule type="cellIs" dxfId="1" priority="1" operator="lessThan" stopIfTrue="1">
      <formula>0</formula>
    </cfRule>
  </conditionalFormatting>
  <conditionalFormatting sqref="F2">
    <cfRule type="cellIs" dxfId="2" priority="1" operator="lessThan"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dimension ref="A1:X72"/>
  <sheetViews>
    <sheetView workbookViewId="0" showGridLines="0" defaultGridColor="1"/>
  </sheetViews>
  <sheetFormatPr defaultColWidth="8.83333" defaultRowHeight="13.5" customHeight="1" outlineLevelRow="0" outlineLevelCol="0"/>
  <cols>
    <col min="1" max="1" width="8.5" style="104" customWidth="1"/>
    <col min="2" max="2" width="8.17188" style="104" customWidth="1"/>
    <col min="3" max="3" width="8.5" style="104" customWidth="1"/>
    <col min="4" max="4" width="8.17188" style="104" customWidth="1"/>
    <col min="5" max="5" width="7.5" style="104" customWidth="1"/>
    <col min="6" max="6" width="8.17188" style="104" customWidth="1"/>
    <col min="7" max="7" width="6.85156" style="104" customWidth="1"/>
    <col min="8" max="8" width="8.17188" style="104" customWidth="1"/>
    <col min="9" max="9" width="6.67188" style="104" customWidth="1"/>
    <col min="10" max="10" width="8.17188" style="104" customWidth="1"/>
    <col min="11" max="11" width="6.5" style="104" customWidth="1"/>
    <col min="12" max="12" width="8.17188" style="104" customWidth="1"/>
    <col min="13" max="13" width="6.35156" style="104" customWidth="1"/>
    <col min="14" max="14" width="8.17188" style="104" customWidth="1"/>
    <col min="15" max="15" width="6.5" style="104" customWidth="1"/>
    <col min="16" max="16" width="8.17188" style="104" customWidth="1"/>
    <col min="17" max="17" width="7.67188" style="104" customWidth="1"/>
    <col min="18" max="18" width="8.17188" style="104" customWidth="1"/>
    <col min="19" max="19" width="6.85156" style="104" customWidth="1"/>
    <col min="20" max="20" width="8.17188" style="104" customWidth="1"/>
    <col min="21" max="21" width="7" style="104" customWidth="1"/>
    <col min="22" max="22" width="8.17188" style="104" customWidth="1"/>
    <col min="23" max="23" width="5.67188" style="104" customWidth="1"/>
    <col min="24" max="24" width="8.17188" style="104" customWidth="1"/>
    <col min="25" max="256" width="8.85156" style="104" customWidth="1"/>
  </cols>
  <sheetData>
    <row r="1" ht="13.5" customHeight="1">
      <c r="A1" s="105">
        <v>17</v>
      </c>
      <c r="B1" s="106"/>
      <c r="C1" s="106"/>
      <c r="D1" s="106"/>
      <c r="E1" s="106"/>
      <c r="F1" s="106"/>
      <c r="G1" s="106"/>
      <c r="H1" s="106"/>
      <c r="I1" s="106"/>
      <c r="J1" s="106"/>
      <c r="K1" s="106"/>
      <c r="L1" s="106"/>
      <c r="M1" s="106"/>
      <c r="N1" s="106"/>
      <c r="O1" s="106"/>
      <c r="P1" s="106"/>
      <c r="Q1" s="106"/>
      <c r="R1" s="106"/>
      <c r="S1" s="106"/>
      <c r="T1" s="106"/>
      <c r="U1" s="106"/>
      <c r="V1" s="106"/>
      <c r="W1" s="106"/>
      <c r="X1" s="107"/>
    </row>
    <row r="2" ht="13.9" customHeight="1">
      <c r="A2" s="108"/>
      <c r="B2" s="109">
        <v>42736</v>
      </c>
      <c r="C2" t="s" s="110">
        <v>533</v>
      </c>
      <c r="D2" s="111"/>
      <c r="E2" t="s" s="110">
        <v>534</v>
      </c>
      <c r="F2" s="111"/>
      <c r="G2" t="s" s="110">
        <v>535</v>
      </c>
      <c r="H2" s="111"/>
      <c r="I2" t="s" s="110">
        <v>536</v>
      </c>
      <c r="J2" s="111"/>
      <c r="K2" t="s" s="110">
        <v>537</v>
      </c>
      <c r="L2" s="111"/>
      <c r="M2" t="s" s="110">
        <v>538</v>
      </c>
      <c r="N2" s="111"/>
      <c r="O2" t="s" s="110">
        <v>539</v>
      </c>
      <c r="P2" s="111"/>
      <c r="Q2" t="s" s="110">
        <v>540</v>
      </c>
      <c r="R2" s="111"/>
      <c r="S2" t="s" s="110">
        <v>541</v>
      </c>
      <c r="T2" s="111"/>
      <c r="U2" t="s" s="110">
        <v>542</v>
      </c>
      <c r="V2" s="111"/>
      <c r="W2" t="s" s="110">
        <v>543</v>
      </c>
      <c r="X2" s="111"/>
    </row>
    <row r="3" ht="13.9" customHeight="1">
      <c r="A3" s="112"/>
      <c r="B3" s="113"/>
      <c r="C3" s="112"/>
      <c r="D3" s="114"/>
      <c r="E3" s="112"/>
      <c r="F3" s="113"/>
      <c r="G3" s="112"/>
      <c r="H3" s="114"/>
      <c r="I3" s="112"/>
      <c r="J3" s="113"/>
      <c r="K3" s="112"/>
      <c r="L3" s="114"/>
      <c r="M3" s="112"/>
      <c r="N3" s="113"/>
      <c r="O3" s="112"/>
      <c r="P3" s="114"/>
      <c r="Q3" s="112"/>
      <c r="R3" s="113"/>
      <c r="S3" s="112"/>
      <c r="T3" s="114"/>
      <c r="U3" s="112"/>
      <c r="V3" s="113"/>
      <c r="W3" s="112"/>
      <c r="X3" s="114"/>
    </row>
    <row r="4" ht="15" customHeight="1">
      <c r="A4" t="s" s="115">
        <v>544</v>
      </c>
      <c r="B4" t="s" s="116">
        <v>545</v>
      </c>
      <c r="C4" t="s" s="117">
        <v>544</v>
      </c>
      <c r="D4" t="s" s="118">
        <v>545</v>
      </c>
      <c r="E4" t="s" s="115">
        <v>544</v>
      </c>
      <c r="F4" t="s" s="116">
        <v>545</v>
      </c>
      <c r="G4" t="s" s="117">
        <v>544</v>
      </c>
      <c r="H4" t="s" s="118">
        <v>545</v>
      </c>
      <c r="I4" t="s" s="115">
        <v>544</v>
      </c>
      <c r="J4" t="s" s="116">
        <v>545</v>
      </c>
      <c r="K4" t="s" s="117">
        <v>544</v>
      </c>
      <c r="L4" t="s" s="118">
        <v>545</v>
      </c>
      <c r="M4" t="s" s="115">
        <v>544</v>
      </c>
      <c r="N4" t="s" s="116">
        <v>545</v>
      </c>
      <c r="O4" t="s" s="117">
        <v>544</v>
      </c>
      <c r="P4" t="s" s="118">
        <v>545</v>
      </c>
      <c r="Q4" t="s" s="115">
        <v>544</v>
      </c>
      <c r="R4" t="s" s="116">
        <v>545</v>
      </c>
      <c r="S4" t="s" s="117">
        <v>544</v>
      </c>
      <c r="T4" t="s" s="118">
        <v>545</v>
      </c>
      <c r="U4" t="s" s="115">
        <v>544</v>
      </c>
      <c r="V4" t="s" s="116">
        <v>545</v>
      </c>
      <c r="W4" t="s" s="117">
        <v>544</v>
      </c>
      <c r="X4" t="s" s="118">
        <v>545</v>
      </c>
    </row>
    <row r="5" ht="16.05" customHeight="1">
      <c r="A5" t="s" s="119">
        <v>19</v>
      </c>
      <c r="B5" s="120">
        <v>45300</v>
      </c>
      <c r="C5" t="s" s="119">
        <v>19</v>
      </c>
      <c r="D5" s="121">
        <v>30240</v>
      </c>
      <c r="E5" t="s" s="119">
        <v>19</v>
      </c>
      <c r="F5" s="120">
        <v>12000</v>
      </c>
      <c r="G5" t="s" s="122">
        <v>19</v>
      </c>
      <c r="H5" s="123">
        <v>13237</v>
      </c>
      <c r="I5" t="s" s="119">
        <v>19</v>
      </c>
      <c r="J5" s="120">
        <v>12655</v>
      </c>
      <c r="K5" t="s" s="119">
        <v>19</v>
      </c>
      <c r="L5" s="121">
        <v>8000</v>
      </c>
      <c r="M5" t="s" s="119">
        <v>19</v>
      </c>
      <c r="N5" s="120">
        <v>11494</v>
      </c>
      <c r="O5" t="s" s="119">
        <v>19</v>
      </c>
      <c r="P5" s="121">
        <v>32546</v>
      </c>
      <c r="Q5" t="s" s="119">
        <v>19</v>
      </c>
      <c r="R5" s="120">
        <v>34552</v>
      </c>
      <c r="S5" t="s" s="119">
        <v>19</v>
      </c>
      <c r="T5" s="121">
        <v>39714</v>
      </c>
      <c r="U5" t="s" s="119">
        <v>19</v>
      </c>
      <c r="V5" s="120">
        <v>27097</v>
      </c>
      <c r="W5" t="s" s="119">
        <v>19</v>
      </c>
      <c r="X5" s="121">
        <v>31317</v>
      </c>
    </row>
    <row r="6" ht="16.05" customHeight="1">
      <c r="A6" t="s" s="124">
        <v>42</v>
      </c>
      <c r="B6" s="125">
        <v>15300</v>
      </c>
      <c r="C6" t="s" s="124">
        <v>42</v>
      </c>
      <c r="D6" s="126">
        <v>5264</v>
      </c>
      <c r="E6" t="s" s="124">
        <v>42</v>
      </c>
      <c r="F6" s="125">
        <v>6000</v>
      </c>
      <c r="G6" t="s" s="127">
        <v>42</v>
      </c>
      <c r="H6" s="128">
        <v>6001</v>
      </c>
      <c r="I6" t="s" s="124">
        <v>42</v>
      </c>
      <c r="J6" s="125">
        <v>6001</v>
      </c>
      <c r="K6" t="s" s="124">
        <v>42</v>
      </c>
      <c r="L6" s="126">
        <v>6000</v>
      </c>
      <c r="M6" t="s" s="124">
        <v>42</v>
      </c>
      <c r="N6" s="125">
        <v>6000</v>
      </c>
      <c r="O6" t="s" s="124">
        <v>42</v>
      </c>
      <c r="P6" s="126">
        <v>14382</v>
      </c>
      <c r="Q6" t="s" s="124">
        <v>42</v>
      </c>
      <c r="R6" s="125">
        <v>14176</v>
      </c>
      <c r="S6" t="s" s="124">
        <v>42</v>
      </c>
      <c r="T6" s="126">
        <v>17981</v>
      </c>
      <c r="U6" t="s" s="124">
        <v>42</v>
      </c>
      <c r="V6" s="125">
        <v>21453</v>
      </c>
      <c r="W6" t="s" s="124">
        <v>42</v>
      </c>
      <c r="X6" s="126">
        <v>24753</v>
      </c>
    </row>
    <row r="7" ht="16.05" customHeight="1">
      <c r="A7" t="s" s="124">
        <v>54</v>
      </c>
      <c r="B7" s="125">
        <v>20300</v>
      </c>
      <c r="C7" t="s" s="124">
        <v>54</v>
      </c>
      <c r="D7" s="126">
        <v>5264</v>
      </c>
      <c r="E7" t="s" s="124">
        <v>54</v>
      </c>
      <c r="F7" s="125">
        <v>8345</v>
      </c>
      <c r="G7" t="s" s="127">
        <v>54</v>
      </c>
      <c r="H7" s="128">
        <v>6775</v>
      </c>
      <c r="I7" t="s" s="124">
        <v>54</v>
      </c>
      <c r="J7" s="125">
        <v>7390</v>
      </c>
      <c r="K7" t="s" s="124">
        <v>54</v>
      </c>
      <c r="L7" s="126">
        <v>5000</v>
      </c>
      <c r="M7" t="s" s="124">
        <v>54</v>
      </c>
      <c r="N7" s="125">
        <v>6724</v>
      </c>
      <c r="O7" t="s" s="124">
        <v>54</v>
      </c>
      <c r="P7" s="126">
        <v>14358</v>
      </c>
      <c r="Q7" t="s" s="124">
        <v>54</v>
      </c>
      <c r="R7" s="125">
        <v>10055</v>
      </c>
      <c r="S7" t="s" s="124">
        <v>54</v>
      </c>
      <c r="T7" s="126">
        <v>9746</v>
      </c>
      <c r="U7" t="s" s="124">
        <v>54</v>
      </c>
      <c r="V7" s="125">
        <v>15186</v>
      </c>
      <c r="W7" t="s" s="124">
        <v>54</v>
      </c>
      <c r="X7" s="126">
        <v>21553</v>
      </c>
    </row>
    <row r="8" ht="16.05" customHeight="1">
      <c r="A8" t="s" s="124">
        <v>66</v>
      </c>
      <c r="B8" s="125">
        <v>7300</v>
      </c>
      <c r="C8" t="s" s="124">
        <v>66</v>
      </c>
      <c r="D8" s="126">
        <v>6424</v>
      </c>
      <c r="E8" t="s" s="124">
        <v>66</v>
      </c>
      <c r="F8" s="125">
        <v>7853</v>
      </c>
      <c r="G8" t="s" s="127">
        <v>66</v>
      </c>
      <c r="H8" s="128">
        <v>7235</v>
      </c>
      <c r="I8" t="s" s="124">
        <v>66</v>
      </c>
      <c r="J8" s="125">
        <v>7290</v>
      </c>
      <c r="K8" t="s" s="124">
        <v>66</v>
      </c>
      <c r="L8" s="126">
        <v>4800</v>
      </c>
      <c r="M8" t="s" s="124">
        <v>66</v>
      </c>
      <c r="N8" s="125">
        <v>7944</v>
      </c>
      <c r="O8" t="s" s="124">
        <v>66</v>
      </c>
      <c r="P8" s="126">
        <v>11109</v>
      </c>
      <c r="Q8" t="s" s="124">
        <v>66</v>
      </c>
      <c r="R8" s="125">
        <v>14022</v>
      </c>
      <c r="S8" t="s" s="124">
        <v>66</v>
      </c>
      <c r="T8" s="126">
        <v>19168</v>
      </c>
      <c r="U8" t="s" s="124">
        <v>66</v>
      </c>
      <c r="V8" s="125">
        <v>18445</v>
      </c>
      <c r="W8" t="s" s="124">
        <v>66</v>
      </c>
      <c r="X8" s="126">
        <v>16338</v>
      </c>
    </row>
    <row r="9" ht="16.05" customHeight="1">
      <c r="A9" t="s" s="124">
        <v>78</v>
      </c>
      <c r="B9" s="125">
        <v>20300</v>
      </c>
      <c r="C9" t="s" s="124">
        <v>78</v>
      </c>
      <c r="D9" s="126">
        <v>25240</v>
      </c>
      <c r="E9" t="s" s="124">
        <v>78</v>
      </c>
      <c r="F9" s="125">
        <v>13000</v>
      </c>
      <c r="G9" t="s" s="127">
        <v>78</v>
      </c>
      <c r="H9" s="128">
        <v>10264</v>
      </c>
      <c r="I9" t="s" s="124">
        <v>78</v>
      </c>
      <c r="J9" s="125">
        <v>10042</v>
      </c>
      <c r="K9" t="s" s="124">
        <v>78</v>
      </c>
      <c r="L9" s="126">
        <v>8000</v>
      </c>
      <c r="M9" t="s" s="124">
        <v>78</v>
      </c>
      <c r="N9" s="125">
        <v>10318</v>
      </c>
      <c r="O9" t="s" s="124">
        <v>78</v>
      </c>
      <c r="P9" s="126">
        <v>16672</v>
      </c>
      <c r="Q9" t="s" s="124">
        <v>78</v>
      </c>
      <c r="R9" s="125">
        <v>16919</v>
      </c>
      <c r="S9" t="s" s="124">
        <v>78</v>
      </c>
      <c r="T9" s="126">
        <v>27259</v>
      </c>
      <c r="U9" t="s" s="124">
        <v>78</v>
      </c>
      <c r="V9" s="125">
        <v>26184</v>
      </c>
      <c r="W9" t="s" s="124">
        <v>78</v>
      </c>
      <c r="X9" s="126">
        <v>33960</v>
      </c>
    </row>
    <row r="10" ht="13.5" customHeight="1">
      <c r="A10" t="s" s="124">
        <v>90</v>
      </c>
      <c r="B10" s="125">
        <v>6276</v>
      </c>
      <c r="C10" t="s" s="124">
        <v>90</v>
      </c>
      <c r="D10" s="126">
        <v>2904</v>
      </c>
      <c r="E10" t="s" s="124">
        <v>90</v>
      </c>
      <c r="F10" s="125">
        <v>2376</v>
      </c>
      <c r="G10" t="s" s="127">
        <v>90</v>
      </c>
      <c r="H10" s="128">
        <v>2903</v>
      </c>
      <c r="I10" t="s" s="124">
        <v>90</v>
      </c>
      <c r="J10" s="125">
        <v>2403</v>
      </c>
      <c r="K10" t="s" s="124">
        <v>90</v>
      </c>
      <c r="L10" s="126">
        <v>2363</v>
      </c>
      <c r="M10" t="s" s="124">
        <v>90</v>
      </c>
      <c r="N10" s="125">
        <v>2896</v>
      </c>
      <c r="O10" t="s" s="124">
        <v>90</v>
      </c>
      <c r="P10" s="126">
        <v>3006</v>
      </c>
      <c r="Q10" t="s" s="124">
        <v>90</v>
      </c>
      <c r="R10" s="125">
        <v>5454</v>
      </c>
      <c r="S10" t="s" s="124">
        <v>90</v>
      </c>
      <c r="T10" s="126">
        <v>5772</v>
      </c>
      <c r="U10" t="s" s="124">
        <v>90</v>
      </c>
      <c r="V10" s="125">
        <v>6351</v>
      </c>
      <c r="W10" t="s" s="124">
        <v>90</v>
      </c>
      <c r="X10" s="126">
        <v>5295</v>
      </c>
    </row>
    <row r="11" ht="13.5" customHeight="1">
      <c r="A11" t="s" s="124">
        <v>102</v>
      </c>
      <c r="B11" s="125">
        <v>8364</v>
      </c>
      <c r="C11" t="s" s="124">
        <v>102</v>
      </c>
      <c r="D11" s="126">
        <v>2854</v>
      </c>
      <c r="E11" t="s" s="124">
        <v>102</v>
      </c>
      <c r="F11" s="125">
        <v>2800</v>
      </c>
      <c r="G11" t="s" s="127">
        <v>102</v>
      </c>
      <c r="H11" s="128">
        <v>2803</v>
      </c>
      <c r="I11" t="s" s="124">
        <v>102</v>
      </c>
      <c r="J11" s="125">
        <v>2405</v>
      </c>
      <c r="K11" t="s" s="124">
        <v>102</v>
      </c>
      <c r="L11" s="126">
        <v>2365</v>
      </c>
      <c r="M11" t="s" s="124">
        <v>102</v>
      </c>
      <c r="N11" s="125">
        <v>2897</v>
      </c>
      <c r="O11" t="s" s="124">
        <v>102</v>
      </c>
      <c r="P11" s="126">
        <v>3758</v>
      </c>
      <c r="Q11" t="s" s="124">
        <v>102</v>
      </c>
      <c r="R11" s="125">
        <v>7920</v>
      </c>
      <c r="S11" t="s" s="124">
        <v>102</v>
      </c>
      <c r="T11" s="126">
        <v>6450</v>
      </c>
      <c r="U11" t="s" s="124">
        <v>102</v>
      </c>
      <c r="V11" s="125">
        <v>7650</v>
      </c>
      <c r="W11" t="s" s="124">
        <v>102</v>
      </c>
      <c r="X11" s="126">
        <v>12501</v>
      </c>
    </row>
    <row r="12" ht="13.5" customHeight="1">
      <c r="A12" t="s" s="124">
        <v>114</v>
      </c>
      <c r="B12" s="125">
        <v>8200</v>
      </c>
      <c r="C12" t="s" s="124">
        <v>114</v>
      </c>
      <c r="D12" s="126">
        <v>5120</v>
      </c>
      <c r="E12" t="s" s="124">
        <v>114</v>
      </c>
      <c r="F12" s="125">
        <v>4422</v>
      </c>
      <c r="G12" t="s" s="127">
        <v>114</v>
      </c>
      <c r="H12" s="128">
        <v>7160</v>
      </c>
      <c r="I12" t="s" s="124">
        <v>114</v>
      </c>
      <c r="J12" s="125">
        <v>7540</v>
      </c>
      <c r="K12" t="s" s="124">
        <v>114</v>
      </c>
      <c r="L12" s="126">
        <v>8000</v>
      </c>
      <c r="M12" t="s" s="124">
        <v>114</v>
      </c>
      <c r="N12" s="125">
        <v>8960</v>
      </c>
      <c r="O12" t="s" s="124">
        <v>114</v>
      </c>
      <c r="P12" s="126">
        <v>14240</v>
      </c>
      <c r="Q12" t="s" s="124">
        <v>114</v>
      </c>
      <c r="R12" s="125">
        <v>20460</v>
      </c>
      <c r="S12" t="s" s="124">
        <v>114</v>
      </c>
      <c r="T12" s="126">
        <v>40417</v>
      </c>
      <c r="U12" t="s" s="124">
        <v>114</v>
      </c>
      <c r="V12" s="125">
        <v>31374</v>
      </c>
      <c r="W12" t="s" s="124">
        <v>114</v>
      </c>
      <c r="X12" s="126">
        <v>29520</v>
      </c>
    </row>
    <row r="13" ht="13.5" customHeight="1">
      <c r="A13" t="s" s="124">
        <v>126</v>
      </c>
      <c r="B13" s="125">
        <v>11000</v>
      </c>
      <c r="C13" t="s" s="124">
        <v>126</v>
      </c>
      <c r="D13" s="126">
        <v>3540</v>
      </c>
      <c r="E13" t="s" s="124">
        <v>126</v>
      </c>
      <c r="F13" s="125">
        <v>2800</v>
      </c>
      <c r="G13" t="s" s="127">
        <v>126</v>
      </c>
      <c r="H13" s="128">
        <v>1900</v>
      </c>
      <c r="I13" t="s" s="124">
        <v>126</v>
      </c>
      <c r="J13" s="125">
        <v>1900</v>
      </c>
      <c r="K13" t="s" s="124">
        <v>126</v>
      </c>
      <c r="L13" s="126">
        <v>1900</v>
      </c>
      <c r="M13" t="s" s="124">
        <v>126</v>
      </c>
      <c r="N13" s="125">
        <v>1900</v>
      </c>
      <c r="O13" t="s" s="124">
        <v>126</v>
      </c>
      <c r="P13" s="126">
        <v>1912</v>
      </c>
      <c r="Q13" t="s" s="124">
        <v>126</v>
      </c>
      <c r="R13" s="125">
        <v>5460</v>
      </c>
      <c r="S13" t="s" s="124">
        <v>126</v>
      </c>
      <c r="T13" s="126">
        <v>13415</v>
      </c>
      <c r="U13" t="s" s="124">
        <v>126</v>
      </c>
      <c r="V13" s="125">
        <v>12074</v>
      </c>
      <c r="W13" t="s" s="124">
        <v>126</v>
      </c>
      <c r="X13" s="126">
        <v>9713</v>
      </c>
    </row>
    <row r="14" ht="13.5" customHeight="1">
      <c r="A14" t="s" s="124">
        <v>138</v>
      </c>
      <c r="B14" s="125">
        <v>12200</v>
      </c>
      <c r="C14" t="s" s="124">
        <v>138</v>
      </c>
      <c r="D14" s="126">
        <v>3700</v>
      </c>
      <c r="E14" t="s" s="124">
        <v>138</v>
      </c>
      <c r="F14" s="125">
        <v>4000</v>
      </c>
      <c r="G14" t="s" s="127">
        <v>138</v>
      </c>
      <c r="H14" s="128">
        <v>4000</v>
      </c>
      <c r="I14" t="s" s="124">
        <v>138</v>
      </c>
      <c r="J14" s="125">
        <v>3640</v>
      </c>
      <c r="K14" t="s" s="124">
        <v>138</v>
      </c>
      <c r="L14" s="126">
        <v>3580</v>
      </c>
      <c r="M14" t="s" s="124">
        <v>138</v>
      </c>
      <c r="N14" s="125">
        <v>4410</v>
      </c>
      <c r="O14" t="s" s="124">
        <v>138</v>
      </c>
      <c r="P14" s="126">
        <v>4301</v>
      </c>
      <c r="Q14" t="s" s="124">
        <v>138</v>
      </c>
      <c r="R14" s="125">
        <v>5932</v>
      </c>
      <c r="S14" t="s" s="124">
        <v>138</v>
      </c>
      <c r="T14" s="126">
        <v>18038</v>
      </c>
      <c r="U14" t="s" s="124">
        <v>138</v>
      </c>
      <c r="V14" s="125">
        <v>16234</v>
      </c>
      <c r="W14" t="s" s="124">
        <v>138</v>
      </c>
      <c r="X14" s="126">
        <v>14086</v>
      </c>
    </row>
    <row r="15" ht="13.5" customHeight="1">
      <c r="A15" t="s" s="124">
        <v>150</v>
      </c>
      <c r="B15" s="125">
        <v>35400</v>
      </c>
      <c r="C15" t="s" s="124">
        <v>150</v>
      </c>
      <c r="D15" s="126">
        <v>16320</v>
      </c>
      <c r="E15" t="s" s="124">
        <v>150</v>
      </c>
      <c r="F15" s="125">
        <v>25000</v>
      </c>
      <c r="G15" t="s" s="127">
        <v>150</v>
      </c>
      <c r="H15" s="128">
        <v>20000</v>
      </c>
      <c r="I15" t="s" s="124">
        <v>150</v>
      </c>
      <c r="J15" s="125">
        <v>13060</v>
      </c>
      <c r="K15" t="s" s="124">
        <v>150</v>
      </c>
      <c r="L15" s="126">
        <v>12000</v>
      </c>
      <c r="M15" t="s" s="124">
        <v>150</v>
      </c>
      <c r="N15" s="125">
        <v>11970</v>
      </c>
      <c r="O15" t="s" s="124">
        <v>150</v>
      </c>
      <c r="P15" s="126">
        <v>16139</v>
      </c>
      <c r="Q15" t="s" s="124">
        <v>150</v>
      </c>
      <c r="R15" s="125">
        <v>24180</v>
      </c>
      <c r="S15" t="s" s="124">
        <v>150</v>
      </c>
      <c r="T15" s="126">
        <v>43786</v>
      </c>
      <c r="U15" t="s" s="124">
        <v>150</v>
      </c>
      <c r="V15" s="125">
        <v>33989</v>
      </c>
      <c r="W15" t="s" s="124">
        <v>150</v>
      </c>
      <c r="X15" s="126">
        <v>32964</v>
      </c>
    </row>
    <row r="16" ht="13.5" customHeight="1">
      <c r="A16" t="s" s="124">
        <v>162</v>
      </c>
      <c r="B16" s="125">
        <v>45400</v>
      </c>
      <c r="C16" t="s" s="124">
        <v>162</v>
      </c>
      <c r="D16" s="126">
        <v>20320</v>
      </c>
      <c r="E16" t="s" s="124">
        <v>162</v>
      </c>
      <c r="F16" s="125">
        <v>25000</v>
      </c>
      <c r="G16" t="s" s="127">
        <v>162</v>
      </c>
      <c r="H16" s="128">
        <v>11876</v>
      </c>
      <c r="I16" t="s" s="124">
        <v>162</v>
      </c>
      <c r="J16" s="125">
        <v>11420</v>
      </c>
      <c r="K16" t="s" s="124">
        <v>162</v>
      </c>
      <c r="L16" s="126">
        <v>12000</v>
      </c>
      <c r="M16" t="s" s="124">
        <v>162</v>
      </c>
      <c r="N16" s="125">
        <v>11710</v>
      </c>
      <c r="O16" t="s" s="124">
        <v>162</v>
      </c>
      <c r="P16" s="126">
        <v>23734</v>
      </c>
      <c r="Q16" t="s" s="124">
        <v>162</v>
      </c>
      <c r="R16" s="125">
        <v>37200</v>
      </c>
      <c r="S16" t="s" s="124">
        <v>162</v>
      </c>
      <c r="T16" s="126">
        <v>67362</v>
      </c>
      <c r="U16" t="s" s="124">
        <v>162</v>
      </c>
      <c r="V16" s="125">
        <v>52290</v>
      </c>
      <c r="W16" t="s" s="124">
        <v>162</v>
      </c>
      <c r="X16" s="126">
        <v>49200</v>
      </c>
    </row>
    <row r="17" ht="13.5" customHeight="1">
      <c r="A17" t="s" s="124">
        <v>174</v>
      </c>
      <c r="B17" s="129">
        <v>25200</v>
      </c>
      <c r="C17" t="s" s="124">
        <v>174</v>
      </c>
      <c r="D17" s="130">
        <v>11160</v>
      </c>
      <c r="E17" t="s" s="124">
        <v>174</v>
      </c>
      <c r="F17" s="129">
        <v>15000</v>
      </c>
      <c r="G17" t="s" s="127">
        <v>174</v>
      </c>
      <c r="H17" s="131">
        <v>8438</v>
      </c>
      <c r="I17" t="s" s="124">
        <v>174</v>
      </c>
      <c r="J17" s="129">
        <v>7324</v>
      </c>
      <c r="K17" t="s" s="124">
        <v>174</v>
      </c>
      <c r="L17" s="130">
        <v>10000</v>
      </c>
      <c r="M17" t="s" s="124">
        <v>174</v>
      </c>
      <c r="N17" s="129">
        <v>5926</v>
      </c>
      <c r="O17" t="s" s="124">
        <v>174</v>
      </c>
      <c r="P17" s="130">
        <v>16614</v>
      </c>
      <c r="Q17" t="s" s="124">
        <v>174</v>
      </c>
      <c r="R17" s="129">
        <v>26040</v>
      </c>
      <c r="S17" t="s" s="124">
        <v>174</v>
      </c>
      <c r="T17" s="130">
        <v>47154</v>
      </c>
      <c r="U17" t="s" s="124">
        <v>174</v>
      </c>
      <c r="V17" s="129">
        <v>36603</v>
      </c>
      <c r="W17" t="s" s="124">
        <v>174</v>
      </c>
      <c r="X17" s="130">
        <v>3440</v>
      </c>
    </row>
    <row r="18" ht="13.5" customHeight="1">
      <c r="A18" t="s" s="132">
        <v>211</v>
      </c>
      <c r="B18" s="133"/>
      <c r="C18" t="s" s="132">
        <v>211</v>
      </c>
      <c r="D18" s="134"/>
      <c r="E18" t="s" s="132">
        <v>211</v>
      </c>
      <c r="F18" s="133"/>
      <c r="G18" t="s" s="132">
        <v>211</v>
      </c>
      <c r="H18" s="134"/>
      <c r="I18" t="s" s="132">
        <v>211</v>
      </c>
      <c r="J18" s="133"/>
      <c r="K18" t="s" s="132">
        <v>211</v>
      </c>
      <c r="L18" s="134"/>
      <c r="M18" t="s" s="132">
        <v>211</v>
      </c>
      <c r="N18" s="133"/>
      <c r="O18" t="s" s="132">
        <v>211</v>
      </c>
      <c r="P18" s="134"/>
      <c r="Q18" t="s" s="132">
        <v>211</v>
      </c>
      <c r="R18" s="133"/>
      <c r="S18" t="s" s="132">
        <v>211</v>
      </c>
      <c r="T18" s="134"/>
      <c r="U18" t="s" s="132">
        <v>211</v>
      </c>
      <c r="V18" s="133"/>
      <c r="W18" t="s" s="132">
        <v>211</v>
      </c>
      <c r="X18" s="134"/>
    </row>
    <row r="19" ht="13.5" customHeight="1">
      <c r="A19" t="s" s="132">
        <v>223</v>
      </c>
      <c r="B19" s="133"/>
      <c r="C19" t="s" s="132">
        <v>223</v>
      </c>
      <c r="D19" s="134"/>
      <c r="E19" t="s" s="132">
        <v>223</v>
      </c>
      <c r="F19" s="133"/>
      <c r="G19" t="s" s="132">
        <v>223</v>
      </c>
      <c r="H19" s="134"/>
      <c r="I19" t="s" s="132">
        <v>223</v>
      </c>
      <c r="J19" s="133"/>
      <c r="K19" t="s" s="132">
        <v>223</v>
      </c>
      <c r="L19" s="134"/>
      <c r="M19" t="s" s="132">
        <v>223</v>
      </c>
      <c r="N19" s="133"/>
      <c r="O19" t="s" s="132">
        <v>223</v>
      </c>
      <c r="P19" s="134"/>
      <c r="Q19" t="s" s="132">
        <v>223</v>
      </c>
      <c r="R19" s="133"/>
      <c r="S19" t="s" s="132">
        <v>223</v>
      </c>
      <c r="T19" s="134"/>
      <c r="U19" t="s" s="132">
        <v>223</v>
      </c>
      <c r="V19" s="133"/>
      <c r="W19" t="s" s="132">
        <v>223</v>
      </c>
      <c r="X19" s="134"/>
    </row>
    <row r="20" ht="13.5" customHeight="1">
      <c r="A20" t="s" s="132">
        <v>235</v>
      </c>
      <c r="B20" s="133"/>
      <c r="C20" t="s" s="132">
        <v>235</v>
      </c>
      <c r="D20" s="134"/>
      <c r="E20" t="s" s="132">
        <v>235</v>
      </c>
      <c r="F20" s="133"/>
      <c r="G20" t="s" s="132">
        <v>235</v>
      </c>
      <c r="H20" s="134"/>
      <c r="I20" t="s" s="132">
        <v>235</v>
      </c>
      <c r="J20" s="133"/>
      <c r="K20" t="s" s="132">
        <v>235</v>
      </c>
      <c r="L20" s="134"/>
      <c r="M20" t="s" s="132">
        <v>235</v>
      </c>
      <c r="N20" s="133"/>
      <c r="O20" t="s" s="132">
        <v>235</v>
      </c>
      <c r="P20" s="134"/>
      <c r="Q20" t="s" s="132">
        <v>235</v>
      </c>
      <c r="R20" s="133"/>
      <c r="S20" t="s" s="132">
        <v>235</v>
      </c>
      <c r="T20" s="134"/>
      <c r="U20" t="s" s="132">
        <v>235</v>
      </c>
      <c r="V20" s="133"/>
      <c r="W20" t="s" s="132">
        <v>235</v>
      </c>
      <c r="X20" s="134"/>
    </row>
    <row r="21" ht="13.5" customHeight="1">
      <c r="A21" t="s" s="132">
        <v>247</v>
      </c>
      <c r="B21" s="133"/>
      <c r="C21" t="s" s="132">
        <v>247</v>
      </c>
      <c r="D21" s="134"/>
      <c r="E21" t="s" s="132">
        <v>247</v>
      </c>
      <c r="F21" s="133"/>
      <c r="G21" t="s" s="132">
        <v>247</v>
      </c>
      <c r="H21" s="134"/>
      <c r="I21" t="s" s="132">
        <v>247</v>
      </c>
      <c r="J21" s="133"/>
      <c r="K21" t="s" s="132">
        <v>247</v>
      </c>
      <c r="L21" s="134"/>
      <c r="M21" t="s" s="132">
        <v>247</v>
      </c>
      <c r="N21" s="133"/>
      <c r="O21" t="s" s="132">
        <v>247</v>
      </c>
      <c r="P21" s="134"/>
      <c r="Q21" t="s" s="132">
        <v>247</v>
      </c>
      <c r="R21" s="133"/>
      <c r="S21" t="s" s="132">
        <v>247</v>
      </c>
      <c r="T21" s="134"/>
      <c r="U21" t="s" s="132">
        <v>247</v>
      </c>
      <c r="V21" s="133"/>
      <c r="W21" t="s" s="132">
        <v>247</v>
      </c>
      <c r="X21" s="134"/>
    </row>
    <row r="22" ht="13.5" customHeight="1">
      <c r="A22" t="s" s="132">
        <v>259</v>
      </c>
      <c r="B22" s="133"/>
      <c r="C22" t="s" s="132">
        <v>259</v>
      </c>
      <c r="D22" s="134"/>
      <c r="E22" t="s" s="132">
        <v>259</v>
      </c>
      <c r="F22" s="133"/>
      <c r="G22" t="s" s="132">
        <v>259</v>
      </c>
      <c r="H22" s="134"/>
      <c r="I22" t="s" s="132">
        <v>259</v>
      </c>
      <c r="J22" s="133"/>
      <c r="K22" t="s" s="132">
        <v>259</v>
      </c>
      <c r="L22" s="134"/>
      <c r="M22" t="s" s="132">
        <v>259</v>
      </c>
      <c r="N22" s="133"/>
      <c r="O22" t="s" s="132">
        <v>259</v>
      </c>
      <c r="P22" s="134"/>
      <c r="Q22" t="s" s="132">
        <v>259</v>
      </c>
      <c r="R22" s="133"/>
      <c r="S22" t="s" s="132">
        <v>259</v>
      </c>
      <c r="T22" s="134"/>
      <c r="U22" t="s" s="132">
        <v>259</v>
      </c>
      <c r="V22" s="133"/>
      <c r="W22" t="s" s="132">
        <v>259</v>
      </c>
      <c r="X22" s="134"/>
    </row>
    <row r="23" ht="13.5" customHeight="1">
      <c r="A23" t="s" s="132">
        <v>271</v>
      </c>
      <c r="B23" s="133"/>
      <c r="C23" t="s" s="132">
        <v>271</v>
      </c>
      <c r="D23" s="134"/>
      <c r="E23" t="s" s="132">
        <v>271</v>
      </c>
      <c r="F23" s="133"/>
      <c r="G23" t="s" s="132">
        <v>271</v>
      </c>
      <c r="H23" s="134"/>
      <c r="I23" t="s" s="132">
        <v>271</v>
      </c>
      <c r="J23" s="133"/>
      <c r="K23" t="s" s="132">
        <v>271</v>
      </c>
      <c r="L23" s="134"/>
      <c r="M23" t="s" s="132">
        <v>271</v>
      </c>
      <c r="N23" s="133"/>
      <c r="O23" t="s" s="132">
        <v>271</v>
      </c>
      <c r="P23" s="134"/>
      <c r="Q23" t="s" s="132">
        <v>271</v>
      </c>
      <c r="R23" s="133"/>
      <c r="S23" t="s" s="132">
        <v>271</v>
      </c>
      <c r="T23" s="134"/>
      <c r="U23" t="s" s="132">
        <v>271</v>
      </c>
      <c r="V23" s="133"/>
      <c r="W23" t="s" s="132">
        <v>271</v>
      </c>
      <c r="X23" s="134"/>
    </row>
    <row r="24" ht="13.5" customHeight="1">
      <c r="A24" t="s" s="132">
        <v>283</v>
      </c>
      <c r="B24" s="133"/>
      <c r="C24" t="s" s="132">
        <v>283</v>
      </c>
      <c r="D24" s="134"/>
      <c r="E24" t="s" s="132">
        <v>283</v>
      </c>
      <c r="F24" s="133"/>
      <c r="G24" t="s" s="132">
        <v>283</v>
      </c>
      <c r="H24" s="134"/>
      <c r="I24" t="s" s="132">
        <v>283</v>
      </c>
      <c r="J24" s="133"/>
      <c r="K24" t="s" s="132">
        <v>283</v>
      </c>
      <c r="L24" s="134"/>
      <c r="M24" t="s" s="132">
        <v>283</v>
      </c>
      <c r="N24" s="133"/>
      <c r="O24" t="s" s="132">
        <v>283</v>
      </c>
      <c r="P24" s="134"/>
      <c r="Q24" t="s" s="132">
        <v>283</v>
      </c>
      <c r="R24" s="133"/>
      <c r="S24" t="s" s="132">
        <v>283</v>
      </c>
      <c r="T24" s="134"/>
      <c r="U24" t="s" s="132">
        <v>283</v>
      </c>
      <c r="V24" s="133"/>
      <c r="W24" t="s" s="132">
        <v>283</v>
      </c>
      <c r="X24" s="134"/>
    </row>
    <row r="25" ht="13.5" customHeight="1">
      <c r="A25" t="s" s="132">
        <v>295</v>
      </c>
      <c r="B25" s="133"/>
      <c r="C25" t="s" s="132">
        <v>295</v>
      </c>
      <c r="D25" s="134"/>
      <c r="E25" t="s" s="132">
        <v>295</v>
      </c>
      <c r="F25" s="133"/>
      <c r="G25" t="s" s="132">
        <v>295</v>
      </c>
      <c r="H25" s="134"/>
      <c r="I25" t="s" s="132">
        <v>295</v>
      </c>
      <c r="J25" s="133"/>
      <c r="K25" t="s" s="132">
        <v>295</v>
      </c>
      <c r="L25" s="134"/>
      <c r="M25" t="s" s="132">
        <v>295</v>
      </c>
      <c r="N25" s="133"/>
      <c r="O25" t="s" s="132">
        <v>295</v>
      </c>
      <c r="P25" s="134"/>
      <c r="Q25" t="s" s="132">
        <v>295</v>
      </c>
      <c r="R25" s="133"/>
      <c r="S25" t="s" s="132">
        <v>295</v>
      </c>
      <c r="T25" s="134"/>
      <c r="U25" t="s" s="132">
        <v>295</v>
      </c>
      <c r="V25" s="133"/>
      <c r="W25" t="s" s="132">
        <v>295</v>
      </c>
      <c r="X25" s="134"/>
    </row>
    <row r="26" ht="13.5" customHeight="1">
      <c r="A26" t="s" s="132">
        <v>307</v>
      </c>
      <c r="B26" s="133"/>
      <c r="C26" t="s" s="132">
        <v>307</v>
      </c>
      <c r="D26" s="134"/>
      <c r="E26" t="s" s="132">
        <v>307</v>
      </c>
      <c r="F26" s="133"/>
      <c r="G26" t="s" s="132">
        <v>307</v>
      </c>
      <c r="H26" s="134"/>
      <c r="I26" t="s" s="132">
        <v>307</v>
      </c>
      <c r="J26" s="133"/>
      <c r="K26" t="s" s="132">
        <v>307</v>
      </c>
      <c r="L26" s="134"/>
      <c r="M26" t="s" s="132">
        <v>307</v>
      </c>
      <c r="N26" s="133"/>
      <c r="O26" t="s" s="132">
        <v>307</v>
      </c>
      <c r="P26" s="134"/>
      <c r="Q26" t="s" s="132">
        <v>307</v>
      </c>
      <c r="R26" s="133"/>
      <c r="S26" t="s" s="132">
        <v>307</v>
      </c>
      <c r="T26" s="134"/>
      <c r="U26" t="s" s="132">
        <v>307</v>
      </c>
      <c r="V26" s="133"/>
      <c r="W26" t="s" s="132">
        <v>307</v>
      </c>
      <c r="X26" s="134"/>
    </row>
    <row r="27" ht="13.5" customHeight="1">
      <c r="A27" t="s" s="132">
        <v>319</v>
      </c>
      <c r="B27" s="133"/>
      <c r="C27" t="s" s="132">
        <v>319</v>
      </c>
      <c r="D27" s="134"/>
      <c r="E27" t="s" s="132">
        <v>319</v>
      </c>
      <c r="F27" s="133"/>
      <c r="G27" t="s" s="132">
        <v>319</v>
      </c>
      <c r="H27" s="134"/>
      <c r="I27" t="s" s="132">
        <v>319</v>
      </c>
      <c r="J27" s="133"/>
      <c r="K27" t="s" s="132">
        <v>319</v>
      </c>
      <c r="L27" s="134"/>
      <c r="M27" t="s" s="132">
        <v>319</v>
      </c>
      <c r="N27" s="133"/>
      <c r="O27" t="s" s="132">
        <v>319</v>
      </c>
      <c r="P27" s="134"/>
      <c r="Q27" t="s" s="132">
        <v>319</v>
      </c>
      <c r="R27" s="133"/>
      <c r="S27" t="s" s="132">
        <v>319</v>
      </c>
      <c r="T27" s="134"/>
      <c r="U27" t="s" s="132">
        <v>319</v>
      </c>
      <c r="V27" s="133"/>
      <c r="W27" t="s" s="132">
        <v>319</v>
      </c>
      <c r="X27" s="134"/>
    </row>
    <row r="28" ht="13.5" customHeight="1">
      <c r="A28" t="s" s="132">
        <v>331</v>
      </c>
      <c r="B28" s="133"/>
      <c r="C28" t="s" s="132">
        <v>331</v>
      </c>
      <c r="D28" s="134"/>
      <c r="E28" t="s" s="132">
        <v>331</v>
      </c>
      <c r="F28" s="133"/>
      <c r="G28" t="s" s="132">
        <v>331</v>
      </c>
      <c r="H28" s="134"/>
      <c r="I28" t="s" s="132">
        <v>331</v>
      </c>
      <c r="J28" s="133"/>
      <c r="K28" t="s" s="132">
        <v>331</v>
      </c>
      <c r="L28" s="134"/>
      <c r="M28" t="s" s="132">
        <v>331</v>
      </c>
      <c r="N28" s="133"/>
      <c r="O28" t="s" s="132">
        <v>331</v>
      </c>
      <c r="P28" s="134"/>
      <c r="Q28" t="s" s="132">
        <v>331</v>
      </c>
      <c r="R28" s="133"/>
      <c r="S28" t="s" s="132">
        <v>331</v>
      </c>
      <c r="T28" s="134"/>
      <c r="U28" t="s" s="132">
        <v>331</v>
      </c>
      <c r="V28" s="133"/>
      <c r="W28" t="s" s="132">
        <v>331</v>
      </c>
      <c r="X28" s="134"/>
    </row>
    <row r="29" ht="13.5" customHeight="1">
      <c r="A29" t="s" s="132">
        <v>343</v>
      </c>
      <c r="B29" s="133"/>
      <c r="C29" t="s" s="132">
        <v>343</v>
      </c>
      <c r="D29" s="134"/>
      <c r="E29" t="s" s="132">
        <v>343</v>
      </c>
      <c r="F29" s="133"/>
      <c r="G29" t="s" s="132">
        <v>343</v>
      </c>
      <c r="H29" s="134"/>
      <c r="I29" t="s" s="132">
        <v>343</v>
      </c>
      <c r="J29" s="133"/>
      <c r="K29" t="s" s="132">
        <v>343</v>
      </c>
      <c r="L29" s="134"/>
      <c r="M29" t="s" s="132">
        <v>343</v>
      </c>
      <c r="N29" s="133"/>
      <c r="O29" t="s" s="132">
        <v>343</v>
      </c>
      <c r="P29" s="134"/>
      <c r="Q29" t="s" s="132">
        <v>343</v>
      </c>
      <c r="R29" s="133"/>
      <c r="S29" t="s" s="132">
        <v>343</v>
      </c>
      <c r="T29" s="134"/>
      <c r="U29" t="s" s="132">
        <v>343</v>
      </c>
      <c r="V29" s="133"/>
      <c r="W29" t="s" s="132">
        <v>343</v>
      </c>
      <c r="X29" s="134"/>
    </row>
    <row r="30" ht="13.5" customHeight="1">
      <c r="A30" t="s" s="132">
        <v>355</v>
      </c>
      <c r="B30" s="133"/>
      <c r="C30" t="s" s="132">
        <v>355</v>
      </c>
      <c r="D30" s="134"/>
      <c r="E30" t="s" s="132">
        <v>355</v>
      </c>
      <c r="F30" s="133"/>
      <c r="G30" t="s" s="132">
        <v>355</v>
      </c>
      <c r="H30" s="134"/>
      <c r="I30" t="s" s="132">
        <v>355</v>
      </c>
      <c r="J30" s="133"/>
      <c r="K30" t="s" s="132">
        <v>355</v>
      </c>
      <c r="L30" s="134"/>
      <c r="M30" t="s" s="132">
        <v>355</v>
      </c>
      <c r="N30" s="133"/>
      <c r="O30" t="s" s="132">
        <v>355</v>
      </c>
      <c r="P30" s="134"/>
      <c r="Q30" t="s" s="132">
        <v>355</v>
      </c>
      <c r="R30" s="133"/>
      <c r="S30" t="s" s="132">
        <v>355</v>
      </c>
      <c r="T30" s="134"/>
      <c r="U30" t="s" s="132">
        <v>355</v>
      </c>
      <c r="V30" s="133"/>
      <c r="W30" t="s" s="132">
        <v>355</v>
      </c>
      <c r="X30" s="134"/>
    </row>
    <row r="31" ht="13.5" customHeight="1">
      <c r="A31" t="s" s="132">
        <v>367</v>
      </c>
      <c r="B31" s="133"/>
      <c r="C31" t="s" s="132">
        <v>367</v>
      </c>
      <c r="D31" s="134"/>
      <c r="E31" t="s" s="132">
        <v>367</v>
      </c>
      <c r="F31" s="133"/>
      <c r="G31" t="s" s="132">
        <v>367</v>
      </c>
      <c r="H31" s="134"/>
      <c r="I31" t="s" s="132">
        <v>367</v>
      </c>
      <c r="J31" s="133"/>
      <c r="K31" t="s" s="132">
        <v>367</v>
      </c>
      <c r="L31" s="134"/>
      <c r="M31" t="s" s="132">
        <v>367</v>
      </c>
      <c r="N31" s="133"/>
      <c r="O31" t="s" s="132">
        <v>367</v>
      </c>
      <c r="P31" s="134"/>
      <c r="Q31" t="s" s="132">
        <v>367</v>
      </c>
      <c r="R31" s="133"/>
      <c r="S31" t="s" s="132">
        <v>367</v>
      </c>
      <c r="T31" s="134"/>
      <c r="U31" t="s" s="132">
        <v>367</v>
      </c>
      <c r="V31" s="133"/>
      <c r="W31" t="s" s="132">
        <v>367</v>
      </c>
      <c r="X31" s="134"/>
    </row>
    <row r="32" ht="13.5" customHeight="1">
      <c r="A32" t="s" s="132">
        <v>379</v>
      </c>
      <c r="B32" s="133"/>
      <c r="C32" t="s" s="132">
        <v>379</v>
      </c>
      <c r="D32" s="134"/>
      <c r="E32" t="s" s="132">
        <v>379</v>
      </c>
      <c r="F32" s="133"/>
      <c r="G32" t="s" s="132">
        <v>379</v>
      </c>
      <c r="H32" s="134"/>
      <c r="I32" t="s" s="132">
        <v>379</v>
      </c>
      <c r="J32" s="133"/>
      <c r="K32" t="s" s="132">
        <v>379</v>
      </c>
      <c r="L32" s="134"/>
      <c r="M32" t="s" s="132">
        <v>379</v>
      </c>
      <c r="N32" s="133"/>
      <c r="O32" t="s" s="132">
        <v>379</v>
      </c>
      <c r="P32" s="134"/>
      <c r="Q32" t="s" s="132">
        <v>379</v>
      </c>
      <c r="R32" s="133"/>
      <c r="S32" t="s" s="132">
        <v>379</v>
      </c>
      <c r="T32" s="134"/>
      <c r="U32" t="s" s="132">
        <v>379</v>
      </c>
      <c r="V32" s="133"/>
      <c r="W32" t="s" s="132">
        <v>379</v>
      </c>
      <c r="X32" s="134"/>
    </row>
    <row r="33" ht="13.5" customHeight="1">
      <c r="A33" t="s" s="132">
        <v>391</v>
      </c>
      <c r="B33" s="133"/>
      <c r="C33" t="s" s="132">
        <v>391</v>
      </c>
      <c r="D33" s="134"/>
      <c r="E33" t="s" s="132">
        <v>391</v>
      </c>
      <c r="F33" s="133"/>
      <c r="G33" t="s" s="132">
        <v>391</v>
      </c>
      <c r="H33" s="134"/>
      <c r="I33" t="s" s="132">
        <v>391</v>
      </c>
      <c r="J33" s="133"/>
      <c r="K33" t="s" s="132">
        <v>391</v>
      </c>
      <c r="L33" s="134"/>
      <c r="M33" t="s" s="132">
        <v>391</v>
      </c>
      <c r="N33" s="133"/>
      <c r="O33" t="s" s="132">
        <v>391</v>
      </c>
      <c r="P33" s="134"/>
      <c r="Q33" t="s" s="132">
        <v>391</v>
      </c>
      <c r="R33" s="133"/>
      <c r="S33" t="s" s="132">
        <v>391</v>
      </c>
      <c r="T33" s="134"/>
      <c r="U33" t="s" s="132">
        <v>391</v>
      </c>
      <c r="V33" s="133"/>
      <c r="W33" t="s" s="132">
        <v>391</v>
      </c>
      <c r="X33" s="134"/>
    </row>
    <row r="34" ht="13.5" customHeight="1">
      <c r="A34" t="s" s="132">
        <v>403</v>
      </c>
      <c r="B34" s="133"/>
      <c r="C34" t="s" s="132">
        <v>403</v>
      </c>
      <c r="D34" s="134"/>
      <c r="E34" t="s" s="132">
        <v>403</v>
      </c>
      <c r="F34" s="133"/>
      <c r="G34" t="s" s="132">
        <v>403</v>
      </c>
      <c r="H34" s="134"/>
      <c r="I34" t="s" s="132">
        <v>403</v>
      </c>
      <c r="J34" s="133"/>
      <c r="K34" t="s" s="132">
        <v>403</v>
      </c>
      <c r="L34" s="134"/>
      <c r="M34" t="s" s="132">
        <v>403</v>
      </c>
      <c r="N34" s="133"/>
      <c r="O34" t="s" s="132">
        <v>403</v>
      </c>
      <c r="P34" s="134"/>
      <c r="Q34" t="s" s="132">
        <v>403</v>
      </c>
      <c r="R34" s="133"/>
      <c r="S34" t="s" s="132">
        <v>403</v>
      </c>
      <c r="T34" s="134"/>
      <c r="U34" t="s" s="132">
        <v>403</v>
      </c>
      <c r="V34" s="133"/>
      <c r="W34" t="s" s="132">
        <v>403</v>
      </c>
      <c r="X34" s="134"/>
    </row>
    <row r="35" ht="13.5" customHeight="1">
      <c r="A35" t="s" s="132">
        <v>415</v>
      </c>
      <c r="B35" s="133"/>
      <c r="C35" t="s" s="132">
        <v>415</v>
      </c>
      <c r="D35" s="134"/>
      <c r="E35" t="s" s="132">
        <v>415</v>
      </c>
      <c r="F35" s="133"/>
      <c r="G35" t="s" s="132">
        <v>415</v>
      </c>
      <c r="H35" s="134"/>
      <c r="I35" t="s" s="132">
        <v>415</v>
      </c>
      <c r="J35" s="133"/>
      <c r="K35" t="s" s="132">
        <v>415</v>
      </c>
      <c r="L35" s="134"/>
      <c r="M35" t="s" s="132">
        <v>415</v>
      </c>
      <c r="N35" s="133"/>
      <c r="O35" t="s" s="132">
        <v>415</v>
      </c>
      <c r="P35" s="134"/>
      <c r="Q35" t="s" s="132">
        <v>415</v>
      </c>
      <c r="R35" s="133"/>
      <c r="S35" t="s" s="132">
        <v>415</v>
      </c>
      <c r="T35" s="134"/>
      <c r="U35" t="s" s="132">
        <v>415</v>
      </c>
      <c r="V35" s="133"/>
      <c r="W35" t="s" s="132">
        <v>415</v>
      </c>
      <c r="X35" s="134"/>
    </row>
    <row r="36" ht="13.5" customHeight="1">
      <c r="A36" t="s" s="135">
        <v>427</v>
      </c>
      <c r="B36" s="136"/>
      <c r="C36" t="s" s="135">
        <v>427</v>
      </c>
      <c r="D36" s="137"/>
      <c r="E36" t="s" s="135">
        <v>427</v>
      </c>
      <c r="F36" s="136"/>
      <c r="G36" t="s" s="135">
        <v>427</v>
      </c>
      <c r="H36" s="137"/>
      <c r="I36" t="s" s="135">
        <v>427</v>
      </c>
      <c r="J36" s="136"/>
      <c r="K36" t="s" s="135">
        <v>427</v>
      </c>
      <c r="L36" s="137"/>
      <c r="M36" t="s" s="135">
        <v>427</v>
      </c>
      <c r="N36" s="136"/>
      <c r="O36" t="s" s="135">
        <v>427</v>
      </c>
      <c r="P36" s="137"/>
      <c r="Q36" t="s" s="135">
        <v>427</v>
      </c>
      <c r="R36" s="136"/>
      <c r="S36" t="s" s="135">
        <v>427</v>
      </c>
      <c r="T36" s="137"/>
      <c r="U36" t="s" s="135">
        <v>427</v>
      </c>
      <c r="V36" s="136"/>
      <c r="W36" t="s" s="135">
        <v>427</v>
      </c>
      <c r="X36" s="137"/>
    </row>
    <row r="37" ht="13.5" customHeight="1">
      <c r="A37" t="s" s="135">
        <v>439</v>
      </c>
      <c r="B37" s="136"/>
      <c r="C37" t="s" s="135">
        <v>439</v>
      </c>
      <c r="D37" s="137"/>
      <c r="E37" t="s" s="135">
        <v>439</v>
      </c>
      <c r="F37" s="136"/>
      <c r="G37" t="s" s="135">
        <v>439</v>
      </c>
      <c r="H37" s="137"/>
      <c r="I37" t="s" s="135">
        <v>439</v>
      </c>
      <c r="J37" s="136"/>
      <c r="K37" t="s" s="135">
        <v>439</v>
      </c>
      <c r="L37" s="137"/>
      <c r="M37" t="s" s="135">
        <v>439</v>
      </c>
      <c r="N37" s="136"/>
      <c r="O37" t="s" s="135">
        <v>439</v>
      </c>
      <c r="P37" s="137"/>
      <c r="Q37" t="s" s="135">
        <v>439</v>
      </c>
      <c r="R37" s="136"/>
      <c r="S37" t="s" s="135">
        <v>439</v>
      </c>
      <c r="T37" s="137"/>
      <c r="U37" t="s" s="135">
        <v>439</v>
      </c>
      <c r="V37" s="136"/>
      <c r="W37" t="s" s="135">
        <v>439</v>
      </c>
      <c r="X37" s="137"/>
    </row>
    <row r="38" ht="13.5" customHeight="1">
      <c r="A38" t="s" s="135">
        <v>451</v>
      </c>
      <c r="B38" s="136"/>
      <c r="C38" t="s" s="135">
        <v>451</v>
      </c>
      <c r="D38" s="137"/>
      <c r="E38" t="s" s="135">
        <v>451</v>
      </c>
      <c r="F38" s="136"/>
      <c r="G38" t="s" s="135">
        <v>451</v>
      </c>
      <c r="H38" s="137"/>
      <c r="I38" t="s" s="135">
        <v>451</v>
      </c>
      <c r="J38" s="136"/>
      <c r="K38" t="s" s="135">
        <v>451</v>
      </c>
      <c r="L38" s="137"/>
      <c r="M38" t="s" s="135">
        <v>451</v>
      </c>
      <c r="N38" s="136"/>
      <c r="O38" t="s" s="135">
        <v>451</v>
      </c>
      <c r="P38" s="137"/>
      <c r="Q38" t="s" s="135">
        <v>451</v>
      </c>
      <c r="R38" s="136"/>
      <c r="S38" t="s" s="135">
        <v>451</v>
      </c>
      <c r="T38" s="137"/>
      <c r="U38" t="s" s="135">
        <v>451</v>
      </c>
      <c r="V38" s="136"/>
      <c r="W38" t="s" s="135">
        <v>451</v>
      </c>
      <c r="X38" s="137"/>
    </row>
    <row r="39" ht="13.5" customHeight="1">
      <c r="A39" t="s" s="135">
        <v>546</v>
      </c>
      <c r="B39" s="136"/>
      <c r="C39" t="s" s="135">
        <v>546</v>
      </c>
      <c r="D39" s="137"/>
      <c r="E39" t="s" s="135">
        <v>546</v>
      </c>
      <c r="F39" s="136"/>
      <c r="G39" t="s" s="135">
        <v>546</v>
      </c>
      <c r="H39" s="137"/>
      <c r="I39" t="s" s="135">
        <v>546</v>
      </c>
      <c r="J39" s="136"/>
      <c r="K39" t="s" s="135">
        <v>546</v>
      </c>
      <c r="L39" s="137"/>
      <c r="M39" t="s" s="135">
        <v>546</v>
      </c>
      <c r="N39" s="136"/>
      <c r="O39" t="s" s="135">
        <v>546</v>
      </c>
      <c r="P39" s="137"/>
      <c r="Q39" t="s" s="135">
        <v>546</v>
      </c>
      <c r="R39" s="136"/>
      <c r="S39" t="s" s="135">
        <v>546</v>
      </c>
      <c r="T39" s="137"/>
      <c r="U39" t="s" s="135">
        <v>546</v>
      </c>
      <c r="V39" s="136"/>
      <c r="W39" t="s" s="135">
        <v>546</v>
      </c>
      <c r="X39" s="137"/>
    </row>
    <row r="40" ht="13.5" customHeight="1">
      <c r="A40" t="s" s="135">
        <v>547</v>
      </c>
      <c r="B40" s="136"/>
      <c r="C40" t="s" s="135">
        <v>547</v>
      </c>
      <c r="D40" s="137"/>
      <c r="E40" t="s" s="135">
        <v>547</v>
      </c>
      <c r="F40" s="136"/>
      <c r="G40" t="s" s="135">
        <v>547</v>
      </c>
      <c r="H40" s="137"/>
      <c r="I40" t="s" s="135">
        <v>547</v>
      </c>
      <c r="J40" s="136"/>
      <c r="K40" t="s" s="135">
        <v>547</v>
      </c>
      <c r="L40" s="137"/>
      <c r="M40" t="s" s="135">
        <v>547</v>
      </c>
      <c r="N40" s="136"/>
      <c r="O40" t="s" s="135">
        <v>547</v>
      </c>
      <c r="P40" s="137"/>
      <c r="Q40" t="s" s="135">
        <v>547</v>
      </c>
      <c r="R40" s="136"/>
      <c r="S40" t="s" s="135">
        <v>547</v>
      </c>
      <c r="T40" s="137"/>
      <c r="U40" t="s" s="135">
        <v>547</v>
      </c>
      <c r="V40" s="136"/>
      <c r="W40" t="s" s="135">
        <v>547</v>
      </c>
      <c r="X40" s="137"/>
    </row>
    <row r="41" ht="13.5" customHeight="1">
      <c r="A41" t="s" s="135">
        <v>548</v>
      </c>
      <c r="B41" s="136"/>
      <c r="C41" t="s" s="135">
        <v>548</v>
      </c>
      <c r="D41" s="137"/>
      <c r="E41" t="s" s="135">
        <v>548</v>
      </c>
      <c r="F41" s="136"/>
      <c r="G41" t="s" s="135">
        <v>548</v>
      </c>
      <c r="H41" s="137"/>
      <c r="I41" t="s" s="135">
        <v>548</v>
      </c>
      <c r="J41" s="136"/>
      <c r="K41" t="s" s="135">
        <v>548</v>
      </c>
      <c r="L41" s="137"/>
      <c r="M41" t="s" s="135">
        <v>548</v>
      </c>
      <c r="N41" s="136"/>
      <c r="O41" t="s" s="135">
        <v>548</v>
      </c>
      <c r="P41" s="137"/>
      <c r="Q41" t="s" s="135">
        <v>548</v>
      </c>
      <c r="R41" s="136"/>
      <c r="S41" t="s" s="135">
        <v>548</v>
      </c>
      <c r="T41" s="137"/>
      <c r="U41" t="s" s="135">
        <v>548</v>
      </c>
      <c r="V41" s="136"/>
      <c r="W41" t="s" s="135">
        <v>548</v>
      </c>
      <c r="X41" s="137"/>
    </row>
    <row r="42" ht="13.5" customHeight="1">
      <c r="A42" t="s" s="135">
        <v>549</v>
      </c>
      <c r="B42" s="136"/>
      <c r="C42" t="s" s="135">
        <v>549</v>
      </c>
      <c r="D42" s="137"/>
      <c r="E42" t="s" s="135">
        <v>549</v>
      </c>
      <c r="F42" s="136"/>
      <c r="G42" t="s" s="135">
        <v>549</v>
      </c>
      <c r="H42" s="137"/>
      <c r="I42" t="s" s="135">
        <v>549</v>
      </c>
      <c r="J42" s="136"/>
      <c r="K42" t="s" s="135">
        <v>549</v>
      </c>
      <c r="L42" s="137"/>
      <c r="M42" t="s" s="135">
        <v>549</v>
      </c>
      <c r="N42" s="136"/>
      <c r="O42" t="s" s="135">
        <v>549</v>
      </c>
      <c r="P42" s="137"/>
      <c r="Q42" t="s" s="135">
        <v>549</v>
      </c>
      <c r="R42" s="136"/>
      <c r="S42" t="s" s="135">
        <v>549</v>
      </c>
      <c r="T42" s="137"/>
      <c r="U42" t="s" s="135">
        <v>549</v>
      </c>
      <c r="V42" s="136"/>
      <c r="W42" t="s" s="135">
        <v>549</v>
      </c>
      <c r="X42" s="137"/>
    </row>
    <row r="43" ht="13.5" customHeight="1">
      <c r="A43" t="s" s="135">
        <v>550</v>
      </c>
      <c r="B43" s="136"/>
      <c r="C43" t="s" s="135">
        <v>550</v>
      </c>
      <c r="D43" s="137"/>
      <c r="E43" t="s" s="135">
        <v>550</v>
      </c>
      <c r="F43" s="136"/>
      <c r="G43" t="s" s="135">
        <v>550</v>
      </c>
      <c r="H43" s="137"/>
      <c r="I43" t="s" s="135">
        <v>550</v>
      </c>
      <c r="J43" s="136"/>
      <c r="K43" t="s" s="135">
        <v>550</v>
      </c>
      <c r="L43" s="137"/>
      <c r="M43" t="s" s="135">
        <v>550</v>
      </c>
      <c r="N43" s="136"/>
      <c r="O43" t="s" s="135">
        <v>550</v>
      </c>
      <c r="P43" s="137"/>
      <c r="Q43" t="s" s="135">
        <v>550</v>
      </c>
      <c r="R43" s="136"/>
      <c r="S43" t="s" s="135">
        <v>550</v>
      </c>
      <c r="T43" s="137"/>
      <c r="U43" t="s" s="135">
        <v>550</v>
      </c>
      <c r="V43" s="136"/>
      <c r="W43" t="s" s="135">
        <v>550</v>
      </c>
      <c r="X43" s="137"/>
    </row>
    <row r="44" ht="13.5" customHeight="1">
      <c r="A44" t="s" s="135">
        <v>551</v>
      </c>
      <c r="B44" s="136"/>
      <c r="C44" t="s" s="135">
        <v>551</v>
      </c>
      <c r="D44" s="137"/>
      <c r="E44" t="s" s="135">
        <v>551</v>
      </c>
      <c r="F44" s="136"/>
      <c r="G44" t="s" s="135">
        <v>551</v>
      </c>
      <c r="H44" s="137"/>
      <c r="I44" t="s" s="135">
        <v>551</v>
      </c>
      <c r="J44" s="136"/>
      <c r="K44" t="s" s="135">
        <v>551</v>
      </c>
      <c r="L44" s="137"/>
      <c r="M44" t="s" s="135">
        <v>551</v>
      </c>
      <c r="N44" s="136"/>
      <c r="O44" t="s" s="135">
        <v>551</v>
      </c>
      <c r="P44" s="137"/>
      <c r="Q44" t="s" s="135">
        <v>551</v>
      </c>
      <c r="R44" s="136"/>
      <c r="S44" t="s" s="135">
        <v>551</v>
      </c>
      <c r="T44" s="137"/>
      <c r="U44" t="s" s="135">
        <v>551</v>
      </c>
      <c r="V44" s="136"/>
      <c r="W44" t="s" s="135">
        <v>551</v>
      </c>
      <c r="X44" s="137"/>
    </row>
    <row r="45" ht="13.5" customHeight="1">
      <c r="A45" t="s" s="135">
        <v>552</v>
      </c>
      <c r="B45" s="136"/>
      <c r="C45" t="s" s="135">
        <v>552</v>
      </c>
      <c r="D45" s="137"/>
      <c r="E45" t="s" s="135">
        <v>552</v>
      </c>
      <c r="F45" s="136"/>
      <c r="G45" t="s" s="135">
        <v>552</v>
      </c>
      <c r="H45" s="137"/>
      <c r="I45" t="s" s="135">
        <v>552</v>
      </c>
      <c r="J45" s="136"/>
      <c r="K45" t="s" s="135">
        <v>552</v>
      </c>
      <c r="L45" s="137"/>
      <c r="M45" t="s" s="135">
        <v>552</v>
      </c>
      <c r="N45" s="136"/>
      <c r="O45" t="s" s="135">
        <v>552</v>
      </c>
      <c r="P45" s="137"/>
      <c r="Q45" t="s" s="135">
        <v>552</v>
      </c>
      <c r="R45" s="136"/>
      <c r="S45" t="s" s="135">
        <v>552</v>
      </c>
      <c r="T45" s="137"/>
      <c r="U45" t="s" s="135">
        <v>552</v>
      </c>
      <c r="V45" s="136"/>
      <c r="W45" t="s" s="135">
        <v>552</v>
      </c>
      <c r="X45" s="137"/>
    </row>
    <row r="46" ht="13.5" customHeight="1">
      <c r="A46" t="s" s="135">
        <v>553</v>
      </c>
      <c r="B46" s="136"/>
      <c r="C46" t="s" s="135">
        <v>553</v>
      </c>
      <c r="D46" s="137"/>
      <c r="E46" t="s" s="135">
        <v>553</v>
      </c>
      <c r="F46" s="136"/>
      <c r="G46" t="s" s="135">
        <v>553</v>
      </c>
      <c r="H46" s="137"/>
      <c r="I46" t="s" s="135">
        <v>553</v>
      </c>
      <c r="J46" s="136"/>
      <c r="K46" t="s" s="135">
        <v>553</v>
      </c>
      <c r="L46" s="137"/>
      <c r="M46" t="s" s="135">
        <v>553</v>
      </c>
      <c r="N46" s="136"/>
      <c r="O46" t="s" s="135">
        <v>553</v>
      </c>
      <c r="P46" s="137"/>
      <c r="Q46" t="s" s="135">
        <v>553</v>
      </c>
      <c r="R46" s="136"/>
      <c r="S46" t="s" s="135">
        <v>553</v>
      </c>
      <c r="T46" s="137"/>
      <c r="U46" t="s" s="135">
        <v>553</v>
      </c>
      <c r="V46" s="136"/>
      <c r="W46" t="s" s="135">
        <v>553</v>
      </c>
      <c r="X46" s="137"/>
    </row>
    <row r="47" ht="13.5" customHeight="1">
      <c r="A47" t="s" s="135">
        <v>554</v>
      </c>
      <c r="B47" s="136"/>
      <c r="C47" t="s" s="135">
        <v>554</v>
      </c>
      <c r="D47" s="137"/>
      <c r="E47" t="s" s="135">
        <v>554</v>
      </c>
      <c r="F47" s="136"/>
      <c r="G47" t="s" s="135">
        <v>554</v>
      </c>
      <c r="H47" s="137"/>
      <c r="I47" t="s" s="135">
        <v>554</v>
      </c>
      <c r="J47" s="136"/>
      <c r="K47" t="s" s="135">
        <v>554</v>
      </c>
      <c r="L47" s="137"/>
      <c r="M47" t="s" s="135">
        <v>554</v>
      </c>
      <c r="N47" s="136"/>
      <c r="O47" t="s" s="135">
        <v>554</v>
      </c>
      <c r="P47" s="137"/>
      <c r="Q47" t="s" s="135">
        <v>554</v>
      </c>
      <c r="R47" s="136"/>
      <c r="S47" t="s" s="135">
        <v>554</v>
      </c>
      <c r="T47" s="137"/>
      <c r="U47" t="s" s="135">
        <v>554</v>
      </c>
      <c r="V47" s="136"/>
      <c r="W47" t="s" s="135">
        <v>554</v>
      </c>
      <c r="X47" s="137"/>
    </row>
    <row r="48" ht="13.5" customHeight="1">
      <c r="A48" t="s" s="135">
        <v>555</v>
      </c>
      <c r="B48" s="136"/>
      <c r="C48" t="s" s="135">
        <v>555</v>
      </c>
      <c r="D48" s="137"/>
      <c r="E48" t="s" s="135">
        <v>555</v>
      </c>
      <c r="F48" s="136"/>
      <c r="G48" t="s" s="135">
        <v>555</v>
      </c>
      <c r="H48" s="137"/>
      <c r="I48" t="s" s="135">
        <v>555</v>
      </c>
      <c r="J48" s="136"/>
      <c r="K48" t="s" s="135">
        <v>555</v>
      </c>
      <c r="L48" s="137"/>
      <c r="M48" t="s" s="135">
        <v>555</v>
      </c>
      <c r="N48" s="136"/>
      <c r="O48" t="s" s="135">
        <v>555</v>
      </c>
      <c r="P48" s="137"/>
      <c r="Q48" t="s" s="135">
        <v>555</v>
      </c>
      <c r="R48" s="136"/>
      <c r="S48" t="s" s="135">
        <v>555</v>
      </c>
      <c r="T48" s="137"/>
      <c r="U48" t="s" s="135">
        <v>555</v>
      </c>
      <c r="V48" s="136"/>
      <c r="W48" t="s" s="135">
        <v>555</v>
      </c>
      <c r="X48" s="137"/>
    </row>
    <row r="49" ht="13.5" customHeight="1">
      <c r="A49" t="s" s="135">
        <v>556</v>
      </c>
      <c r="B49" s="136"/>
      <c r="C49" t="s" s="135">
        <v>556</v>
      </c>
      <c r="D49" s="137"/>
      <c r="E49" t="s" s="135">
        <v>556</v>
      </c>
      <c r="F49" s="136"/>
      <c r="G49" t="s" s="135">
        <v>556</v>
      </c>
      <c r="H49" s="137"/>
      <c r="I49" t="s" s="135">
        <v>556</v>
      </c>
      <c r="J49" s="136"/>
      <c r="K49" t="s" s="135">
        <v>556</v>
      </c>
      <c r="L49" s="137"/>
      <c r="M49" t="s" s="135">
        <v>556</v>
      </c>
      <c r="N49" s="136"/>
      <c r="O49" t="s" s="135">
        <v>556</v>
      </c>
      <c r="P49" s="137"/>
      <c r="Q49" t="s" s="135">
        <v>556</v>
      </c>
      <c r="R49" s="136"/>
      <c r="S49" t="s" s="135">
        <v>556</v>
      </c>
      <c r="T49" s="137"/>
      <c r="U49" t="s" s="135">
        <v>556</v>
      </c>
      <c r="V49" s="136"/>
      <c r="W49" t="s" s="135">
        <v>556</v>
      </c>
      <c r="X49" s="137"/>
    </row>
    <row r="50" ht="13.5" customHeight="1">
      <c r="A50" t="s" s="135">
        <v>186</v>
      </c>
      <c r="B50" s="136"/>
      <c r="C50" t="s" s="135">
        <v>186</v>
      </c>
      <c r="D50" s="137"/>
      <c r="E50" t="s" s="135">
        <v>186</v>
      </c>
      <c r="F50" s="136"/>
      <c r="G50" t="s" s="135">
        <v>186</v>
      </c>
      <c r="H50" s="137"/>
      <c r="I50" t="s" s="135">
        <v>186</v>
      </c>
      <c r="J50" s="136"/>
      <c r="K50" t="s" s="135">
        <v>186</v>
      </c>
      <c r="L50" s="137"/>
      <c r="M50" t="s" s="135">
        <v>186</v>
      </c>
      <c r="N50" s="136"/>
      <c r="O50" t="s" s="135">
        <v>186</v>
      </c>
      <c r="P50" s="137"/>
      <c r="Q50" t="s" s="135">
        <v>186</v>
      </c>
      <c r="R50" s="136"/>
      <c r="S50" t="s" s="135">
        <v>186</v>
      </c>
      <c r="T50" s="137"/>
      <c r="U50" t="s" s="135">
        <v>186</v>
      </c>
      <c r="V50" s="136"/>
      <c r="W50" t="s" s="135">
        <v>186</v>
      </c>
      <c r="X50" s="137"/>
    </row>
    <row r="51" ht="13.5" customHeight="1">
      <c r="A51" t="s" s="135">
        <v>198</v>
      </c>
      <c r="B51" s="136"/>
      <c r="C51" t="s" s="135">
        <v>198</v>
      </c>
      <c r="D51" s="137"/>
      <c r="E51" t="s" s="135">
        <v>198</v>
      </c>
      <c r="F51" s="136"/>
      <c r="G51" t="s" s="135">
        <v>198</v>
      </c>
      <c r="H51" s="137"/>
      <c r="I51" t="s" s="135">
        <v>198</v>
      </c>
      <c r="J51" s="136"/>
      <c r="K51" t="s" s="135">
        <v>198</v>
      </c>
      <c r="L51" s="137"/>
      <c r="M51" t="s" s="135">
        <v>198</v>
      </c>
      <c r="N51" s="136"/>
      <c r="O51" t="s" s="135">
        <v>198</v>
      </c>
      <c r="P51" s="137"/>
      <c r="Q51" t="s" s="135">
        <v>198</v>
      </c>
      <c r="R51" s="136"/>
      <c r="S51" t="s" s="135">
        <v>198</v>
      </c>
      <c r="T51" s="137"/>
      <c r="U51" t="s" s="135">
        <v>198</v>
      </c>
      <c r="V51" s="136"/>
      <c r="W51" t="s" s="135">
        <v>198</v>
      </c>
      <c r="X51" s="137"/>
    </row>
    <row r="52" ht="13.5" customHeight="1">
      <c r="A52" t="s" s="135">
        <v>463</v>
      </c>
      <c r="B52" s="136"/>
      <c r="C52" t="s" s="135">
        <v>463</v>
      </c>
      <c r="D52" s="137"/>
      <c r="E52" t="s" s="135">
        <v>463</v>
      </c>
      <c r="F52" s="136"/>
      <c r="G52" t="s" s="135">
        <v>463</v>
      </c>
      <c r="H52" s="137"/>
      <c r="I52" t="s" s="135">
        <v>463</v>
      </c>
      <c r="J52" s="136"/>
      <c r="K52" t="s" s="135">
        <v>463</v>
      </c>
      <c r="L52" s="137"/>
      <c r="M52" t="s" s="135">
        <v>463</v>
      </c>
      <c r="N52" s="136"/>
      <c r="O52" t="s" s="135">
        <v>463</v>
      </c>
      <c r="P52" s="137"/>
      <c r="Q52" t="s" s="135">
        <v>463</v>
      </c>
      <c r="R52" s="136"/>
      <c r="S52" t="s" s="135">
        <v>463</v>
      </c>
      <c r="T52" s="137"/>
      <c r="U52" t="s" s="135">
        <v>463</v>
      </c>
      <c r="V52" s="136"/>
      <c r="W52" t="s" s="135">
        <v>463</v>
      </c>
      <c r="X52" s="137"/>
    </row>
    <row r="53" ht="13.5" customHeight="1">
      <c r="A53" t="s" s="135">
        <v>475</v>
      </c>
      <c r="B53" s="136"/>
      <c r="C53" t="s" s="135">
        <v>475</v>
      </c>
      <c r="D53" s="137"/>
      <c r="E53" t="s" s="135">
        <v>475</v>
      </c>
      <c r="F53" s="136"/>
      <c r="G53" t="s" s="135">
        <v>475</v>
      </c>
      <c r="H53" s="137"/>
      <c r="I53" t="s" s="135">
        <v>475</v>
      </c>
      <c r="J53" s="136"/>
      <c r="K53" t="s" s="135">
        <v>475</v>
      </c>
      <c r="L53" s="137"/>
      <c r="M53" t="s" s="135">
        <v>475</v>
      </c>
      <c r="N53" s="136"/>
      <c r="O53" t="s" s="135">
        <v>475</v>
      </c>
      <c r="P53" s="137"/>
      <c r="Q53" t="s" s="135">
        <v>475</v>
      </c>
      <c r="R53" s="136"/>
      <c r="S53" t="s" s="135">
        <v>475</v>
      </c>
      <c r="T53" s="137"/>
      <c r="U53" t="s" s="135">
        <v>475</v>
      </c>
      <c r="V53" s="136"/>
      <c r="W53" t="s" s="135">
        <v>475</v>
      </c>
      <c r="X53" s="137"/>
    </row>
    <row r="54" ht="13.5" customHeight="1">
      <c r="A54" t="s" s="135">
        <v>487</v>
      </c>
      <c r="B54" s="136"/>
      <c r="C54" t="s" s="135">
        <v>487</v>
      </c>
      <c r="D54" s="137"/>
      <c r="E54" t="s" s="135">
        <v>487</v>
      </c>
      <c r="F54" s="136"/>
      <c r="G54" t="s" s="135">
        <v>487</v>
      </c>
      <c r="H54" s="137"/>
      <c r="I54" t="s" s="135">
        <v>487</v>
      </c>
      <c r="J54" s="136"/>
      <c r="K54" t="s" s="135">
        <v>487</v>
      </c>
      <c r="L54" s="137"/>
      <c r="M54" t="s" s="135">
        <v>487</v>
      </c>
      <c r="N54" s="136"/>
      <c r="O54" t="s" s="135">
        <v>487</v>
      </c>
      <c r="P54" s="137"/>
      <c r="Q54" t="s" s="135">
        <v>487</v>
      </c>
      <c r="R54" s="136"/>
      <c r="S54" t="s" s="135">
        <v>487</v>
      </c>
      <c r="T54" s="137"/>
      <c r="U54" t="s" s="135">
        <v>487</v>
      </c>
      <c r="V54" s="136"/>
      <c r="W54" t="s" s="135">
        <v>487</v>
      </c>
      <c r="X54" s="137"/>
    </row>
    <row r="55" ht="13.5" customHeight="1">
      <c r="A55" t="s" s="135">
        <v>499</v>
      </c>
      <c r="B55" s="136"/>
      <c r="C55" t="s" s="135">
        <v>499</v>
      </c>
      <c r="D55" s="137"/>
      <c r="E55" t="s" s="135">
        <v>499</v>
      </c>
      <c r="F55" s="136"/>
      <c r="G55" t="s" s="135">
        <v>499</v>
      </c>
      <c r="H55" s="137"/>
      <c r="I55" t="s" s="135">
        <v>499</v>
      </c>
      <c r="J55" s="136"/>
      <c r="K55" t="s" s="135">
        <v>499</v>
      </c>
      <c r="L55" s="137"/>
      <c r="M55" t="s" s="135">
        <v>499</v>
      </c>
      <c r="N55" s="136"/>
      <c r="O55" t="s" s="135">
        <v>499</v>
      </c>
      <c r="P55" s="137"/>
      <c r="Q55" t="s" s="135">
        <v>499</v>
      </c>
      <c r="R55" s="136"/>
      <c r="S55" t="s" s="135">
        <v>499</v>
      </c>
      <c r="T55" s="137"/>
      <c r="U55" t="s" s="135">
        <v>499</v>
      </c>
      <c r="V55" s="136"/>
      <c r="W55" t="s" s="135">
        <v>499</v>
      </c>
      <c r="X55" s="137"/>
    </row>
    <row r="56" ht="13.5" customHeight="1">
      <c r="A56" t="s" s="135">
        <v>511</v>
      </c>
      <c r="B56" s="136"/>
      <c r="C56" t="s" s="135">
        <v>511</v>
      </c>
      <c r="D56" s="137"/>
      <c r="E56" t="s" s="135">
        <v>511</v>
      </c>
      <c r="F56" s="136"/>
      <c r="G56" t="s" s="135">
        <v>511</v>
      </c>
      <c r="H56" s="137"/>
      <c r="I56" t="s" s="135">
        <v>511</v>
      </c>
      <c r="J56" s="136"/>
      <c r="K56" t="s" s="135">
        <v>511</v>
      </c>
      <c r="L56" s="137"/>
      <c r="M56" t="s" s="135">
        <v>511</v>
      </c>
      <c r="N56" s="136"/>
      <c r="O56" t="s" s="135">
        <v>511</v>
      </c>
      <c r="P56" s="137"/>
      <c r="Q56" t="s" s="135">
        <v>511</v>
      </c>
      <c r="R56" s="136"/>
      <c r="S56" t="s" s="135">
        <v>511</v>
      </c>
      <c r="T56" s="137"/>
      <c r="U56" t="s" s="135">
        <v>511</v>
      </c>
      <c r="V56" s="136"/>
      <c r="W56" t="s" s="135">
        <v>511</v>
      </c>
      <c r="X56" s="137"/>
    </row>
    <row r="57" ht="13.5" customHeight="1">
      <c r="A57" s="135"/>
      <c r="B57" s="136"/>
      <c r="C57" s="135"/>
      <c r="D57" s="137"/>
      <c r="E57" s="138"/>
      <c r="F57" s="136"/>
      <c r="G57" s="139"/>
      <c r="H57" s="140"/>
      <c r="I57" s="138"/>
      <c r="J57" s="136"/>
      <c r="K57" s="138"/>
      <c r="L57" s="137"/>
      <c r="M57" s="138"/>
      <c r="N57" s="136"/>
      <c r="O57" s="138"/>
      <c r="P57" s="137"/>
      <c r="Q57" s="138"/>
      <c r="R57" s="136"/>
      <c r="S57" s="138"/>
      <c r="T57" s="137"/>
      <c r="U57" s="138"/>
      <c r="V57" s="136"/>
      <c r="W57" s="138"/>
      <c r="X57" s="137"/>
    </row>
    <row r="58" ht="13.5" customHeight="1">
      <c r="A58" s="135"/>
      <c r="B58" s="136"/>
      <c r="C58" s="135"/>
      <c r="D58" s="137"/>
      <c r="E58" s="138"/>
      <c r="F58" s="136"/>
      <c r="G58" s="139"/>
      <c r="H58" s="140"/>
      <c r="I58" s="138"/>
      <c r="J58" s="136"/>
      <c r="K58" s="138"/>
      <c r="L58" s="137"/>
      <c r="M58" s="138"/>
      <c r="N58" s="136"/>
      <c r="O58" s="138"/>
      <c r="P58" s="137"/>
      <c r="Q58" s="138"/>
      <c r="R58" s="136"/>
      <c r="S58" s="138"/>
      <c r="T58" s="137"/>
      <c r="U58" s="138"/>
      <c r="V58" s="136"/>
      <c r="W58" s="138"/>
      <c r="X58" s="137"/>
    </row>
    <row r="59" ht="13.5" customHeight="1">
      <c r="A59" s="135"/>
      <c r="B59" s="136"/>
      <c r="C59" s="135"/>
      <c r="D59" s="137"/>
      <c r="E59" s="138"/>
      <c r="F59" s="136"/>
      <c r="G59" s="139"/>
      <c r="H59" s="140"/>
      <c r="I59" s="138"/>
      <c r="J59" s="136"/>
      <c r="K59" s="138"/>
      <c r="L59" s="137"/>
      <c r="M59" s="138"/>
      <c r="N59" s="136"/>
      <c r="O59" s="138"/>
      <c r="P59" s="137"/>
      <c r="Q59" s="138"/>
      <c r="R59" s="136"/>
      <c r="S59" s="138"/>
      <c r="T59" s="137"/>
      <c r="U59" s="138"/>
      <c r="V59" s="136"/>
      <c r="W59" s="138"/>
      <c r="X59" s="137"/>
    </row>
    <row r="60" ht="13.5" customHeight="1">
      <c r="A60" s="135"/>
      <c r="B60" s="136"/>
      <c r="C60" s="135"/>
      <c r="D60" s="137"/>
      <c r="E60" s="138"/>
      <c r="F60" s="136"/>
      <c r="G60" s="139"/>
      <c r="H60" s="140"/>
      <c r="I60" s="138"/>
      <c r="J60" s="136"/>
      <c r="K60" s="138"/>
      <c r="L60" s="137"/>
      <c r="M60" s="138"/>
      <c r="N60" s="136"/>
      <c r="O60" s="138"/>
      <c r="P60" s="137"/>
      <c r="Q60" s="138"/>
      <c r="R60" s="136"/>
      <c r="S60" s="138"/>
      <c r="T60" s="137"/>
      <c r="U60" s="138"/>
      <c r="V60" s="136"/>
      <c r="W60" s="138"/>
      <c r="X60" s="137"/>
    </row>
    <row r="61" ht="13.5" customHeight="1">
      <c r="A61" s="135"/>
      <c r="B61" s="136"/>
      <c r="C61" s="135"/>
      <c r="D61" s="137"/>
      <c r="E61" s="138"/>
      <c r="F61" s="136"/>
      <c r="G61" s="139"/>
      <c r="H61" s="140"/>
      <c r="I61" s="138"/>
      <c r="J61" s="136"/>
      <c r="K61" s="138"/>
      <c r="L61" s="137"/>
      <c r="M61" s="138"/>
      <c r="N61" s="136"/>
      <c r="O61" s="138"/>
      <c r="P61" s="137"/>
      <c r="Q61" s="138"/>
      <c r="R61" s="136"/>
      <c r="S61" s="138"/>
      <c r="T61" s="137"/>
      <c r="U61" s="138"/>
      <c r="V61" s="136"/>
      <c r="W61" s="138"/>
      <c r="X61" s="137"/>
    </row>
    <row r="62" ht="13.5" customHeight="1">
      <c r="A62" s="135"/>
      <c r="B62" s="136"/>
      <c r="C62" s="135"/>
      <c r="D62" s="137"/>
      <c r="E62" s="138"/>
      <c r="F62" s="136"/>
      <c r="G62" s="139"/>
      <c r="H62" s="140"/>
      <c r="I62" s="138"/>
      <c r="J62" s="136"/>
      <c r="K62" s="138"/>
      <c r="L62" s="137"/>
      <c r="M62" s="138"/>
      <c r="N62" s="136"/>
      <c r="O62" s="138"/>
      <c r="P62" s="137"/>
      <c r="Q62" s="138"/>
      <c r="R62" s="136"/>
      <c r="S62" s="138"/>
      <c r="T62" s="137"/>
      <c r="U62" s="138"/>
      <c r="V62" s="136"/>
      <c r="W62" s="138"/>
      <c r="X62" s="137"/>
    </row>
    <row r="63" ht="13.5" customHeight="1">
      <c r="A63" s="135"/>
      <c r="B63" s="136"/>
      <c r="C63" s="135"/>
      <c r="D63" s="137"/>
      <c r="E63" s="138"/>
      <c r="F63" s="136"/>
      <c r="G63" s="139"/>
      <c r="H63" s="140"/>
      <c r="I63" s="138"/>
      <c r="J63" s="136"/>
      <c r="K63" s="138"/>
      <c r="L63" s="137"/>
      <c r="M63" s="138"/>
      <c r="N63" s="136"/>
      <c r="O63" s="138"/>
      <c r="P63" s="137"/>
      <c r="Q63" s="138"/>
      <c r="R63" s="136"/>
      <c r="S63" s="138"/>
      <c r="T63" s="137"/>
      <c r="U63" s="138"/>
      <c r="V63" s="136"/>
      <c r="W63" s="138"/>
      <c r="X63" s="137"/>
    </row>
    <row r="64" ht="13.5" customHeight="1">
      <c r="A64" s="135"/>
      <c r="B64" s="136"/>
      <c r="C64" s="135"/>
      <c r="D64" s="137"/>
      <c r="E64" s="138"/>
      <c r="F64" s="136"/>
      <c r="G64" s="139"/>
      <c r="H64" s="140"/>
      <c r="I64" s="138"/>
      <c r="J64" s="136"/>
      <c r="K64" s="138"/>
      <c r="L64" s="137"/>
      <c r="M64" s="138"/>
      <c r="N64" s="136"/>
      <c r="O64" s="138"/>
      <c r="P64" s="137"/>
      <c r="Q64" s="138"/>
      <c r="R64" s="136"/>
      <c r="S64" s="138"/>
      <c r="T64" s="137"/>
      <c r="U64" s="138"/>
      <c r="V64" s="136"/>
      <c r="W64" s="138"/>
      <c r="X64" s="137"/>
    </row>
    <row r="65" ht="13.5" customHeight="1">
      <c r="A65" s="135"/>
      <c r="B65" s="136"/>
      <c r="C65" s="135"/>
      <c r="D65" s="137"/>
      <c r="E65" s="138"/>
      <c r="F65" s="136"/>
      <c r="G65" s="139"/>
      <c r="H65" s="140"/>
      <c r="I65" s="138"/>
      <c r="J65" s="136"/>
      <c r="K65" s="138"/>
      <c r="L65" s="137"/>
      <c r="M65" s="138"/>
      <c r="N65" s="136"/>
      <c r="O65" s="138"/>
      <c r="P65" s="137"/>
      <c r="Q65" s="138"/>
      <c r="R65" s="136"/>
      <c r="S65" s="138"/>
      <c r="T65" s="137"/>
      <c r="U65" s="138"/>
      <c r="V65" s="136"/>
      <c r="W65" s="138"/>
      <c r="X65" s="137"/>
    </row>
    <row r="66" ht="13.5" customHeight="1">
      <c r="A66" s="135"/>
      <c r="B66" s="136"/>
      <c r="C66" s="135"/>
      <c r="D66" s="137"/>
      <c r="E66" s="138"/>
      <c r="F66" s="136"/>
      <c r="G66" s="139"/>
      <c r="H66" s="140"/>
      <c r="I66" s="138"/>
      <c r="J66" s="136"/>
      <c r="K66" s="138"/>
      <c r="L66" s="137"/>
      <c r="M66" s="138"/>
      <c r="N66" s="136"/>
      <c r="O66" s="138"/>
      <c r="P66" s="137"/>
      <c r="Q66" s="138"/>
      <c r="R66" s="136"/>
      <c r="S66" s="138"/>
      <c r="T66" s="137"/>
      <c r="U66" s="138"/>
      <c r="V66" s="136"/>
      <c r="W66" s="138"/>
      <c r="X66" s="137"/>
    </row>
    <row r="67" ht="13.5" customHeight="1">
      <c r="A67" s="135"/>
      <c r="B67" s="136"/>
      <c r="C67" s="135"/>
      <c r="D67" s="137"/>
      <c r="E67" s="138"/>
      <c r="F67" s="136"/>
      <c r="G67" s="139"/>
      <c r="H67" s="140"/>
      <c r="I67" s="138"/>
      <c r="J67" s="136"/>
      <c r="K67" s="138"/>
      <c r="L67" s="137"/>
      <c r="M67" s="138"/>
      <c r="N67" s="136"/>
      <c r="O67" s="138"/>
      <c r="P67" s="137"/>
      <c r="Q67" s="138"/>
      <c r="R67" s="136"/>
      <c r="S67" s="138"/>
      <c r="T67" s="137"/>
      <c r="U67" s="138"/>
      <c r="V67" s="136"/>
      <c r="W67" s="138"/>
      <c r="X67" s="137"/>
    </row>
    <row r="68" ht="13.5" customHeight="1">
      <c r="A68" s="135"/>
      <c r="B68" s="136"/>
      <c r="C68" s="135"/>
      <c r="D68" s="137"/>
      <c r="E68" s="138"/>
      <c r="F68" s="136"/>
      <c r="G68" s="139"/>
      <c r="H68" s="140"/>
      <c r="I68" s="138"/>
      <c r="J68" s="136"/>
      <c r="K68" s="138"/>
      <c r="L68" s="137"/>
      <c r="M68" s="138"/>
      <c r="N68" s="136"/>
      <c r="O68" s="138"/>
      <c r="P68" s="137"/>
      <c r="Q68" s="138"/>
      <c r="R68" s="136"/>
      <c r="S68" s="138"/>
      <c r="T68" s="137"/>
      <c r="U68" s="138"/>
      <c r="V68" s="136"/>
      <c r="W68" s="138"/>
      <c r="X68" s="137"/>
    </row>
    <row r="69" ht="13.5" customHeight="1">
      <c r="A69" s="135"/>
      <c r="B69" s="136"/>
      <c r="C69" s="135"/>
      <c r="D69" s="137"/>
      <c r="E69" s="138"/>
      <c r="F69" s="136"/>
      <c r="G69" s="139"/>
      <c r="H69" s="140"/>
      <c r="I69" s="138"/>
      <c r="J69" s="136"/>
      <c r="K69" s="138"/>
      <c r="L69" s="137"/>
      <c r="M69" s="138"/>
      <c r="N69" s="136"/>
      <c r="O69" s="138"/>
      <c r="P69" s="137"/>
      <c r="Q69" s="138"/>
      <c r="R69" s="136"/>
      <c r="S69" s="138"/>
      <c r="T69" s="137"/>
      <c r="U69" s="138"/>
      <c r="V69" s="136"/>
      <c r="W69" s="138"/>
      <c r="X69" s="137"/>
    </row>
    <row r="70" ht="13.5" customHeight="1">
      <c r="A70" s="135"/>
      <c r="B70" s="136"/>
      <c r="C70" s="135"/>
      <c r="D70" s="137"/>
      <c r="E70" s="138"/>
      <c r="F70" s="136"/>
      <c r="G70" s="139"/>
      <c r="H70" s="140"/>
      <c r="I70" s="138"/>
      <c r="J70" s="136"/>
      <c r="K70" s="138"/>
      <c r="L70" s="137"/>
      <c r="M70" s="138"/>
      <c r="N70" s="136"/>
      <c r="O70" s="138"/>
      <c r="P70" s="137"/>
      <c r="Q70" s="138"/>
      <c r="R70" s="136"/>
      <c r="S70" s="138"/>
      <c r="T70" s="137"/>
      <c r="U70" s="138"/>
      <c r="V70" s="136"/>
      <c r="W70" s="138"/>
      <c r="X70" s="137"/>
    </row>
    <row r="71" ht="13.5" customHeight="1">
      <c r="A71" s="135"/>
      <c r="B71" s="136"/>
      <c r="C71" s="135"/>
      <c r="D71" s="137"/>
      <c r="E71" s="138"/>
      <c r="F71" s="136"/>
      <c r="G71" s="139"/>
      <c r="H71" s="140"/>
      <c r="I71" s="138"/>
      <c r="J71" s="136"/>
      <c r="K71" s="138"/>
      <c r="L71" s="137"/>
      <c r="M71" s="138"/>
      <c r="N71" s="136"/>
      <c r="O71" s="138"/>
      <c r="P71" s="137"/>
      <c r="Q71" s="138"/>
      <c r="R71" s="136"/>
      <c r="S71" s="138"/>
      <c r="T71" s="137"/>
      <c r="U71" s="138"/>
      <c r="V71" s="136"/>
      <c r="W71" s="138"/>
      <c r="X71" s="137"/>
    </row>
    <row r="72" ht="13.5" customHeight="1">
      <c r="A72" s="135"/>
      <c r="B72" s="136"/>
      <c r="C72" s="135"/>
      <c r="D72" s="137"/>
      <c r="E72" s="138"/>
      <c r="F72" s="136"/>
      <c r="G72" s="139"/>
      <c r="H72" s="140"/>
      <c r="I72" s="138"/>
      <c r="J72" s="136"/>
      <c r="K72" s="138"/>
      <c r="L72" s="137"/>
      <c r="M72" s="138"/>
      <c r="N72" s="136"/>
      <c r="O72" s="138"/>
      <c r="P72" s="137"/>
      <c r="Q72" s="138"/>
      <c r="R72" s="136"/>
      <c r="S72" s="138"/>
      <c r="T72" s="137"/>
      <c r="U72" s="138"/>
      <c r="V72" s="136"/>
      <c r="W72" s="138"/>
      <c r="X72" s="137"/>
    </row>
  </sheetData>
  <mergeCells count="12">
    <mergeCell ref="O2:P3"/>
    <mergeCell ref="Q2:R3"/>
    <mergeCell ref="S2:T3"/>
    <mergeCell ref="U2:V3"/>
    <mergeCell ref="W2:X3"/>
    <mergeCell ref="A1:X1"/>
    <mergeCell ref="I2:J3"/>
    <mergeCell ref="E2:F3"/>
    <mergeCell ref="G2:H3"/>
    <mergeCell ref="K2:L3"/>
    <mergeCell ref="C2:D3"/>
    <mergeCell ref="M2:N3"/>
  </mergeCells>
  <conditionalFormatting sqref="B4 D4 F4 H4 J4 L4 N4 P4 R4 T4 V4 X4 B5 D5 F5 H5 J5 L5 N5 P5 R5 T5 V5 X5 B6 D6 F6 H6 J6 L6 N6 P6 R6 T6 V6 X6 B7 D7 F7 H7 J7 L7 N7 P7 R7 T7 V7 X7 B8 D8 F8 H8 J8 L8 N8 P8 R8 T8 V8 X8 B9 D9 F9 H9 J9 L9 N9 P9 R9 T9 V9 X9 B10 D10 F10 H10 J10 L10 N10 P10 R10 T10 V10 X10 B11 D11 F11 H11 J11 L11 N11 P11 R11 T11 V11 X11 B12 D12 F12 H12 J12 L12 N12 P12 R12 T12 V12 X12 B13 D13 F13 H13 J13 L13 N13 P13 R13 T13 V13 X13 B14 D14 F14 H14 J14 L14 N14 P14 R14 T14 V14 X14 B15 D15 F15 H15 J15 L15 N15 P15 R15 T15 V15 X15 B16 D16 F16 H16 J16 L16 N16 P16 R16 T16 V16 X16 B17 D17 F17 H17 J17 L17 N17 P17 R17 T17 V17 X17">
    <cfRule type="cellIs" dxfId="3" priority="1" operator="lessThan"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4.xml><?xml version="1.0" encoding="utf-8"?>
<worksheet xmlns:r="http://schemas.openxmlformats.org/officeDocument/2006/relationships" xmlns="http://schemas.openxmlformats.org/spreadsheetml/2006/main">
  <dimension ref="A1:AB70"/>
  <sheetViews>
    <sheetView workbookViewId="0" showGridLines="0" defaultGridColor="1"/>
  </sheetViews>
  <sheetFormatPr defaultColWidth="8.83333" defaultRowHeight="13.5" customHeight="1" outlineLevelRow="0" outlineLevelCol="0"/>
  <cols>
    <col min="1" max="1" width="8.5" style="141" customWidth="1"/>
    <col min="2" max="2" width="8.17188" style="141" customWidth="1"/>
    <col min="3" max="3" width="8.5" style="141" customWidth="1"/>
    <col min="4" max="4" width="8.17188" style="141" customWidth="1"/>
    <col min="5" max="5" width="7.35156" style="141" customWidth="1"/>
    <col min="6" max="6" width="8.17188" style="141" customWidth="1"/>
    <col min="7" max="7" width="7.35156" style="141" customWidth="1"/>
    <col min="8" max="8" width="8.17188" style="141" customWidth="1"/>
    <col min="9" max="9" width="6.67188" style="141" customWidth="1"/>
    <col min="10" max="10" width="8.17188" style="141" customWidth="1"/>
    <col min="11" max="11" width="7" style="141" customWidth="1"/>
    <col min="12" max="12" width="8.17188" style="141" customWidth="1"/>
    <col min="13" max="13" width="7.35156" style="141" customWidth="1"/>
    <col min="14" max="14" width="8.17188" style="141" customWidth="1"/>
    <col min="15" max="15" width="7.17188" style="141" customWidth="1"/>
    <col min="16" max="16" width="8.17188" style="141" customWidth="1"/>
    <col min="17" max="17" width="7.67188" style="141" customWidth="1"/>
    <col min="18" max="18" width="8.17188" style="141" customWidth="1"/>
    <col min="19" max="19" width="6.85156" style="141" customWidth="1"/>
    <col min="20" max="20" width="8.17188" style="141" customWidth="1"/>
    <col min="21" max="21" width="7" style="141" customWidth="1"/>
    <col min="22" max="22" width="8.17188" style="141" customWidth="1"/>
    <col min="23" max="23" width="7" style="141" customWidth="1"/>
    <col min="24" max="24" width="8.17188" style="141" customWidth="1"/>
    <col min="25" max="25" width="8.17188" style="141" customWidth="1"/>
    <col min="26" max="26" width="8.17188" style="141" customWidth="1"/>
    <col min="27" max="27" width="8.17188" style="141" customWidth="1"/>
    <col min="28" max="28" width="8.17188" style="141" customWidth="1"/>
    <col min="29" max="256" width="8.85156" style="141" customWidth="1"/>
  </cols>
  <sheetData>
    <row r="1" ht="13.75" customHeight="1">
      <c r="A1" s="105">
        <v>17</v>
      </c>
      <c r="B1" s="106"/>
      <c r="C1" s="106"/>
      <c r="D1" s="106"/>
      <c r="E1" s="106"/>
      <c r="F1" s="106"/>
      <c r="G1" s="106"/>
      <c r="H1" s="106"/>
      <c r="I1" s="106"/>
      <c r="J1" s="106"/>
      <c r="K1" s="106"/>
      <c r="L1" s="106"/>
      <c r="M1" s="106"/>
      <c r="N1" s="106"/>
      <c r="O1" s="106"/>
      <c r="P1" s="106"/>
      <c r="Q1" s="106"/>
      <c r="R1" s="106"/>
      <c r="S1" s="106"/>
      <c r="T1" s="106"/>
      <c r="U1" s="106"/>
      <c r="V1" s="106"/>
      <c r="W1" s="106"/>
      <c r="X1" s="107"/>
      <c r="Y1" s="142"/>
      <c r="Z1" s="142"/>
      <c r="AA1" s="142"/>
      <c r="AB1" s="143"/>
    </row>
    <row r="2" ht="14.85" customHeight="1">
      <c r="A2" t="s" s="110">
        <v>557</v>
      </c>
      <c r="B2" s="111"/>
      <c r="C2" t="s" s="110">
        <v>533</v>
      </c>
      <c r="D2" s="111"/>
      <c r="E2" t="s" s="110">
        <v>534</v>
      </c>
      <c r="F2" s="111"/>
      <c r="G2" t="s" s="110">
        <v>535</v>
      </c>
      <c r="H2" s="111"/>
      <c r="I2" t="s" s="110">
        <v>536</v>
      </c>
      <c r="J2" s="111"/>
      <c r="K2" t="s" s="110">
        <v>537</v>
      </c>
      <c r="L2" s="111"/>
      <c r="M2" t="s" s="110">
        <v>538</v>
      </c>
      <c r="N2" s="111"/>
      <c r="O2" t="s" s="110">
        <v>539</v>
      </c>
      <c r="P2" s="111"/>
      <c r="Q2" t="s" s="110">
        <v>540</v>
      </c>
      <c r="R2" s="111"/>
      <c r="S2" t="s" s="110">
        <v>541</v>
      </c>
      <c r="T2" s="111"/>
      <c r="U2" t="s" s="110">
        <v>542</v>
      </c>
      <c r="V2" s="111"/>
      <c r="W2" t="s" s="110">
        <v>543</v>
      </c>
      <c r="X2" s="111"/>
      <c r="Y2" s="144"/>
      <c r="Z2" s="144"/>
      <c r="AA2" s="144"/>
      <c r="AB2" s="145"/>
    </row>
    <row r="3" ht="15.9" customHeight="1">
      <c r="A3" s="112"/>
      <c r="B3" s="113"/>
      <c r="C3" s="112"/>
      <c r="D3" s="114"/>
      <c r="E3" s="112"/>
      <c r="F3" s="113"/>
      <c r="G3" s="112"/>
      <c r="H3" s="114"/>
      <c r="I3" s="112"/>
      <c r="J3" s="113"/>
      <c r="K3" s="112"/>
      <c r="L3" s="114"/>
      <c r="M3" s="112"/>
      <c r="N3" s="113"/>
      <c r="O3" s="112"/>
      <c r="P3" s="114"/>
      <c r="Q3" s="112"/>
      <c r="R3" s="113"/>
      <c r="S3" s="112"/>
      <c r="T3" s="114"/>
      <c r="U3" s="112"/>
      <c r="V3" s="113"/>
      <c r="W3" s="112"/>
      <c r="X3" s="114"/>
      <c r="Y3" s="146"/>
      <c r="Z3" s="146"/>
      <c r="AA3" s="146"/>
      <c r="AB3" s="147"/>
    </row>
    <row r="4" ht="15.9" customHeight="1">
      <c r="A4" t="s" s="115">
        <v>544</v>
      </c>
      <c r="B4" t="s" s="116">
        <v>558</v>
      </c>
      <c r="C4" t="s" s="117">
        <v>544</v>
      </c>
      <c r="D4" t="s" s="118">
        <v>558</v>
      </c>
      <c r="E4" t="s" s="115">
        <v>544</v>
      </c>
      <c r="F4" t="s" s="116">
        <v>558</v>
      </c>
      <c r="G4" t="s" s="117">
        <v>544</v>
      </c>
      <c r="H4" t="s" s="118">
        <v>558</v>
      </c>
      <c r="I4" t="s" s="115">
        <v>544</v>
      </c>
      <c r="J4" t="s" s="116">
        <v>558</v>
      </c>
      <c r="K4" t="s" s="117">
        <v>544</v>
      </c>
      <c r="L4" t="s" s="118">
        <v>558</v>
      </c>
      <c r="M4" t="s" s="115">
        <v>544</v>
      </c>
      <c r="N4" t="s" s="116">
        <v>558</v>
      </c>
      <c r="O4" t="s" s="117">
        <v>544</v>
      </c>
      <c r="P4" t="s" s="118">
        <v>558</v>
      </c>
      <c r="Q4" t="s" s="115">
        <v>544</v>
      </c>
      <c r="R4" t="s" s="116">
        <v>558</v>
      </c>
      <c r="S4" t="s" s="117">
        <v>544</v>
      </c>
      <c r="T4" t="s" s="118">
        <v>558</v>
      </c>
      <c r="U4" t="s" s="115">
        <v>544</v>
      </c>
      <c r="V4" t="s" s="116">
        <v>558</v>
      </c>
      <c r="W4" t="s" s="117">
        <v>544</v>
      </c>
      <c r="X4" t="s" s="148">
        <v>558</v>
      </c>
      <c r="Y4" s="149"/>
      <c r="Z4" s="149"/>
      <c r="AA4" s="149"/>
      <c r="AB4" s="150"/>
    </row>
    <row r="5" ht="15.9" customHeight="1">
      <c r="A5" t="s" s="119">
        <v>19</v>
      </c>
      <c r="B5" s="120">
        <v>28422</v>
      </c>
      <c r="C5" t="s" s="119">
        <v>19</v>
      </c>
      <c r="D5" s="121">
        <v>17459</v>
      </c>
      <c r="E5" t="s" s="151">
        <v>19</v>
      </c>
      <c r="F5" s="152">
        <v>18042</v>
      </c>
      <c r="G5" t="s" s="151">
        <v>19</v>
      </c>
      <c r="H5" s="153"/>
      <c r="I5" t="s" s="151">
        <v>19</v>
      </c>
      <c r="J5" s="152"/>
      <c r="K5" t="s" s="151">
        <v>19</v>
      </c>
      <c r="L5" s="153"/>
      <c r="M5" t="s" s="151">
        <v>19</v>
      </c>
      <c r="N5" s="152"/>
      <c r="O5" t="s" s="151">
        <v>19</v>
      </c>
      <c r="P5" s="153"/>
      <c r="Q5" t="s" s="151">
        <v>19</v>
      </c>
      <c r="R5" s="152"/>
      <c r="S5" t="s" s="151">
        <v>19</v>
      </c>
      <c r="T5" s="153"/>
      <c r="U5" t="s" s="151">
        <v>19</v>
      </c>
      <c r="V5" s="152"/>
      <c r="W5" t="s" s="151">
        <v>19</v>
      </c>
      <c r="X5" s="154"/>
      <c r="Y5" s="155"/>
      <c r="Z5" s="155"/>
      <c r="AA5" s="155"/>
      <c r="AB5" s="121"/>
    </row>
    <row r="6" ht="15.9" customHeight="1">
      <c r="A6" t="s" s="156">
        <v>42</v>
      </c>
      <c r="B6" s="125">
        <v>14095</v>
      </c>
      <c r="C6" t="s" s="156">
        <v>42</v>
      </c>
      <c r="D6" s="126">
        <v>6146</v>
      </c>
      <c r="E6" t="s" s="135">
        <v>42</v>
      </c>
      <c r="F6" s="157">
        <v>6555</v>
      </c>
      <c r="G6" t="s" s="135">
        <v>42</v>
      </c>
      <c r="H6" s="158"/>
      <c r="I6" t="s" s="135">
        <v>42</v>
      </c>
      <c r="J6" s="157"/>
      <c r="K6" t="s" s="135">
        <v>42</v>
      </c>
      <c r="L6" s="158"/>
      <c r="M6" t="s" s="135">
        <v>42</v>
      </c>
      <c r="N6" s="157"/>
      <c r="O6" t="s" s="135">
        <v>42</v>
      </c>
      <c r="P6" s="158"/>
      <c r="Q6" t="s" s="135">
        <v>42</v>
      </c>
      <c r="R6" s="157"/>
      <c r="S6" t="s" s="135">
        <v>42</v>
      </c>
      <c r="T6" s="158"/>
      <c r="U6" t="s" s="135">
        <v>42</v>
      </c>
      <c r="V6" s="157"/>
      <c r="W6" t="s" s="135">
        <v>42</v>
      </c>
      <c r="X6" s="159"/>
      <c r="Y6" s="160"/>
      <c r="Z6" s="160"/>
      <c r="AA6" s="160"/>
      <c r="AB6" s="126"/>
    </row>
    <row r="7" ht="15.9" customHeight="1">
      <c r="A7" t="s" s="156">
        <v>54</v>
      </c>
      <c r="B7" s="125">
        <v>13858</v>
      </c>
      <c r="C7" t="s" s="156">
        <v>54</v>
      </c>
      <c r="D7" s="126">
        <v>18209</v>
      </c>
      <c r="E7" t="s" s="135">
        <v>54</v>
      </c>
      <c r="F7" s="157">
        <v>9530</v>
      </c>
      <c r="G7" t="s" s="135">
        <v>54</v>
      </c>
      <c r="H7" s="158"/>
      <c r="I7" t="s" s="135">
        <v>54</v>
      </c>
      <c r="J7" s="157"/>
      <c r="K7" t="s" s="135">
        <v>54</v>
      </c>
      <c r="L7" s="158"/>
      <c r="M7" t="s" s="135">
        <v>54</v>
      </c>
      <c r="N7" s="157"/>
      <c r="O7" t="s" s="135">
        <v>54</v>
      </c>
      <c r="P7" s="158"/>
      <c r="Q7" t="s" s="135">
        <v>54</v>
      </c>
      <c r="R7" s="157"/>
      <c r="S7" t="s" s="135">
        <v>54</v>
      </c>
      <c r="T7" s="158"/>
      <c r="U7" t="s" s="135">
        <v>54</v>
      </c>
      <c r="V7" s="157"/>
      <c r="W7" t="s" s="135">
        <v>54</v>
      </c>
      <c r="X7" s="159"/>
      <c r="Y7" s="160"/>
      <c r="Z7" s="160"/>
      <c r="AA7" s="160"/>
      <c r="AB7" s="126"/>
    </row>
    <row r="8" ht="15.9" customHeight="1">
      <c r="A8" t="s" s="156">
        <v>66</v>
      </c>
      <c r="B8" s="125">
        <v>8355</v>
      </c>
      <c r="C8" t="s" s="156">
        <v>66</v>
      </c>
      <c r="D8" s="126">
        <v>1696</v>
      </c>
      <c r="E8" t="s" s="135">
        <v>66</v>
      </c>
      <c r="F8" s="157">
        <v>7300</v>
      </c>
      <c r="G8" t="s" s="135">
        <v>66</v>
      </c>
      <c r="H8" s="158"/>
      <c r="I8" t="s" s="135">
        <v>66</v>
      </c>
      <c r="J8" s="157"/>
      <c r="K8" t="s" s="135">
        <v>66</v>
      </c>
      <c r="L8" s="158"/>
      <c r="M8" t="s" s="135">
        <v>66</v>
      </c>
      <c r="N8" s="157"/>
      <c r="O8" t="s" s="135">
        <v>66</v>
      </c>
      <c r="P8" s="158"/>
      <c r="Q8" t="s" s="135">
        <v>66</v>
      </c>
      <c r="R8" s="157"/>
      <c r="S8" t="s" s="135">
        <v>66</v>
      </c>
      <c r="T8" s="158"/>
      <c r="U8" t="s" s="135">
        <v>66</v>
      </c>
      <c r="V8" s="157"/>
      <c r="W8" t="s" s="135">
        <v>66</v>
      </c>
      <c r="X8" s="159"/>
      <c r="Y8" s="160"/>
      <c r="Z8" s="160"/>
      <c r="AA8" s="160"/>
      <c r="AB8" s="126"/>
    </row>
    <row r="9" ht="15.9" customHeight="1">
      <c r="A9" t="s" s="156">
        <v>78</v>
      </c>
      <c r="B9" s="125">
        <v>24022</v>
      </c>
      <c r="C9" t="s" s="156">
        <v>78</v>
      </c>
      <c r="D9" s="126">
        <v>15320</v>
      </c>
      <c r="E9" t="s" s="135">
        <v>78</v>
      </c>
      <c r="F9" s="157">
        <v>16412</v>
      </c>
      <c r="G9" t="s" s="135">
        <v>78</v>
      </c>
      <c r="H9" s="158"/>
      <c r="I9" t="s" s="135">
        <v>78</v>
      </c>
      <c r="J9" s="157"/>
      <c r="K9" t="s" s="135">
        <v>78</v>
      </c>
      <c r="L9" s="158"/>
      <c r="M9" t="s" s="135">
        <v>78</v>
      </c>
      <c r="N9" s="157"/>
      <c r="O9" t="s" s="135">
        <v>78</v>
      </c>
      <c r="P9" s="158"/>
      <c r="Q9" t="s" s="135">
        <v>78</v>
      </c>
      <c r="R9" s="157"/>
      <c r="S9" t="s" s="135">
        <v>78</v>
      </c>
      <c r="T9" s="158"/>
      <c r="U9" t="s" s="135">
        <v>78</v>
      </c>
      <c r="V9" s="157"/>
      <c r="W9" t="s" s="135">
        <v>78</v>
      </c>
      <c r="X9" s="159"/>
      <c r="Y9" s="160"/>
      <c r="Z9" s="160"/>
      <c r="AA9" s="160"/>
      <c r="AB9" s="126"/>
    </row>
    <row r="10" ht="15.9" customHeight="1">
      <c r="A10" t="s" s="156">
        <v>90</v>
      </c>
      <c r="B10" s="125">
        <v>5905</v>
      </c>
      <c r="C10" t="s" s="156">
        <v>90</v>
      </c>
      <c r="D10" s="126">
        <v>2899</v>
      </c>
      <c r="E10" t="s" s="135">
        <v>90</v>
      </c>
      <c r="F10" s="157">
        <v>1891</v>
      </c>
      <c r="G10" t="s" s="135">
        <v>90</v>
      </c>
      <c r="H10" s="158"/>
      <c r="I10" t="s" s="135">
        <v>90</v>
      </c>
      <c r="J10" s="157"/>
      <c r="K10" t="s" s="135">
        <v>90</v>
      </c>
      <c r="L10" s="158"/>
      <c r="M10" t="s" s="135">
        <v>90</v>
      </c>
      <c r="N10" s="157"/>
      <c r="O10" t="s" s="135">
        <v>90</v>
      </c>
      <c r="P10" s="158"/>
      <c r="Q10" t="s" s="135">
        <v>90</v>
      </c>
      <c r="R10" s="157"/>
      <c r="S10" t="s" s="135">
        <v>90</v>
      </c>
      <c r="T10" s="158"/>
      <c r="U10" t="s" s="135">
        <v>90</v>
      </c>
      <c r="V10" s="157"/>
      <c r="W10" t="s" s="135">
        <v>90</v>
      </c>
      <c r="X10" s="159"/>
      <c r="Y10" s="160"/>
      <c r="Z10" s="160"/>
      <c r="AA10" s="160"/>
      <c r="AB10" s="126"/>
    </row>
    <row r="11" ht="13.35" customHeight="1">
      <c r="A11" t="s" s="156">
        <v>102</v>
      </c>
      <c r="B11" s="125">
        <v>6932</v>
      </c>
      <c r="C11" t="s" s="156">
        <v>102</v>
      </c>
      <c r="D11" s="126">
        <v>2214</v>
      </c>
      <c r="E11" t="s" s="135">
        <v>102</v>
      </c>
      <c r="F11" s="157">
        <v>1315</v>
      </c>
      <c r="G11" t="s" s="135">
        <v>102</v>
      </c>
      <c r="H11" s="158"/>
      <c r="I11" t="s" s="135">
        <v>102</v>
      </c>
      <c r="J11" s="157"/>
      <c r="K11" t="s" s="135">
        <v>102</v>
      </c>
      <c r="L11" s="158"/>
      <c r="M11" t="s" s="135">
        <v>102</v>
      </c>
      <c r="N11" s="157"/>
      <c r="O11" t="s" s="135">
        <v>102</v>
      </c>
      <c r="P11" s="158"/>
      <c r="Q11" t="s" s="135">
        <v>102</v>
      </c>
      <c r="R11" s="157"/>
      <c r="S11" t="s" s="135">
        <v>102</v>
      </c>
      <c r="T11" s="158"/>
      <c r="U11" t="s" s="135">
        <v>102</v>
      </c>
      <c r="V11" s="157"/>
      <c r="W11" t="s" s="135">
        <v>102</v>
      </c>
      <c r="X11" s="159"/>
      <c r="Y11" s="160"/>
      <c r="Z11" s="160"/>
      <c r="AA11" s="160"/>
      <c r="AB11" s="126"/>
    </row>
    <row r="12" ht="13.35" customHeight="1">
      <c r="A12" t="s" s="156">
        <v>114</v>
      </c>
      <c r="B12" s="125">
        <v>4759</v>
      </c>
      <c r="C12" t="s" s="156">
        <v>114</v>
      </c>
      <c r="D12" s="126">
        <v>2452</v>
      </c>
      <c r="E12" t="s" s="135">
        <v>114</v>
      </c>
      <c r="F12" s="157">
        <v>3982</v>
      </c>
      <c r="G12" t="s" s="135">
        <v>114</v>
      </c>
      <c r="H12" s="158"/>
      <c r="I12" t="s" s="135">
        <v>114</v>
      </c>
      <c r="J12" s="157"/>
      <c r="K12" t="s" s="135">
        <v>114</v>
      </c>
      <c r="L12" s="158"/>
      <c r="M12" t="s" s="135">
        <v>114</v>
      </c>
      <c r="N12" s="157"/>
      <c r="O12" t="s" s="135">
        <v>114</v>
      </c>
      <c r="P12" s="158"/>
      <c r="Q12" t="s" s="135">
        <v>114</v>
      </c>
      <c r="R12" s="157"/>
      <c r="S12" t="s" s="135">
        <v>114</v>
      </c>
      <c r="T12" s="158"/>
      <c r="U12" t="s" s="135">
        <v>114</v>
      </c>
      <c r="V12" s="157"/>
      <c r="W12" t="s" s="135">
        <v>114</v>
      </c>
      <c r="X12" s="159"/>
      <c r="Y12" s="160"/>
      <c r="Z12" s="160"/>
      <c r="AA12" s="160"/>
      <c r="AB12" s="126"/>
    </row>
    <row r="13" ht="13.35" customHeight="1">
      <c r="A13" t="s" s="156">
        <v>126</v>
      </c>
      <c r="B13" s="125">
        <v>1598</v>
      </c>
      <c r="C13" t="s" s="156">
        <v>126</v>
      </c>
      <c r="D13" s="126">
        <v>1045</v>
      </c>
      <c r="E13" t="s" s="135">
        <v>126</v>
      </c>
      <c r="F13" s="157">
        <v>3503</v>
      </c>
      <c r="G13" t="s" s="135">
        <v>126</v>
      </c>
      <c r="H13" s="158"/>
      <c r="I13" t="s" s="135">
        <v>126</v>
      </c>
      <c r="J13" s="157"/>
      <c r="K13" t="s" s="135">
        <v>126</v>
      </c>
      <c r="L13" s="158"/>
      <c r="M13" t="s" s="135">
        <v>126</v>
      </c>
      <c r="N13" s="157"/>
      <c r="O13" t="s" s="135">
        <v>126</v>
      </c>
      <c r="P13" s="158"/>
      <c r="Q13" t="s" s="135">
        <v>126</v>
      </c>
      <c r="R13" s="157"/>
      <c r="S13" t="s" s="135">
        <v>126</v>
      </c>
      <c r="T13" s="158"/>
      <c r="U13" t="s" s="135">
        <v>126</v>
      </c>
      <c r="V13" s="157"/>
      <c r="W13" t="s" s="135">
        <v>126</v>
      </c>
      <c r="X13" s="159"/>
      <c r="Y13" s="160"/>
      <c r="Z13" s="160"/>
      <c r="AA13" s="160"/>
      <c r="AB13" s="126"/>
    </row>
    <row r="14" ht="13.35" customHeight="1">
      <c r="A14" t="s" s="156">
        <v>138</v>
      </c>
      <c r="B14" s="125">
        <v>4150</v>
      </c>
      <c r="C14" t="s" s="156">
        <v>138</v>
      </c>
      <c r="D14" s="126">
        <v>2757</v>
      </c>
      <c r="E14" t="s" s="135">
        <v>138</v>
      </c>
      <c r="F14" s="157">
        <v>5478</v>
      </c>
      <c r="G14" t="s" s="135">
        <v>138</v>
      </c>
      <c r="H14" s="158"/>
      <c r="I14" t="s" s="135">
        <v>138</v>
      </c>
      <c r="J14" s="157"/>
      <c r="K14" t="s" s="135">
        <v>138</v>
      </c>
      <c r="L14" s="158"/>
      <c r="M14" t="s" s="135">
        <v>138</v>
      </c>
      <c r="N14" s="157"/>
      <c r="O14" t="s" s="135">
        <v>138</v>
      </c>
      <c r="P14" s="158"/>
      <c r="Q14" t="s" s="135">
        <v>138</v>
      </c>
      <c r="R14" s="157"/>
      <c r="S14" t="s" s="135">
        <v>138</v>
      </c>
      <c r="T14" s="158"/>
      <c r="U14" t="s" s="135">
        <v>138</v>
      </c>
      <c r="V14" s="157"/>
      <c r="W14" t="s" s="135">
        <v>138</v>
      </c>
      <c r="X14" s="159"/>
      <c r="Y14" s="160"/>
      <c r="Z14" s="160"/>
      <c r="AA14" s="160"/>
      <c r="AB14" s="126"/>
    </row>
    <row r="15" ht="13.35" customHeight="1">
      <c r="A15" t="s" s="156">
        <v>150</v>
      </c>
      <c r="B15" s="125">
        <v>31363</v>
      </c>
      <c r="C15" t="s" s="156">
        <v>150</v>
      </c>
      <c r="D15" s="126">
        <v>21662</v>
      </c>
      <c r="E15" t="s" s="135">
        <v>150</v>
      </c>
      <c r="F15" s="157">
        <v>28167</v>
      </c>
      <c r="G15" t="s" s="135">
        <v>150</v>
      </c>
      <c r="H15" s="158"/>
      <c r="I15" t="s" s="135">
        <v>150</v>
      </c>
      <c r="J15" s="157"/>
      <c r="K15" t="s" s="135">
        <v>150</v>
      </c>
      <c r="L15" s="158"/>
      <c r="M15" t="s" s="135">
        <v>150</v>
      </c>
      <c r="N15" s="157"/>
      <c r="O15" t="s" s="135">
        <v>150</v>
      </c>
      <c r="P15" s="158"/>
      <c r="Q15" t="s" s="135">
        <v>150</v>
      </c>
      <c r="R15" s="157"/>
      <c r="S15" t="s" s="135">
        <v>150</v>
      </c>
      <c r="T15" s="158"/>
      <c r="U15" t="s" s="135">
        <v>150</v>
      </c>
      <c r="V15" s="157"/>
      <c r="W15" t="s" s="135">
        <v>150</v>
      </c>
      <c r="X15" s="159"/>
      <c r="Y15" s="160"/>
      <c r="Z15" s="160"/>
      <c r="AA15" s="160"/>
      <c r="AB15" s="126"/>
    </row>
    <row r="16" ht="13.35" customHeight="1">
      <c r="A16" t="s" s="156">
        <v>162</v>
      </c>
      <c r="B16" s="125">
        <v>32316</v>
      </c>
      <c r="C16" t="s" s="156">
        <v>162</v>
      </c>
      <c r="D16" s="126">
        <v>22475</v>
      </c>
      <c r="E16" t="s" s="135">
        <v>162</v>
      </c>
      <c r="F16" s="157">
        <v>26986</v>
      </c>
      <c r="G16" t="s" s="135">
        <v>162</v>
      </c>
      <c r="H16" s="158"/>
      <c r="I16" t="s" s="135">
        <v>162</v>
      </c>
      <c r="J16" s="157"/>
      <c r="K16" t="s" s="135">
        <v>162</v>
      </c>
      <c r="L16" s="158"/>
      <c r="M16" t="s" s="135">
        <v>162</v>
      </c>
      <c r="N16" s="157"/>
      <c r="O16" t="s" s="135">
        <v>162</v>
      </c>
      <c r="P16" s="158"/>
      <c r="Q16" t="s" s="135">
        <v>162</v>
      </c>
      <c r="R16" s="157"/>
      <c r="S16" t="s" s="135">
        <v>162</v>
      </c>
      <c r="T16" s="158"/>
      <c r="U16" t="s" s="135">
        <v>162</v>
      </c>
      <c r="V16" s="157"/>
      <c r="W16" t="s" s="135">
        <v>162</v>
      </c>
      <c r="X16" s="159"/>
      <c r="Y16" s="160"/>
      <c r="Z16" s="160"/>
      <c r="AA16" s="160"/>
      <c r="AB16" s="126"/>
    </row>
    <row r="17" ht="13.35" customHeight="1">
      <c r="A17" t="s" s="156">
        <v>174</v>
      </c>
      <c r="B17" s="129">
        <v>15774</v>
      </c>
      <c r="C17" t="s" s="156">
        <v>174</v>
      </c>
      <c r="D17" s="130">
        <v>14532</v>
      </c>
      <c r="E17" t="s" s="135">
        <v>174</v>
      </c>
      <c r="F17" s="161">
        <v>11386</v>
      </c>
      <c r="G17" t="s" s="135">
        <v>174</v>
      </c>
      <c r="H17" s="162"/>
      <c r="I17" t="s" s="135">
        <v>174</v>
      </c>
      <c r="J17" s="161"/>
      <c r="K17" t="s" s="135">
        <v>174</v>
      </c>
      <c r="L17" s="162"/>
      <c r="M17" t="s" s="135">
        <v>174</v>
      </c>
      <c r="N17" s="161"/>
      <c r="O17" t="s" s="135">
        <v>174</v>
      </c>
      <c r="P17" s="162"/>
      <c r="Q17" t="s" s="135">
        <v>174</v>
      </c>
      <c r="R17" s="161"/>
      <c r="S17" t="s" s="135">
        <v>174</v>
      </c>
      <c r="T17" s="162"/>
      <c r="U17" t="s" s="135">
        <v>174</v>
      </c>
      <c r="V17" s="161"/>
      <c r="W17" t="s" s="135">
        <v>174</v>
      </c>
      <c r="X17" s="163"/>
      <c r="Y17" s="164"/>
      <c r="Z17" s="164"/>
      <c r="AA17" s="164"/>
      <c r="AB17" s="130"/>
    </row>
    <row r="18" ht="13.35" customHeight="1">
      <c r="A18" t="s" s="135">
        <v>211</v>
      </c>
      <c r="B18" s="165">
        <v>12475</v>
      </c>
      <c r="C18" t="s" s="135">
        <v>211</v>
      </c>
      <c r="D18" s="166">
        <v>32175</v>
      </c>
      <c r="E18" t="s" s="135">
        <v>211</v>
      </c>
      <c r="F18" s="165">
        <v>17064</v>
      </c>
      <c r="G18" t="s" s="135">
        <v>211</v>
      </c>
      <c r="H18" s="137"/>
      <c r="I18" t="s" s="135">
        <v>211</v>
      </c>
      <c r="J18" s="136"/>
      <c r="K18" t="s" s="135">
        <v>211</v>
      </c>
      <c r="L18" s="137"/>
      <c r="M18" t="s" s="135">
        <v>211</v>
      </c>
      <c r="N18" s="136"/>
      <c r="O18" t="s" s="135">
        <v>211</v>
      </c>
      <c r="P18" s="137"/>
      <c r="Q18" t="s" s="135">
        <v>211</v>
      </c>
      <c r="R18" s="136"/>
      <c r="S18" t="s" s="135">
        <v>211</v>
      </c>
      <c r="T18" s="137"/>
      <c r="U18" t="s" s="135">
        <v>211</v>
      </c>
      <c r="V18" s="136"/>
      <c r="W18" t="s" s="135">
        <v>211</v>
      </c>
      <c r="X18" s="167"/>
      <c r="Y18" s="167"/>
      <c r="Z18" s="167"/>
      <c r="AA18" s="167"/>
      <c r="AB18" s="137"/>
    </row>
    <row r="19" ht="13.35" customHeight="1">
      <c r="A19" t="s" s="135">
        <v>223</v>
      </c>
      <c r="B19" s="165">
        <v>5077</v>
      </c>
      <c r="C19" t="s" s="135">
        <v>223</v>
      </c>
      <c r="D19" s="166">
        <v>11292</v>
      </c>
      <c r="E19" t="s" s="135">
        <v>223</v>
      </c>
      <c r="F19" s="165">
        <v>9764</v>
      </c>
      <c r="G19" t="s" s="135">
        <v>223</v>
      </c>
      <c r="H19" s="137"/>
      <c r="I19" t="s" s="135">
        <v>223</v>
      </c>
      <c r="J19" s="136"/>
      <c r="K19" t="s" s="135">
        <v>223</v>
      </c>
      <c r="L19" s="137"/>
      <c r="M19" t="s" s="135">
        <v>223</v>
      </c>
      <c r="N19" s="136"/>
      <c r="O19" t="s" s="135">
        <v>223</v>
      </c>
      <c r="P19" s="137"/>
      <c r="Q19" t="s" s="135">
        <v>223</v>
      </c>
      <c r="R19" s="136"/>
      <c r="S19" t="s" s="135">
        <v>223</v>
      </c>
      <c r="T19" s="137"/>
      <c r="U19" t="s" s="135">
        <v>223</v>
      </c>
      <c r="V19" s="136"/>
      <c r="W19" t="s" s="135">
        <v>223</v>
      </c>
      <c r="X19" s="167"/>
      <c r="Y19" s="167"/>
      <c r="Z19" s="167"/>
      <c r="AA19" s="167"/>
      <c r="AB19" s="137"/>
    </row>
    <row r="20" ht="13.35" customHeight="1">
      <c r="A20" t="s" s="132">
        <v>235</v>
      </c>
      <c r="B20" s="168">
        <v>13895</v>
      </c>
      <c r="C20" t="s" s="132">
        <v>235</v>
      </c>
      <c r="D20" s="169">
        <v>13346</v>
      </c>
      <c r="E20" t="s" s="132">
        <v>235</v>
      </c>
      <c r="F20" s="168">
        <v>31800</v>
      </c>
      <c r="G20" t="s" s="132">
        <v>235</v>
      </c>
      <c r="H20" s="134"/>
      <c r="I20" t="s" s="132">
        <v>235</v>
      </c>
      <c r="J20" s="133"/>
      <c r="K20" t="s" s="132">
        <v>235</v>
      </c>
      <c r="L20" s="134"/>
      <c r="M20" t="s" s="132">
        <v>235</v>
      </c>
      <c r="N20" s="133"/>
      <c r="O20" t="s" s="132">
        <v>235</v>
      </c>
      <c r="P20" s="134"/>
      <c r="Q20" t="s" s="132">
        <v>235</v>
      </c>
      <c r="R20" s="133"/>
      <c r="S20" t="s" s="132">
        <v>235</v>
      </c>
      <c r="T20" s="134"/>
      <c r="U20" t="s" s="132">
        <v>235</v>
      </c>
      <c r="V20" s="133"/>
      <c r="W20" t="s" s="132">
        <v>235</v>
      </c>
      <c r="X20" s="170"/>
      <c r="Y20" s="170"/>
      <c r="Z20" s="170"/>
      <c r="AA20" s="170"/>
      <c r="AB20" s="134"/>
    </row>
    <row r="21" ht="13.35" customHeight="1">
      <c r="A21" t="s" s="132">
        <v>247</v>
      </c>
      <c r="B21" s="168">
        <v>7271</v>
      </c>
      <c r="C21" t="s" s="132">
        <v>247</v>
      </c>
      <c r="D21" s="169">
        <v>10396</v>
      </c>
      <c r="E21" t="s" s="132">
        <v>247</v>
      </c>
      <c r="F21" s="168">
        <v>4972</v>
      </c>
      <c r="G21" t="s" s="132">
        <v>247</v>
      </c>
      <c r="H21" s="134"/>
      <c r="I21" t="s" s="132">
        <v>247</v>
      </c>
      <c r="J21" s="133"/>
      <c r="K21" t="s" s="132">
        <v>247</v>
      </c>
      <c r="L21" s="134"/>
      <c r="M21" t="s" s="132">
        <v>247</v>
      </c>
      <c r="N21" s="133"/>
      <c r="O21" t="s" s="132">
        <v>247</v>
      </c>
      <c r="P21" s="134"/>
      <c r="Q21" t="s" s="132">
        <v>247</v>
      </c>
      <c r="R21" s="133"/>
      <c r="S21" t="s" s="132">
        <v>247</v>
      </c>
      <c r="T21" s="134"/>
      <c r="U21" t="s" s="132">
        <v>247</v>
      </c>
      <c r="V21" s="133"/>
      <c r="W21" t="s" s="132">
        <v>247</v>
      </c>
      <c r="X21" s="170"/>
      <c r="Y21" s="170"/>
      <c r="Z21" s="170"/>
      <c r="AA21" s="170"/>
      <c r="AB21" s="134"/>
    </row>
    <row r="22" ht="13.35" customHeight="1">
      <c r="A22" t="s" s="132">
        <v>259</v>
      </c>
      <c r="B22" s="168">
        <v>51542</v>
      </c>
      <c r="C22" t="s" s="132">
        <v>259</v>
      </c>
      <c r="D22" s="169">
        <v>7278</v>
      </c>
      <c r="E22" t="s" s="132">
        <v>259</v>
      </c>
      <c r="F22" s="168">
        <v>207</v>
      </c>
      <c r="G22" t="s" s="132">
        <v>259</v>
      </c>
      <c r="H22" s="134"/>
      <c r="I22" t="s" s="132">
        <v>259</v>
      </c>
      <c r="J22" s="133"/>
      <c r="K22" t="s" s="132">
        <v>259</v>
      </c>
      <c r="L22" s="134"/>
      <c r="M22" t="s" s="132">
        <v>259</v>
      </c>
      <c r="N22" s="133"/>
      <c r="O22" t="s" s="132">
        <v>259</v>
      </c>
      <c r="P22" s="134"/>
      <c r="Q22" t="s" s="132">
        <v>259</v>
      </c>
      <c r="R22" s="133"/>
      <c r="S22" t="s" s="132">
        <v>259</v>
      </c>
      <c r="T22" s="134"/>
      <c r="U22" t="s" s="132">
        <v>259</v>
      </c>
      <c r="V22" s="133"/>
      <c r="W22" t="s" s="132">
        <v>259</v>
      </c>
      <c r="X22" s="170"/>
      <c r="Y22" s="170"/>
      <c r="Z22" s="170"/>
      <c r="AA22" s="170"/>
      <c r="AB22" s="134"/>
    </row>
    <row r="23" ht="13.35" customHeight="1">
      <c r="A23" t="s" s="132">
        <v>271</v>
      </c>
      <c r="B23" s="168">
        <v>14089</v>
      </c>
      <c r="C23" t="s" s="132">
        <v>271</v>
      </c>
      <c r="D23" s="169">
        <v>990</v>
      </c>
      <c r="E23" t="s" s="132">
        <v>271</v>
      </c>
      <c r="F23" s="168">
        <v>209</v>
      </c>
      <c r="G23" t="s" s="132">
        <v>271</v>
      </c>
      <c r="H23" s="134"/>
      <c r="I23" t="s" s="132">
        <v>271</v>
      </c>
      <c r="J23" s="133"/>
      <c r="K23" t="s" s="132">
        <v>271</v>
      </c>
      <c r="L23" s="134"/>
      <c r="M23" t="s" s="132">
        <v>271</v>
      </c>
      <c r="N23" s="133"/>
      <c r="O23" t="s" s="132">
        <v>271</v>
      </c>
      <c r="P23" s="134"/>
      <c r="Q23" t="s" s="132">
        <v>271</v>
      </c>
      <c r="R23" s="133"/>
      <c r="S23" t="s" s="132">
        <v>271</v>
      </c>
      <c r="T23" s="134"/>
      <c r="U23" t="s" s="132">
        <v>271</v>
      </c>
      <c r="V23" s="133"/>
      <c r="W23" t="s" s="132">
        <v>271</v>
      </c>
      <c r="X23" s="170"/>
      <c r="Y23" s="170"/>
      <c r="Z23" s="170"/>
      <c r="AA23" s="170"/>
      <c r="AB23" s="134"/>
    </row>
    <row r="24" ht="13.35" customHeight="1">
      <c r="A24" t="s" s="132">
        <v>283</v>
      </c>
      <c r="B24" s="168">
        <v>13462</v>
      </c>
      <c r="C24" t="s" s="132">
        <v>283</v>
      </c>
      <c r="D24" s="169">
        <v>210</v>
      </c>
      <c r="E24" t="s" s="132">
        <v>283</v>
      </c>
      <c r="F24" s="168">
        <v>294</v>
      </c>
      <c r="G24" t="s" s="132">
        <v>283</v>
      </c>
      <c r="H24" s="134"/>
      <c r="I24" t="s" s="132">
        <v>283</v>
      </c>
      <c r="J24" s="133"/>
      <c r="K24" t="s" s="132">
        <v>283</v>
      </c>
      <c r="L24" s="134"/>
      <c r="M24" t="s" s="132">
        <v>283</v>
      </c>
      <c r="N24" s="133"/>
      <c r="O24" t="s" s="132">
        <v>283</v>
      </c>
      <c r="P24" s="134"/>
      <c r="Q24" t="s" s="132">
        <v>283</v>
      </c>
      <c r="R24" s="133"/>
      <c r="S24" t="s" s="132">
        <v>283</v>
      </c>
      <c r="T24" s="134"/>
      <c r="U24" t="s" s="132">
        <v>283</v>
      </c>
      <c r="V24" s="133"/>
      <c r="W24" t="s" s="132">
        <v>283</v>
      </c>
      <c r="X24" s="170"/>
      <c r="Y24" s="170"/>
      <c r="Z24" s="170"/>
      <c r="AA24" s="170"/>
      <c r="AB24" s="134"/>
    </row>
    <row r="25" ht="13.35" customHeight="1">
      <c r="A25" t="s" s="132">
        <v>295</v>
      </c>
      <c r="B25" s="168">
        <v>51549</v>
      </c>
      <c r="C25" t="s" s="132">
        <v>295</v>
      </c>
      <c r="D25" s="169">
        <v>1918</v>
      </c>
      <c r="E25" t="s" s="132">
        <v>295</v>
      </c>
      <c r="F25" s="133"/>
      <c r="G25" t="s" s="132">
        <v>295</v>
      </c>
      <c r="H25" s="134"/>
      <c r="I25" t="s" s="132">
        <v>295</v>
      </c>
      <c r="J25" s="133"/>
      <c r="K25" t="s" s="132">
        <v>295</v>
      </c>
      <c r="L25" s="134"/>
      <c r="M25" t="s" s="132">
        <v>295</v>
      </c>
      <c r="N25" s="133"/>
      <c r="O25" t="s" s="132">
        <v>295</v>
      </c>
      <c r="P25" s="134"/>
      <c r="Q25" t="s" s="132">
        <v>295</v>
      </c>
      <c r="R25" s="133"/>
      <c r="S25" t="s" s="132">
        <v>295</v>
      </c>
      <c r="T25" s="134"/>
      <c r="U25" t="s" s="132">
        <v>295</v>
      </c>
      <c r="V25" s="133"/>
      <c r="W25" t="s" s="132">
        <v>295</v>
      </c>
      <c r="X25" s="170"/>
      <c r="Y25" s="170"/>
      <c r="Z25" s="170"/>
      <c r="AA25" s="170"/>
      <c r="AB25" s="134"/>
    </row>
    <row r="26" ht="13.35" customHeight="1">
      <c r="A26" t="s" s="132">
        <v>307</v>
      </c>
      <c r="B26" s="168">
        <v>6091</v>
      </c>
      <c r="C26" t="s" s="132">
        <v>307</v>
      </c>
      <c r="D26" s="169">
        <v>72</v>
      </c>
      <c r="E26" t="s" s="132">
        <v>307</v>
      </c>
      <c r="F26" s="133"/>
      <c r="G26" t="s" s="132">
        <v>307</v>
      </c>
      <c r="H26" s="134"/>
      <c r="I26" t="s" s="132">
        <v>307</v>
      </c>
      <c r="J26" s="133"/>
      <c r="K26" t="s" s="132">
        <v>307</v>
      </c>
      <c r="L26" s="134"/>
      <c r="M26" t="s" s="132">
        <v>307</v>
      </c>
      <c r="N26" s="133"/>
      <c r="O26" t="s" s="132">
        <v>307</v>
      </c>
      <c r="P26" s="134"/>
      <c r="Q26" t="s" s="132">
        <v>307</v>
      </c>
      <c r="R26" s="133"/>
      <c r="S26" t="s" s="132">
        <v>307</v>
      </c>
      <c r="T26" s="134"/>
      <c r="U26" t="s" s="132">
        <v>307</v>
      </c>
      <c r="V26" s="133"/>
      <c r="W26" t="s" s="132">
        <v>307</v>
      </c>
      <c r="X26" s="170"/>
      <c r="Y26" s="170"/>
      <c r="Z26" s="170"/>
      <c r="AA26" s="170"/>
      <c r="AB26" s="134"/>
    </row>
    <row r="27" ht="13.35" customHeight="1">
      <c r="A27" t="s" s="132">
        <v>319</v>
      </c>
      <c r="B27" s="168">
        <v>4504</v>
      </c>
      <c r="C27" t="s" s="132">
        <v>319</v>
      </c>
      <c r="D27" s="134"/>
      <c r="E27" t="s" s="132">
        <v>319</v>
      </c>
      <c r="F27" s="133"/>
      <c r="G27" t="s" s="132">
        <v>319</v>
      </c>
      <c r="H27" s="134"/>
      <c r="I27" t="s" s="132">
        <v>319</v>
      </c>
      <c r="J27" s="133"/>
      <c r="K27" t="s" s="132">
        <v>319</v>
      </c>
      <c r="L27" s="134"/>
      <c r="M27" t="s" s="132">
        <v>319</v>
      </c>
      <c r="N27" s="133"/>
      <c r="O27" t="s" s="132">
        <v>319</v>
      </c>
      <c r="P27" s="134"/>
      <c r="Q27" t="s" s="132">
        <v>319</v>
      </c>
      <c r="R27" s="133"/>
      <c r="S27" t="s" s="132">
        <v>319</v>
      </c>
      <c r="T27" s="134"/>
      <c r="U27" t="s" s="132">
        <v>319</v>
      </c>
      <c r="V27" s="133"/>
      <c r="W27" t="s" s="132">
        <v>319</v>
      </c>
      <c r="X27" s="170"/>
      <c r="Y27" s="170"/>
      <c r="Z27" s="170"/>
      <c r="AA27" s="170"/>
      <c r="AB27" s="134"/>
    </row>
    <row r="28" ht="13.35" customHeight="1">
      <c r="A28" t="s" s="132">
        <v>331</v>
      </c>
      <c r="B28" s="168">
        <v>6850</v>
      </c>
      <c r="C28" t="s" s="132">
        <v>331</v>
      </c>
      <c r="D28" s="169">
        <v>3601</v>
      </c>
      <c r="E28" t="s" s="132">
        <v>331</v>
      </c>
      <c r="F28" s="168">
        <v>307</v>
      </c>
      <c r="G28" t="s" s="132">
        <v>331</v>
      </c>
      <c r="H28" s="134"/>
      <c r="I28" t="s" s="132">
        <v>331</v>
      </c>
      <c r="J28" s="133"/>
      <c r="K28" t="s" s="132">
        <v>331</v>
      </c>
      <c r="L28" s="134"/>
      <c r="M28" t="s" s="132">
        <v>331</v>
      </c>
      <c r="N28" s="133"/>
      <c r="O28" t="s" s="132">
        <v>331</v>
      </c>
      <c r="P28" s="134"/>
      <c r="Q28" t="s" s="132">
        <v>331</v>
      </c>
      <c r="R28" s="133"/>
      <c r="S28" t="s" s="132">
        <v>331</v>
      </c>
      <c r="T28" s="134"/>
      <c r="U28" t="s" s="132">
        <v>331</v>
      </c>
      <c r="V28" s="133"/>
      <c r="W28" t="s" s="132">
        <v>331</v>
      </c>
      <c r="X28" s="170"/>
      <c r="Y28" s="170"/>
      <c r="Z28" s="170"/>
      <c r="AA28" s="170"/>
      <c r="AB28" s="134"/>
    </row>
    <row r="29" ht="13.35" customHeight="1">
      <c r="A29" t="s" s="135">
        <v>343</v>
      </c>
      <c r="B29" s="165">
        <v>304</v>
      </c>
      <c r="C29" t="s" s="135">
        <v>343</v>
      </c>
      <c r="D29" s="166">
        <v>89</v>
      </c>
      <c r="E29" t="s" s="135">
        <v>343</v>
      </c>
      <c r="F29" s="165">
        <v>11</v>
      </c>
      <c r="G29" t="s" s="135">
        <v>343</v>
      </c>
      <c r="H29" s="137"/>
      <c r="I29" t="s" s="135">
        <v>343</v>
      </c>
      <c r="J29" s="136"/>
      <c r="K29" t="s" s="135">
        <v>343</v>
      </c>
      <c r="L29" s="137"/>
      <c r="M29" t="s" s="135">
        <v>343</v>
      </c>
      <c r="N29" s="136"/>
      <c r="O29" t="s" s="135">
        <v>343</v>
      </c>
      <c r="P29" s="137"/>
      <c r="Q29" t="s" s="135">
        <v>343</v>
      </c>
      <c r="R29" s="136"/>
      <c r="S29" t="s" s="135">
        <v>343</v>
      </c>
      <c r="T29" s="137"/>
      <c r="U29" t="s" s="135">
        <v>343</v>
      </c>
      <c r="V29" s="136"/>
      <c r="W29" t="s" s="135">
        <v>343</v>
      </c>
      <c r="X29" s="167"/>
      <c r="Y29" s="167"/>
      <c r="Z29" s="167"/>
      <c r="AA29" s="167"/>
      <c r="AB29" s="137"/>
    </row>
    <row r="30" ht="13.35" customHeight="1">
      <c r="A30" t="s" s="135">
        <v>355</v>
      </c>
      <c r="B30" s="165">
        <v>7265</v>
      </c>
      <c r="C30" t="s" s="135">
        <v>355</v>
      </c>
      <c r="D30" s="166">
        <v>463</v>
      </c>
      <c r="E30" t="s" s="135">
        <v>355</v>
      </c>
      <c r="F30" s="165">
        <v>220</v>
      </c>
      <c r="G30" t="s" s="135">
        <v>355</v>
      </c>
      <c r="H30" s="137"/>
      <c r="I30" t="s" s="135">
        <v>355</v>
      </c>
      <c r="J30" s="136"/>
      <c r="K30" t="s" s="135">
        <v>355</v>
      </c>
      <c r="L30" s="137"/>
      <c r="M30" t="s" s="135">
        <v>355</v>
      </c>
      <c r="N30" s="136"/>
      <c r="O30" t="s" s="135">
        <v>355</v>
      </c>
      <c r="P30" s="137"/>
      <c r="Q30" t="s" s="135">
        <v>355</v>
      </c>
      <c r="R30" s="136"/>
      <c r="S30" t="s" s="135">
        <v>355</v>
      </c>
      <c r="T30" s="137"/>
      <c r="U30" t="s" s="135">
        <v>355</v>
      </c>
      <c r="V30" s="136"/>
      <c r="W30" t="s" s="135">
        <v>355</v>
      </c>
      <c r="X30" s="167"/>
      <c r="Y30" s="167"/>
      <c r="Z30" s="167"/>
      <c r="AA30" s="167"/>
      <c r="AB30" s="137"/>
    </row>
    <row r="31" ht="13.35" customHeight="1">
      <c r="A31" t="s" s="135">
        <v>367</v>
      </c>
      <c r="B31" s="165">
        <v>1020</v>
      </c>
      <c r="C31" t="s" s="135">
        <v>367</v>
      </c>
      <c r="D31" s="166">
        <v>332</v>
      </c>
      <c r="E31" t="s" s="135">
        <v>367</v>
      </c>
      <c r="F31" s="165">
        <v>23</v>
      </c>
      <c r="G31" t="s" s="135">
        <v>367</v>
      </c>
      <c r="H31" s="137"/>
      <c r="I31" t="s" s="135">
        <v>367</v>
      </c>
      <c r="J31" s="136"/>
      <c r="K31" t="s" s="135">
        <v>367</v>
      </c>
      <c r="L31" s="137"/>
      <c r="M31" t="s" s="135">
        <v>367</v>
      </c>
      <c r="N31" s="136"/>
      <c r="O31" t="s" s="135">
        <v>367</v>
      </c>
      <c r="P31" s="137"/>
      <c r="Q31" t="s" s="135">
        <v>367</v>
      </c>
      <c r="R31" s="136"/>
      <c r="S31" t="s" s="135">
        <v>367</v>
      </c>
      <c r="T31" s="137"/>
      <c r="U31" t="s" s="135">
        <v>367</v>
      </c>
      <c r="V31" s="136"/>
      <c r="W31" t="s" s="135">
        <v>367</v>
      </c>
      <c r="X31" s="167"/>
      <c r="Y31" s="167"/>
      <c r="Z31" s="167"/>
      <c r="AA31" s="167"/>
      <c r="AB31" s="137"/>
    </row>
    <row r="32" ht="13.35" customHeight="1">
      <c r="A32" t="s" s="135">
        <v>379</v>
      </c>
      <c r="B32" s="165">
        <v>8353</v>
      </c>
      <c r="C32" t="s" s="135">
        <v>379</v>
      </c>
      <c r="D32" s="166">
        <v>560</v>
      </c>
      <c r="E32" t="s" s="135">
        <v>379</v>
      </c>
      <c r="F32" s="165">
        <v>215</v>
      </c>
      <c r="G32" t="s" s="135">
        <v>379</v>
      </c>
      <c r="H32" s="137"/>
      <c r="I32" t="s" s="135">
        <v>379</v>
      </c>
      <c r="J32" s="136"/>
      <c r="K32" t="s" s="135">
        <v>379</v>
      </c>
      <c r="L32" s="137"/>
      <c r="M32" t="s" s="135">
        <v>379</v>
      </c>
      <c r="N32" s="136"/>
      <c r="O32" t="s" s="135">
        <v>379</v>
      </c>
      <c r="P32" s="137"/>
      <c r="Q32" t="s" s="135">
        <v>379</v>
      </c>
      <c r="R32" s="136"/>
      <c r="S32" t="s" s="135">
        <v>379</v>
      </c>
      <c r="T32" s="137"/>
      <c r="U32" t="s" s="135">
        <v>379</v>
      </c>
      <c r="V32" s="136"/>
      <c r="W32" t="s" s="135">
        <v>379</v>
      </c>
      <c r="X32" s="167"/>
      <c r="Y32" s="167"/>
      <c r="Z32" s="167"/>
      <c r="AA32" s="167"/>
      <c r="AB32" s="137"/>
    </row>
    <row r="33" ht="13.35" customHeight="1">
      <c r="A33" t="s" s="135">
        <v>391</v>
      </c>
      <c r="B33" s="165">
        <v>1179</v>
      </c>
      <c r="C33" t="s" s="135">
        <v>391</v>
      </c>
      <c r="D33" s="166">
        <v>773</v>
      </c>
      <c r="E33" t="s" s="135">
        <v>391</v>
      </c>
      <c r="F33" s="165">
        <v>126</v>
      </c>
      <c r="G33" t="s" s="135">
        <v>391</v>
      </c>
      <c r="H33" s="137"/>
      <c r="I33" t="s" s="135">
        <v>391</v>
      </c>
      <c r="J33" s="136"/>
      <c r="K33" t="s" s="135">
        <v>391</v>
      </c>
      <c r="L33" s="137"/>
      <c r="M33" t="s" s="135">
        <v>391</v>
      </c>
      <c r="N33" s="136"/>
      <c r="O33" t="s" s="135">
        <v>391</v>
      </c>
      <c r="P33" s="137"/>
      <c r="Q33" t="s" s="135">
        <v>391</v>
      </c>
      <c r="R33" s="136"/>
      <c r="S33" t="s" s="135">
        <v>391</v>
      </c>
      <c r="T33" s="137"/>
      <c r="U33" t="s" s="135">
        <v>391</v>
      </c>
      <c r="V33" s="136"/>
      <c r="W33" t="s" s="135">
        <v>391</v>
      </c>
      <c r="X33" s="167"/>
      <c r="Y33" s="167"/>
      <c r="Z33" s="167"/>
      <c r="AA33" s="167"/>
      <c r="AB33" s="137"/>
    </row>
    <row r="34" ht="13.35" customHeight="1">
      <c r="A34" t="s" s="135">
        <v>403</v>
      </c>
      <c r="B34" s="165">
        <v>301</v>
      </c>
      <c r="C34" t="s" s="135">
        <v>403</v>
      </c>
      <c r="D34" s="137"/>
      <c r="E34" t="s" s="135">
        <v>403</v>
      </c>
      <c r="F34" s="136"/>
      <c r="G34" t="s" s="135">
        <v>403</v>
      </c>
      <c r="H34" s="137"/>
      <c r="I34" t="s" s="135">
        <v>403</v>
      </c>
      <c r="J34" s="136"/>
      <c r="K34" t="s" s="135">
        <v>403</v>
      </c>
      <c r="L34" s="137"/>
      <c r="M34" t="s" s="135">
        <v>403</v>
      </c>
      <c r="N34" s="136"/>
      <c r="O34" t="s" s="135">
        <v>403</v>
      </c>
      <c r="P34" s="137"/>
      <c r="Q34" t="s" s="135">
        <v>403</v>
      </c>
      <c r="R34" s="136"/>
      <c r="S34" t="s" s="135">
        <v>403</v>
      </c>
      <c r="T34" s="137"/>
      <c r="U34" t="s" s="135">
        <v>403</v>
      </c>
      <c r="V34" s="136"/>
      <c r="W34" t="s" s="135">
        <v>403</v>
      </c>
      <c r="X34" s="167"/>
      <c r="Y34" s="167"/>
      <c r="Z34" s="167"/>
      <c r="AA34" s="167"/>
      <c r="AB34" s="137"/>
    </row>
    <row r="35" ht="13.35" customHeight="1">
      <c r="A35" t="s" s="135">
        <v>415</v>
      </c>
      <c r="B35" s="165">
        <v>1886</v>
      </c>
      <c r="C35" t="s" s="135">
        <v>415</v>
      </c>
      <c r="D35" s="166">
        <v>76</v>
      </c>
      <c r="E35" t="s" s="135">
        <v>415</v>
      </c>
      <c r="F35" s="165">
        <v>77</v>
      </c>
      <c r="G35" t="s" s="135">
        <v>415</v>
      </c>
      <c r="H35" s="137"/>
      <c r="I35" t="s" s="135">
        <v>415</v>
      </c>
      <c r="J35" s="136"/>
      <c r="K35" t="s" s="135">
        <v>415</v>
      </c>
      <c r="L35" s="137"/>
      <c r="M35" t="s" s="135">
        <v>415</v>
      </c>
      <c r="N35" s="136"/>
      <c r="O35" t="s" s="135">
        <v>415</v>
      </c>
      <c r="P35" s="137"/>
      <c r="Q35" t="s" s="135">
        <v>415</v>
      </c>
      <c r="R35" s="136"/>
      <c r="S35" t="s" s="135">
        <v>415</v>
      </c>
      <c r="T35" s="137"/>
      <c r="U35" t="s" s="135">
        <v>415</v>
      </c>
      <c r="V35" s="136"/>
      <c r="W35" t="s" s="135">
        <v>415</v>
      </c>
      <c r="X35" s="167"/>
      <c r="Y35" s="167"/>
      <c r="Z35" s="167"/>
      <c r="AA35" s="167"/>
      <c r="AB35" s="137"/>
    </row>
    <row r="36" ht="13.35" customHeight="1">
      <c r="A36" t="s" s="135">
        <v>427</v>
      </c>
      <c r="B36" s="165">
        <v>125</v>
      </c>
      <c r="C36" t="s" s="135">
        <v>427</v>
      </c>
      <c r="D36" s="166">
        <v>41</v>
      </c>
      <c r="E36" t="s" s="135">
        <v>427</v>
      </c>
      <c r="F36" s="165">
        <v>40</v>
      </c>
      <c r="G36" t="s" s="135">
        <v>427</v>
      </c>
      <c r="H36" s="137"/>
      <c r="I36" t="s" s="135">
        <v>427</v>
      </c>
      <c r="J36" s="136"/>
      <c r="K36" t="s" s="135">
        <v>427</v>
      </c>
      <c r="L36" s="137"/>
      <c r="M36" t="s" s="135">
        <v>427</v>
      </c>
      <c r="N36" s="136"/>
      <c r="O36" t="s" s="135">
        <v>427</v>
      </c>
      <c r="P36" s="137"/>
      <c r="Q36" t="s" s="135">
        <v>427</v>
      </c>
      <c r="R36" s="136"/>
      <c r="S36" t="s" s="135">
        <v>427</v>
      </c>
      <c r="T36" s="137"/>
      <c r="U36" t="s" s="135">
        <v>427</v>
      </c>
      <c r="V36" s="136"/>
      <c r="W36" t="s" s="135">
        <v>427</v>
      </c>
      <c r="X36" s="167"/>
      <c r="Y36" s="167"/>
      <c r="Z36" s="167"/>
      <c r="AA36" s="167"/>
      <c r="AB36" s="137"/>
    </row>
    <row r="37" ht="13.35" customHeight="1">
      <c r="A37" t="s" s="135">
        <v>439</v>
      </c>
      <c r="B37" s="165">
        <v>1853</v>
      </c>
      <c r="C37" t="s" s="135">
        <v>439</v>
      </c>
      <c r="D37" s="166">
        <v>931</v>
      </c>
      <c r="E37" t="s" s="135">
        <v>439</v>
      </c>
      <c r="F37" s="165">
        <v>502</v>
      </c>
      <c r="G37" t="s" s="135">
        <v>439</v>
      </c>
      <c r="H37" s="137"/>
      <c r="I37" t="s" s="135">
        <v>439</v>
      </c>
      <c r="J37" s="136"/>
      <c r="K37" t="s" s="135">
        <v>439</v>
      </c>
      <c r="L37" s="137"/>
      <c r="M37" t="s" s="135">
        <v>439</v>
      </c>
      <c r="N37" s="136"/>
      <c r="O37" t="s" s="135">
        <v>439</v>
      </c>
      <c r="P37" s="137"/>
      <c r="Q37" t="s" s="135">
        <v>439</v>
      </c>
      <c r="R37" s="136"/>
      <c r="S37" t="s" s="135">
        <v>439</v>
      </c>
      <c r="T37" s="137"/>
      <c r="U37" t="s" s="135">
        <v>439</v>
      </c>
      <c r="V37" s="136"/>
      <c r="W37" t="s" s="135">
        <v>439</v>
      </c>
      <c r="X37" s="167"/>
      <c r="Y37" s="167"/>
      <c r="Z37" s="167"/>
      <c r="AA37" s="167"/>
      <c r="AB37" s="137"/>
    </row>
    <row r="38" ht="13.35" customHeight="1">
      <c r="A38" t="s" s="135">
        <v>451</v>
      </c>
      <c r="B38" s="165">
        <v>3072</v>
      </c>
      <c r="C38" t="s" s="135">
        <v>451</v>
      </c>
      <c r="D38" s="166">
        <v>607</v>
      </c>
      <c r="E38" t="s" s="135">
        <v>451</v>
      </c>
      <c r="F38" s="165">
        <v>94</v>
      </c>
      <c r="G38" t="s" s="135">
        <v>451</v>
      </c>
      <c r="H38" s="137"/>
      <c r="I38" t="s" s="135">
        <v>451</v>
      </c>
      <c r="J38" s="136"/>
      <c r="K38" t="s" s="135">
        <v>451</v>
      </c>
      <c r="L38" s="137"/>
      <c r="M38" t="s" s="135">
        <v>451</v>
      </c>
      <c r="N38" s="136"/>
      <c r="O38" t="s" s="135">
        <v>451</v>
      </c>
      <c r="P38" s="137"/>
      <c r="Q38" t="s" s="135">
        <v>451</v>
      </c>
      <c r="R38" s="136"/>
      <c r="S38" t="s" s="135">
        <v>451</v>
      </c>
      <c r="T38" s="137"/>
      <c r="U38" t="s" s="135">
        <v>451</v>
      </c>
      <c r="V38" s="136"/>
      <c r="W38" t="s" s="135">
        <v>451</v>
      </c>
      <c r="X38" s="167"/>
      <c r="Y38" s="167"/>
      <c r="Z38" s="167"/>
      <c r="AA38" s="167"/>
      <c r="AB38" s="137"/>
    </row>
    <row r="39" ht="13.35" customHeight="1">
      <c r="A39" t="s" s="135">
        <v>463</v>
      </c>
      <c r="B39" s="136"/>
      <c r="C39" t="s" s="135">
        <v>463</v>
      </c>
      <c r="D39" s="137"/>
      <c r="E39" t="s" s="135">
        <v>463</v>
      </c>
      <c r="F39" s="136"/>
      <c r="G39" t="s" s="135">
        <v>463</v>
      </c>
      <c r="H39" s="137"/>
      <c r="I39" t="s" s="135">
        <v>463</v>
      </c>
      <c r="J39" s="136"/>
      <c r="K39" t="s" s="135">
        <v>463</v>
      </c>
      <c r="L39" s="137"/>
      <c r="M39" t="s" s="135">
        <v>463</v>
      </c>
      <c r="N39" s="136"/>
      <c r="O39" t="s" s="135">
        <v>463</v>
      </c>
      <c r="P39" s="137"/>
      <c r="Q39" t="s" s="135">
        <v>463</v>
      </c>
      <c r="R39" s="136"/>
      <c r="S39" t="s" s="135">
        <v>463</v>
      </c>
      <c r="T39" s="137"/>
      <c r="U39" t="s" s="135">
        <v>463</v>
      </c>
      <c r="V39" s="136"/>
      <c r="W39" t="s" s="135">
        <v>463</v>
      </c>
      <c r="X39" s="167"/>
      <c r="Y39" s="167"/>
      <c r="Z39" s="167"/>
      <c r="AA39" s="167"/>
      <c r="AB39" s="137"/>
    </row>
    <row r="40" ht="13.35" customHeight="1">
      <c r="A40" t="s" s="135">
        <v>475</v>
      </c>
      <c r="B40" s="136"/>
      <c r="C40" t="s" s="135">
        <v>475</v>
      </c>
      <c r="D40" s="137"/>
      <c r="E40" t="s" s="135">
        <v>475</v>
      </c>
      <c r="F40" s="136"/>
      <c r="G40" t="s" s="135">
        <v>475</v>
      </c>
      <c r="H40" s="137"/>
      <c r="I40" t="s" s="135">
        <v>475</v>
      </c>
      <c r="J40" s="136"/>
      <c r="K40" t="s" s="135">
        <v>475</v>
      </c>
      <c r="L40" s="137"/>
      <c r="M40" t="s" s="135">
        <v>475</v>
      </c>
      <c r="N40" s="136"/>
      <c r="O40" t="s" s="135">
        <v>475</v>
      </c>
      <c r="P40" s="137"/>
      <c r="Q40" t="s" s="135">
        <v>475</v>
      </c>
      <c r="R40" s="136"/>
      <c r="S40" t="s" s="135">
        <v>475</v>
      </c>
      <c r="T40" s="137"/>
      <c r="U40" t="s" s="135">
        <v>475</v>
      </c>
      <c r="V40" s="136"/>
      <c r="W40" t="s" s="135">
        <v>475</v>
      </c>
      <c r="X40" s="167"/>
      <c r="Y40" s="167"/>
      <c r="Z40" s="167"/>
      <c r="AA40" s="167"/>
      <c r="AB40" s="137"/>
    </row>
    <row r="41" ht="13.35" customHeight="1">
      <c r="A41" t="s" s="135">
        <v>487</v>
      </c>
      <c r="B41" s="136"/>
      <c r="C41" t="s" s="135">
        <v>487</v>
      </c>
      <c r="D41" s="137"/>
      <c r="E41" t="s" s="135">
        <v>487</v>
      </c>
      <c r="F41" s="136"/>
      <c r="G41" t="s" s="135">
        <v>487</v>
      </c>
      <c r="H41" s="137"/>
      <c r="I41" t="s" s="135">
        <v>487</v>
      </c>
      <c r="J41" s="136"/>
      <c r="K41" t="s" s="135">
        <v>487</v>
      </c>
      <c r="L41" s="137"/>
      <c r="M41" t="s" s="135">
        <v>487</v>
      </c>
      <c r="N41" s="136"/>
      <c r="O41" t="s" s="135">
        <v>487</v>
      </c>
      <c r="P41" s="137"/>
      <c r="Q41" t="s" s="135">
        <v>487</v>
      </c>
      <c r="R41" s="136"/>
      <c r="S41" t="s" s="135">
        <v>487</v>
      </c>
      <c r="T41" s="137"/>
      <c r="U41" t="s" s="135">
        <v>487</v>
      </c>
      <c r="V41" s="136"/>
      <c r="W41" t="s" s="135">
        <v>487</v>
      </c>
      <c r="X41" s="167"/>
      <c r="Y41" s="167"/>
      <c r="Z41" s="167"/>
      <c r="AA41" s="167"/>
      <c r="AB41" s="137"/>
    </row>
    <row r="42" ht="13.35" customHeight="1">
      <c r="A42" t="s" s="135">
        <v>499</v>
      </c>
      <c r="B42" s="136"/>
      <c r="C42" t="s" s="135">
        <v>499</v>
      </c>
      <c r="D42" s="137"/>
      <c r="E42" t="s" s="135">
        <v>499</v>
      </c>
      <c r="F42" s="136"/>
      <c r="G42" t="s" s="135">
        <v>499</v>
      </c>
      <c r="H42" s="137"/>
      <c r="I42" t="s" s="135">
        <v>499</v>
      </c>
      <c r="J42" s="136"/>
      <c r="K42" t="s" s="135">
        <v>499</v>
      </c>
      <c r="L42" s="137"/>
      <c r="M42" t="s" s="135">
        <v>499</v>
      </c>
      <c r="N42" s="136"/>
      <c r="O42" t="s" s="135">
        <v>499</v>
      </c>
      <c r="P42" s="137"/>
      <c r="Q42" t="s" s="135">
        <v>499</v>
      </c>
      <c r="R42" s="136"/>
      <c r="S42" t="s" s="135">
        <v>499</v>
      </c>
      <c r="T42" s="137"/>
      <c r="U42" t="s" s="135">
        <v>499</v>
      </c>
      <c r="V42" s="136"/>
      <c r="W42" t="s" s="135">
        <v>499</v>
      </c>
      <c r="X42" s="167"/>
      <c r="Y42" s="167"/>
      <c r="Z42" s="167"/>
      <c r="AA42" s="167"/>
      <c r="AB42" s="137"/>
    </row>
    <row r="43" ht="13.35" customHeight="1">
      <c r="A43" t="s" s="135">
        <v>511</v>
      </c>
      <c r="B43" s="136"/>
      <c r="C43" t="s" s="135">
        <v>511</v>
      </c>
      <c r="D43" s="137"/>
      <c r="E43" t="s" s="135">
        <v>511</v>
      </c>
      <c r="F43" s="136"/>
      <c r="G43" t="s" s="135">
        <v>511</v>
      </c>
      <c r="H43" s="137"/>
      <c r="I43" t="s" s="135">
        <v>511</v>
      </c>
      <c r="J43" s="136"/>
      <c r="K43" t="s" s="135">
        <v>511</v>
      </c>
      <c r="L43" s="137"/>
      <c r="M43" t="s" s="135">
        <v>511</v>
      </c>
      <c r="N43" s="136"/>
      <c r="O43" t="s" s="135">
        <v>511</v>
      </c>
      <c r="P43" s="137"/>
      <c r="Q43" t="s" s="135">
        <v>511</v>
      </c>
      <c r="R43" s="136"/>
      <c r="S43" t="s" s="135">
        <v>511</v>
      </c>
      <c r="T43" s="137"/>
      <c r="U43" t="s" s="135">
        <v>511</v>
      </c>
      <c r="V43" s="136"/>
      <c r="W43" t="s" s="135">
        <v>511</v>
      </c>
      <c r="X43" s="167"/>
      <c r="Y43" s="167"/>
      <c r="Z43" s="167"/>
      <c r="AA43" s="167"/>
      <c r="AB43" s="137"/>
    </row>
    <row r="44" ht="15.85" customHeight="1">
      <c r="A44" t="s" s="171">
        <v>186</v>
      </c>
      <c r="B44" s="172"/>
      <c r="C44" t="s" s="171">
        <v>186</v>
      </c>
      <c r="D44" s="173"/>
      <c r="E44" t="s" s="171">
        <v>186</v>
      </c>
      <c r="F44" s="172"/>
      <c r="G44" t="s" s="174">
        <v>186</v>
      </c>
      <c r="H44" s="175"/>
      <c r="I44" t="s" s="171">
        <v>186</v>
      </c>
      <c r="J44" s="172"/>
      <c r="K44" t="s" s="171">
        <v>186</v>
      </c>
      <c r="L44" s="173"/>
      <c r="M44" t="s" s="171">
        <v>186</v>
      </c>
      <c r="N44" s="172"/>
      <c r="O44" t="s" s="171">
        <v>186</v>
      </c>
      <c r="P44" s="173"/>
      <c r="Q44" t="s" s="171">
        <v>186</v>
      </c>
      <c r="R44" s="172"/>
      <c r="S44" t="s" s="171">
        <v>186</v>
      </c>
      <c r="T44" s="173"/>
      <c r="U44" t="s" s="171">
        <v>186</v>
      </c>
      <c r="V44" s="172"/>
      <c r="W44" t="s" s="171">
        <v>186</v>
      </c>
      <c r="X44" s="173"/>
      <c r="Y44" s="175"/>
      <c r="Z44" s="175"/>
      <c r="AA44" s="175"/>
      <c r="AB44" s="175"/>
    </row>
    <row r="45" ht="15.85" customHeight="1">
      <c r="A45" t="s" s="176">
        <v>198</v>
      </c>
      <c r="B45" s="177"/>
      <c r="C45" t="s" s="176">
        <v>198</v>
      </c>
      <c r="D45" s="178"/>
      <c r="E45" t="s" s="176">
        <v>198</v>
      </c>
      <c r="F45" s="177"/>
      <c r="G45" t="s" s="179">
        <v>198</v>
      </c>
      <c r="H45" s="180"/>
      <c r="I45" t="s" s="176">
        <v>198</v>
      </c>
      <c r="J45" s="177"/>
      <c r="K45" t="s" s="176">
        <v>198</v>
      </c>
      <c r="L45" s="178"/>
      <c r="M45" t="s" s="176">
        <v>198</v>
      </c>
      <c r="N45" s="177"/>
      <c r="O45" t="s" s="176">
        <v>198</v>
      </c>
      <c r="P45" s="178"/>
      <c r="Q45" t="s" s="176">
        <v>198</v>
      </c>
      <c r="R45" s="177"/>
      <c r="S45" t="s" s="176">
        <v>198</v>
      </c>
      <c r="T45" s="178"/>
      <c r="U45" t="s" s="176">
        <v>198</v>
      </c>
      <c r="V45" s="177"/>
      <c r="W45" t="s" s="176">
        <v>198</v>
      </c>
      <c r="X45" s="178"/>
      <c r="Y45" s="180"/>
      <c r="Z45" s="180"/>
      <c r="AA45" s="180"/>
      <c r="AB45" s="180"/>
    </row>
    <row r="46" ht="15.85" customHeight="1">
      <c r="A46" s="181"/>
      <c r="B46" s="177"/>
      <c r="C46" s="181"/>
      <c r="D46" s="178"/>
      <c r="E46" s="181"/>
      <c r="F46" s="177"/>
      <c r="G46" s="182"/>
      <c r="H46" s="180"/>
      <c r="I46" s="181"/>
      <c r="J46" s="177"/>
      <c r="K46" s="181"/>
      <c r="L46" s="178"/>
      <c r="M46" s="181"/>
      <c r="N46" s="177"/>
      <c r="O46" s="181"/>
      <c r="P46" s="178"/>
      <c r="Q46" s="181"/>
      <c r="R46" s="177"/>
      <c r="S46" s="181"/>
      <c r="T46" s="178"/>
      <c r="U46" s="181"/>
      <c r="V46" s="177"/>
      <c r="W46" s="181"/>
      <c r="X46" s="178"/>
      <c r="Y46" s="180"/>
      <c r="Z46" s="180"/>
      <c r="AA46" s="180"/>
      <c r="AB46" s="180"/>
    </row>
    <row r="47" ht="15.85" customHeight="1">
      <c r="A47" s="181"/>
      <c r="B47" s="177"/>
      <c r="C47" s="181"/>
      <c r="D47" s="178"/>
      <c r="E47" s="181"/>
      <c r="F47" s="177"/>
      <c r="G47" s="182"/>
      <c r="H47" s="180"/>
      <c r="I47" s="181"/>
      <c r="J47" s="177"/>
      <c r="K47" s="181"/>
      <c r="L47" s="178"/>
      <c r="M47" s="181"/>
      <c r="N47" s="177"/>
      <c r="O47" s="181"/>
      <c r="P47" s="178"/>
      <c r="Q47" s="181"/>
      <c r="R47" s="177"/>
      <c r="S47" s="181"/>
      <c r="T47" s="178"/>
      <c r="U47" s="181"/>
      <c r="V47" s="177"/>
      <c r="W47" s="181"/>
      <c r="X47" s="178"/>
      <c r="Y47" s="180"/>
      <c r="Z47" s="180"/>
      <c r="AA47" s="180"/>
      <c r="AB47" s="180"/>
    </row>
    <row r="48" ht="15.85" customHeight="1">
      <c r="A48" s="181"/>
      <c r="B48" s="177"/>
      <c r="C48" s="181"/>
      <c r="D48" s="178"/>
      <c r="E48" s="181"/>
      <c r="F48" s="177"/>
      <c r="G48" s="182"/>
      <c r="H48" s="180"/>
      <c r="I48" s="181"/>
      <c r="J48" s="177"/>
      <c r="K48" s="181"/>
      <c r="L48" s="178"/>
      <c r="M48" s="181"/>
      <c r="N48" s="177"/>
      <c r="O48" s="181"/>
      <c r="P48" s="178"/>
      <c r="Q48" s="181"/>
      <c r="R48" s="177"/>
      <c r="S48" s="181"/>
      <c r="T48" s="178"/>
      <c r="U48" s="181"/>
      <c r="V48" s="177"/>
      <c r="W48" s="181"/>
      <c r="X48" s="178"/>
      <c r="Y48" s="180"/>
      <c r="Z48" s="180"/>
      <c r="AA48" s="180"/>
      <c r="AB48" s="180"/>
    </row>
    <row r="49" ht="15.85" customHeight="1">
      <c r="A49" s="181"/>
      <c r="B49" s="177"/>
      <c r="C49" s="181"/>
      <c r="D49" s="178"/>
      <c r="E49" s="181"/>
      <c r="F49" s="177"/>
      <c r="G49" s="182"/>
      <c r="H49" s="180"/>
      <c r="I49" s="181"/>
      <c r="J49" s="177"/>
      <c r="K49" s="181"/>
      <c r="L49" s="178"/>
      <c r="M49" s="181"/>
      <c r="N49" s="177"/>
      <c r="O49" s="181"/>
      <c r="P49" s="178"/>
      <c r="Q49" s="181"/>
      <c r="R49" s="177"/>
      <c r="S49" s="181"/>
      <c r="T49" s="178"/>
      <c r="U49" s="181"/>
      <c r="V49" s="177"/>
      <c r="W49" s="181"/>
      <c r="X49" s="178"/>
      <c r="Y49" s="180"/>
      <c r="Z49" s="180"/>
      <c r="AA49" s="180"/>
      <c r="AB49" s="180"/>
    </row>
    <row r="50" ht="15.85" customHeight="1">
      <c r="A50" s="181"/>
      <c r="B50" s="177"/>
      <c r="C50" s="181"/>
      <c r="D50" s="178"/>
      <c r="E50" s="181"/>
      <c r="F50" s="177"/>
      <c r="G50" s="182"/>
      <c r="H50" s="180"/>
      <c r="I50" s="181"/>
      <c r="J50" s="177"/>
      <c r="K50" s="181"/>
      <c r="L50" s="178"/>
      <c r="M50" s="181"/>
      <c r="N50" s="177"/>
      <c r="O50" s="181"/>
      <c r="P50" s="178"/>
      <c r="Q50" s="181"/>
      <c r="R50" s="177"/>
      <c r="S50" s="181"/>
      <c r="T50" s="178"/>
      <c r="U50" s="181"/>
      <c r="V50" s="177"/>
      <c r="W50" s="181"/>
      <c r="X50" s="178"/>
      <c r="Y50" s="180"/>
      <c r="Z50" s="180"/>
      <c r="AA50" s="180"/>
      <c r="AB50" s="180"/>
    </row>
    <row r="51" ht="15.85" customHeight="1">
      <c r="A51" s="181"/>
      <c r="B51" s="177"/>
      <c r="C51" s="181"/>
      <c r="D51" s="178"/>
      <c r="E51" s="181"/>
      <c r="F51" s="177"/>
      <c r="G51" s="182"/>
      <c r="H51" s="180"/>
      <c r="I51" s="181"/>
      <c r="J51" s="177"/>
      <c r="K51" s="181"/>
      <c r="L51" s="178"/>
      <c r="M51" s="181"/>
      <c r="N51" s="177"/>
      <c r="O51" s="181"/>
      <c r="P51" s="178"/>
      <c r="Q51" s="181"/>
      <c r="R51" s="177"/>
      <c r="S51" s="181"/>
      <c r="T51" s="178"/>
      <c r="U51" s="181"/>
      <c r="V51" s="177"/>
      <c r="W51" s="181"/>
      <c r="X51" s="178"/>
      <c r="Y51" s="180"/>
      <c r="Z51" s="180"/>
      <c r="AA51" s="180"/>
      <c r="AB51" s="180"/>
    </row>
    <row r="52" ht="15.85" customHeight="1">
      <c r="A52" s="181"/>
      <c r="B52" s="177"/>
      <c r="C52" s="181"/>
      <c r="D52" s="178"/>
      <c r="E52" s="181"/>
      <c r="F52" s="177"/>
      <c r="G52" s="182"/>
      <c r="H52" s="180"/>
      <c r="I52" s="181"/>
      <c r="J52" s="177"/>
      <c r="K52" s="181"/>
      <c r="L52" s="178"/>
      <c r="M52" s="181"/>
      <c r="N52" s="177"/>
      <c r="O52" s="181"/>
      <c r="P52" s="178"/>
      <c r="Q52" s="181"/>
      <c r="R52" s="177"/>
      <c r="S52" s="181"/>
      <c r="T52" s="178"/>
      <c r="U52" s="181"/>
      <c r="V52" s="177"/>
      <c r="W52" s="181"/>
      <c r="X52" s="178"/>
      <c r="Y52" s="180"/>
      <c r="Z52" s="180"/>
      <c r="AA52" s="180"/>
      <c r="AB52" s="180"/>
    </row>
    <row r="53" ht="15.85" customHeight="1">
      <c r="A53" s="181"/>
      <c r="B53" s="177"/>
      <c r="C53" s="181"/>
      <c r="D53" s="178"/>
      <c r="E53" s="181"/>
      <c r="F53" s="177"/>
      <c r="G53" s="182"/>
      <c r="H53" s="180"/>
      <c r="I53" s="181"/>
      <c r="J53" s="177"/>
      <c r="K53" s="181"/>
      <c r="L53" s="178"/>
      <c r="M53" s="181"/>
      <c r="N53" s="177"/>
      <c r="O53" s="181"/>
      <c r="P53" s="178"/>
      <c r="Q53" s="181"/>
      <c r="R53" s="177"/>
      <c r="S53" s="181"/>
      <c r="T53" s="178"/>
      <c r="U53" s="181"/>
      <c r="V53" s="177"/>
      <c r="W53" s="181"/>
      <c r="X53" s="178"/>
      <c r="Y53" s="180"/>
      <c r="Z53" s="180"/>
      <c r="AA53" s="180"/>
      <c r="AB53" s="180"/>
    </row>
    <row r="54" ht="15.85" customHeight="1">
      <c r="A54" s="181"/>
      <c r="B54" s="177"/>
      <c r="C54" s="181"/>
      <c r="D54" s="178"/>
      <c r="E54" s="181"/>
      <c r="F54" s="177"/>
      <c r="G54" s="182"/>
      <c r="H54" s="180"/>
      <c r="I54" s="181"/>
      <c r="J54" s="177"/>
      <c r="K54" s="181"/>
      <c r="L54" s="178"/>
      <c r="M54" s="181"/>
      <c r="N54" s="177"/>
      <c r="O54" s="181"/>
      <c r="P54" s="178"/>
      <c r="Q54" s="181"/>
      <c r="R54" s="177"/>
      <c r="S54" s="181"/>
      <c r="T54" s="178"/>
      <c r="U54" s="181"/>
      <c r="V54" s="177"/>
      <c r="W54" s="181"/>
      <c r="X54" s="178"/>
      <c r="Y54" s="180"/>
      <c r="Z54" s="180"/>
      <c r="AA54" s="180"/>
      <c r="AB54" s="180"/>
    </row>
    <row r="55" ht="15.85" customHeight="1">
      <c r="A55" s="181"/>
      <c r="B55" s="177"/>
      <c r="C55" s="181"/>
      <c r="D55" s="178"/>
      <c r="E55" s="181"/>
      <c r="F55" s="177"/>
      <c r="G55" s="182"/>
      <c r="H55" s="180"/>
      <c r="I55" s="181"/>
      <c r="J55" s="177"/>
      <c r="K55" s="181"/>
      <c r="L55" s="178"/>
      <c r="M55" s="181"/>
      <c r="N55" s="177"/>
      <c r="O55" s="181"/>
      <c r="P55" s="178"/>
      <c r="Q55" s="181"/>
      <c r="R55" s="177"/>
      <c r="S55" s="181"/>
      <c r="T55" s="178"/>
      <c r="U55" s="181"/>
      <c r="V55" s="177"/>
      <c r="W55" s="181"/>
      <c r="X55" s="178"/>
      <c r="Y55" s="180"/>
      <c r="Z55" s="180"/>
      <c r="AA55" s="180"/>
      <c r="AB55" s="180"/>
    </row>
    <row r="56" ht="15.85" customHeight="1">
      <c r="A56" s="181"/>
      <c r="B56" s="177"/>
      <c r="C56" s="181"/>
      <c r="D56" s="178"/>
      <c r="E56" s="181"/>
      <c r="F56" s="177"/>
      <c r="G56" s="182"/>
      <c r="H56" s="180"/>
      <c r="I56" s="181"/>
      <c r="J56" s="177"/>
      <c r="K56" s="181"/>
      <c r="L56" s="178"/>
      <c r="M56" s="181"/>
      <c r="N56" s="177"/>
      <c r="O56" s="181"/>
      <c r="P56" s="178"/>
      <c r="Q56" s="181"/>
      <c r="R56" s="177"/>
      <c r="S56" s="181"/>
      <c r="T56" s="178"/>
      <c r="U56" s="181"/>
      <c r="V56" s="177"/>
      <c r="W56" s="181"/>
      <c r="X56" s="178"/>
      <c r="Y56" s="180"/>
      <c r="Z56" s="180"/>
      <c r="AA56" s="180"/>
      <c r="AB56" s="180"/>
    </row>
    <row r="57" ht="15.85" customHeight="1">
      <c r="A57" s="181"/>
      <c r="B57" s="177"/>
      <c r="C57" s="181"/>
      <c r="D57" s="178"/>
      <c r="E57" s="181"/>
      <c r="F57" s="177"/>
      <c r="G57" s="182"/>
      <c r="H57" s="180"/>
      <c r="I57" s="181"/>
      <c r="J57" s="177"/>
      <c r="K57" s="181"/>
      <c r="L57" s="178"/>
      <c r="M57" s="181"/>
      <c r="N57" s="177"/>
      <c r="O57" s="181"/>
      <c r="P57" s="178"/>
      <c r="Q57" s="181"/>
      <c r="R57" s="177"/>
      <c r="S57" s="181"/>
      <c r="T57" s="178"/>
      <c r="U57" s="181"/>
      <c r="V57" s="177"/>
      <c r="W57" s="181"/>
      <c r="X57" s="178"/>
      <c r="Y57" s="180"/>
      <c r="Z57" s="180"/>
      <c r="AA57" s="180"/>
      <c r="AB57" s="180"/>
    </row>
    <row r="58" ht="15.85" customHeight="1">
      <c r="A58" s="181"/>
      <c r="B58" s="177"/>
      <c r="C58" s="181"/>
      <c r="D58" s="178"/>
      <c r="E58" s="181"/>
      <c r="F58" s="177"/>
      <c r="G58" s="182"/>
      <c r="H58" s="180"/>
      <c r="I58" s="181"/>
      <c r="J58" s="177"/>
      <c r="K58" s="181"/>
      <c r="L58" s="178"/>
      <c r="M58" s="181"/>
      <c r="N58" s="177"/>
      <c r="O58" s="181"/>
      <c r="P58" s="178"/>
      <c r="Q58" s="181"/>
      <c r="R58" s="177"/>
      <c r="S58" s="181"/>
      <c r="T58" s="178"/>
      <c r="U58" s="181"/>
      <c r="V58" s="177"/>
      <c r="W58" s="181"/>
      <c r="X58" s="178"/>
      <c r="Y58" s="180"/>
      <c r="Z58" s="180"/>
      <c r="AA58" s="180"/>
      <c r="AB58" s="180"/>
    </row>
    <row r="59" ht="15.85" customHeight="1">
      <c r="A59" s="181"/>
      <c r="B59" s="177"/>
      <c r="C59" s="181"/>
      <c r="D59" s="178"/>
      <c r="E59" s="181"/>
      <c r="F59" s="177"/>
      <c r="G59" s="182"/>
      <c r="H59" s="180"/>
      <c r="I59" s="181"/>
      <c r="J59" s="177"/>
      <c r="K59" s="181"/>
      <c r="L59" s="178"/>
      <c r="M59" s="181"/>
      <c r="N59" s="177"/>
      <c r="O59" s="181"/>
      <c r="P59" s="178"/>
      <c r="Q59" s="181"/>
      <c r="R59" s="177"/>
      <c r="S59" s="181"/>
      <c r="T59" s="178"/>
      <c r="U59" s="181"/>
      <c r="V59" s="177"/>
      <c r="W59" s="181"/>
      <c r="X59" s="178"/>
      <c r="Y59" s="180"/>
      <c r="Z59" s="180"/>
      <c r="AA59" s="180"/>
      <c r="AB59" s="180"/>
    </row>
    <row r="60" ht="15.85" customHeight="1">
      <c r="A60" s="181"/>
      <c r="B60" s="177"/>
      <c r="C60" s="181"/>
      <c r="D60" s="178"/>
      <c r="E60" s="181"/>
      <c r="F60" s="177"/>
      <c r="G60" s="182"/>
      <c r="H60" s="180"/>
      <c r="I60" s="181"/>
      <c r="J60" s="177"/>
      <c r="K60" s="181"/>
      <c r="L60" s="178"/>
      <c r="M60" s="181"/>
      <c r="N60" s="177"/>
      <c r="O60" s="181"/>
      <c r="P60" s="178"/>
      <c r="Q60" s="181"/>
      <c r="R60" s="177"/>
      <c r="S60" s="181"/>
      <c r="T60" s="178"/>
      <c r="U60" s="181"/>
      <c r="V60" s="177"/>
      <c r="W60" s="181"/>
      <c r="X60" s="178"/>
      <c r="Y60" s="180"/>
      <c r="Z60" s="180"/>
      <c r="AA60" s="180"/>
      <c r="AB60" s="180"/>
    </row>
    <row r="61" ht="15.85" customHeight="1">
      <c r="A61" s="181"/>
      <c r="B61" s="177"/>
      <c r="C61" s="181"/>
      <c r="D61" s="178"/>
      <c r="E61" s="181"/>
      <c r="F61" s="177"/>
      <c r="G61" s="182"/>
      <c r="H61" s="180"/>
      <c r="I61" s="181"/>
      <c r="J61" s="177"/>
      <c r="K61" s="181"/>
      <c r="L61" s="178"/>
      <c r="M61" s="181"/>
      <c r="N61" s="177"/>
      <c r="O61" s="181"/>
      <c r="P61" s="178"/>
      <c r="Q61" s="181"/>
      <c r="R61" s="177"/>
      <c r="S61" s="181"/>
      <c r="T61" s="178"/>
      <c r="U61" s="181"/>
      <c r="V61" s="177"/>
      <c r="W61" s="181"/>
      <c r="X61" s="178"/>
      <c r="Y61" s="180"/>
      <c r="Z61" s="180"/>
      <c r="AA61" s="180"/>
      <c r="AB61" s="180"/>
    </row>
    <row r="62" ht="15.85" customHeight="1">
      <c r="A62" s="181"/>
      <c r="B62" s="177"/>
      <c r="C62" s="181"/>
      <c r="D62" s="178"/>
      <c r="E62" s="181"/>
      <c r="F62" s="177"/>
      <c r="G62" s="182"/>
      <c r="H62" s="180"/>
      <c r="I62" s="181"/>
      <c r="J62" s="177"/>
      <c r="K62" s="181"/>
      <c r="L62" s="178"/>
      <c r="M62" s="181"/>
      <c r="N62" s="177"/>
      <c r="O62" s="181"/>
      <c r="P62" s="178"/>
      <c r="Q62" s="181"/>
      <c r="R62" s="177"/>
      <c r="S62" s="181"/>
      <c r="T62" s="178"/>
      <c r="U62" s="181"/>
      <c r="V62" s="177"/>
      <c r="W62" s="181"/>
      <c r="X62" s="178"/>
      <c r="Y62" s="180"/>
      <c r="Z62" s="180"/>
      <c r="AA62" s="180"/>
      <c r="AB62" s="180"/>
    </row>
    <row r="63" ht="15.85" customHeight="1">
      <c r="A63" s="181"/>
      <c r="B63" s="177"/>
      <c r="C63" s="181"/>
      <c r="D63" s="178"/>
      <c r="E63" s="181"/>
      <c r="F63" s="177"/>
      <c r="G63" s="182"/>
      <c r="H63" s="180"/>
      <c r="I63" s="181"/>
      <c r="J63" s="177"/>
      <c r="K63" s="181"/>
      <c r="L63" s="178"/>
      <c r="M63" s="181"/>
      <c r="N63" s="177"/>
      <c r="O63" s="181"/>
      <c r="P63" s="178"/>
      <c r="Q63" s="181"/>
      <c r="R63" s="177"/>
      <c r="S63" s="181"/>
      <c r="T63" s="178"/>
      <c r="U63" s="181"/>
      <c r="V63" s="177"/>
      <c r="W63" s="181"/>
      <c r="X63" s="178"/>
      <c r="Y63" s="180"/>
      <c r="Z63" s="180"/>
      <c r="AA63" s="180"/>
      <c r="AB63" s="180"/>
    </row>
    <row r="64" ht="15.85" customHeight="1">
      <c r="A64" s="181"/>
      <c r="B64" s="177"/>
      <c r="C64" s="181"/>
      <c r="D64" s="178"/>
      <c r="E64" s="181"/>
      <c r="F64" s="177"/>
      <c r="G64" s="182"/>
      <c r="H64" s="180"/>
      <c r="I64" s="181"/>
      <c r="J64" s="177"/>
      <c r="K64" s="181"/>
      <c r="L64" s="178"/>
      <c r="M64" s="181"/>
      <c r="N64" s="177"/>
      <c r="O64" s="181"/>
      <c r="P64" s="178"/>
      <c r="Q64" s="181"/>
      <c r="R64" s="177"/>
      <c r="S64" s="181"/>
      <c r="T64" s="178"/>
      <c r="U64" s="181"/>
      <c r="V64" s="177"/>
      <c r="W64" s="181"/>
      <c r="X64" s="178"/>
      <c r="Y64" s="180"/>
      <c r="Z64" s="180"/>
      <c r="AA64" s="180"/>
      <c r="AB64" s="180"/>
    </row>
    <row r="65" ht="15.85" customHeight="1">
      <c r="A65" s="181"/>
      <c r="B65" s="177"/>
      <c r="C65" s="181"/>
      <c r="D65" s="178"/>
      <c r="E65" s="181"/>
      <c r="F65" s="177"/>
      <c r="G65" s="182"/>
      <c r="H65" s="180"/>
      <c r="I65" s="181"/>
      <c r="J65" s="177"/>
      <c r="K65" s="181"/>
      <c r="L65" s="178"/>
      <c r="M65" s="181"/>
      <c r="N65" s="177"/>
      <c r="O65" s="181"/>
      <c r="P65" s="178"/>
      <c r="Q65" s="181"/>
      <c r="R65" s="177"/>
      <c r="S65" s="181"/>
      <c r="T65" s="178"/>
      <c r="U65" s="181"/>
      <c r="V65" s="177"/>
      <c r="W65" s="181"/>
      <c r="X65" s="178"/>
      <c r="Y65" s="180"/>
      <c r="Z65" s="180"/>
      <c r="AA65" s="180"/>
      <c r="AB65" s="180"/>
    </row>
    <row r="66" ht="15.85" customHeight="1">
      <c r="A66" s="181"/>
      <c r="B66" s="177"/>
      <c r="C66" s="181"/>
      <c r="D66" s="178"/>
      <c r="E66" s="181"/>
      <c r="F66" s="177"/>
      <c r="G66" s="182"/>
      <c r="H66" s="180"/>
      <c r="I66" s="181"/>
      <c r="J66" s="177"/>
      <c r="K66" s="181"/>
      <c r="L66" s="178"/>
      <c r="M66" s="181"/>
      <c r="N66" s="177"/>
      <c r="O66" s="181"/>
      <c r="P66" s="178"/>
      <c r="Q66" s="181"/>
      <c r="R66" s="177"/>
      <c r="S66" s="181"/>
      <c r="T66" s="178"/>
      <c r="U66" s="181"/>
      <c r="V66" s="177"/>
      <c r="W66" s="181"/>
      <c r="X66" s="178"/>
      <c r="Y66" s="180"/>
      <c r="Z66" s="180"/>
      <c r="AA66" s="180"/>
      <c r="AB66" s="180"/>
    </row>
    <row r="67" ht="15.85" customHeight="1">
      <c r="A67" s="181"/>
      <c r="B67" s="177"/>
      <c r="C67" s="181"/>
      <c r="D67" s="178"/>
      <c r="E67" s="181"/>
      <c r="F67" s="177"/>
      <c r="G67" s="182"/>
      <c r="H67" s="180"/>
      <c r="I67" s="181"/>
      <c r="J67" s="177"/>
      <c r="K67" s="181"/>
      <c r="L67" s="178"/>
      <c r="M67" s="181"/>
      <c r="N67" s="177"/>
      <c r="O67" s="181"/>
      <c r="P67" s="178"/>
      <c r="Q67" s="181"/>
      <c r="R67" s="177"/>
      <c r="S67" s="181"/>
      <c r="T67" s="178"/>
      <c r="U67" s="181"/>
      <c r="V67" s="177"/>
      <c r="W67" s="181"/>
      <c r="X67" s="178"/>
      <c r="Y67" s="180"/>
      <c r="Z67" s="180"/>
      <c r="AA67" s="180"/>
      <c r="AB67" s="180"/>
    </row>
    <row r="68" ht="15.85" customHeight="1">
      <c r="A68" s="181"/>
      <c r="B68" s="177"/>
      <c r="C68" s="181"/>
      <c r="D68" s="178"/>
      <c r="E68" s="181"/>
      <c r="F68" s="177"/>
      <c r="G68" s="182"/>
      <c r="H68" s="180"/>
      <c r="I68" s="181"/>
      <c r="J68" s="177"/>
      <c r="K68" s="181"/>
      <c r="L68" s="178"/>
      <c r="M68" s="181"/>
      <c r="N68" s="177"/>
      <c r="O68" s="181"/>
      <c r="P68" s="178"/>
      <c r="Q68" s="181"/>
      <c r="R68" s="177"/>
      <c r="S68" s="181"/>
      <c r="T68" s="178"/>
      <c r="U68" s="181"/>
      <c r="V68" s="177"/>
      <c r="W68" s="181"/>
      <c r="X68" s="178"/>
      <c r="Y68" s="180"/>
      <c r="Z68" s="180"/>
      <c r="AA68" s="180"/>
      <c r="AB68" s="180"/>
    </row>
    <row r="69" ht="15.85" customHeight="1">
      <c r="A69" s="181"/>
      <c r="B69" s="177"/>
      <c r="C69" s="181"/>
      <c r="D69" s="178"/>
      <c r="E69" s="181"/>
      <c r="F69" s="177"/>
      <c r="G69" s="182"/>
      <c r="H69" s="180"/>
      <c r="I69" s="181"/>
      <c r="J69" s="177"/>
      <c r="K69" s="181"/>
      <c r="L69" s="178"/>
      <c r="M69" s="181"/>
      <c r="N69" s="177"/>
      <c r="O69" s="181"/>
      <c r="P69" s="178"/>
      <c r="Q69" s="181"/>
      <c r="R69" s="177"/>
      <c r="S69" s="181"/>
      <c r="T69" s="178"/>
      <c r="U69" s="181"/>
      <c r="V69" s="177"/>
      <c r="W69" s="181"/>
      <c r="X69" s="178"/>
      <c r="Y69" s="180"/>
      <c r="Z69" s="180"/>
      <c r="AA69" s="180"/>
      <c r="AB69" s="180"/>
    </row>
    <row r="70" ht="15.85" customHeight="1">
      <c r="A70" s="183"/>
      <c r="B70" s="184"/>
      <c r="C70" s="183"/>
      <c r="D70" s="185"/>
      <c r="E70" s="183"/>
      <c r="F70" s="184"/>
      <c r="G70" s="186"/>
      <c r="H70" s="187"/>
      <c r="I70" s="183"/>
      <c r="J70" s="184"/>
      <c r="K70" s="183"/>
      <c r="L70" s="185"/>
      <c r="M70" s="183"/>
      <c r="N70" s="184"/>
      <c r="O70" s="183"/>
      <c r="P70" s="185"/>
      <c r="Q70" s="183"/>
      <c r="R70" s="184"/>
      <c r="S70" s="183"/>
      <c r="T70" s="185"/>
      <c r="U70" s="183"/>
      <c r="V70" s="184"/>
      <c r="W70" s="183"/>
      <c r="X70" s="185"/>
      <c r="Y70" s="187"/>
      <c r="Z70" s="187"/>
      <c r="AA70" s="187"/>
      <c r="AB70" s="187"/>
    </row>
  </sheetData>
  <mergeCells count="13">
    <mergeCell ref="Q2:R3"/>
    <mergeCell ref="A1:X1"/>
    <mergeCell ref="I2:J3"/>
    <mergeCell ref="S2:T3"/>
    <mergeCell ref="U2:V3"/>
    <mergeCell ref="W2:X3"/>
    <mergeCell ref="A2:B3"/>
    <mergeCell ref="C2:D3"/>
    <mergeCell ref="G2:H3"/>
    <mergeCell ref="K2:L3"/>
    <mergeCell ref="M2:N3"/>
    <mergeCell ref="E2:F3"/>
    <mergeCell ref="O2:P3"/>
  </mergeCells>
  <conditionalFormatting sqref="B4 D4 F4 H4 J4 L4 N4 P4 R4 T4 V4 X4:AB4 B5 D5 F5 H5 J5 L5 N5 P5 R5 T5 V5 X5:AB5 B6 D6 F6 H6 J6 L6 N6 P6 R6 T6 V6 X6:AB6 B7 D7 F7 H7 J7 L7 N7 P7 R7 T7 V7 X7:AB7 B8 D8 F8 H8 J8 L8 N8 P8 R8 T8 V8 X8:AB8 B9 D9 F9 H9 J9 L9 N9 P9 R9 T9 V9 X9:AB9 B10 D10 F10 H10 J10 L10 N10 P10 R10 T10 V10 X10:AB10 B11 D11 F11 H11 J11 L11 N11 P11 R11 T11 V11 X11:AB11 B12 D12 F12 H12 J12 L12 N12 P12 R12 T12 V12 X12:AB12 B13 D13 F13 H13 J13 L13 N13 P13 R13 T13 V13 X13:AB13 B14 D14 F14 H14 J14 L14 N14 P14 R14 T14 V14 X14:AB14 B15 D15 F15 H15 J15 L15 N15 P15 R15 T15 V15 X15:AB15 B16 D16 F16 H16 J16 L16 N16 P16 R16 T16 V16 X16:AB16 B17 D17 F17 H17 J17 L17 N17 P17 R17 T17 V17 X17:AB17">
    <cfRule type="cellIs" dxfId="4" priority="1" operator="lessThan"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5.xml><?xml version="1.0" encoding="utf-8"?>
<worksheet xmlns:r="http://schemas.openxmlformats.org/officeDocument/2006/relationships" xmlns="http://schemas.openxmlformats.org/spreadsheetml/2006/main">
  <dimension ref="A1:X70"/>
  <sheetViews>
    <sheetView workbookViewId="0" showGridLines="0" defaultGridColor="1"/>
  </sheetViews>
  <sheetFormatPr defaultColWidth="8.83333" defaultRowHeight="13.5" customHeight="1" outlineLevelRow="0" outlineLevelCol="0"/>
  <cols>
    <col min="1" max="1" width="8.5" style="188" customWidth="1"/>
    <col min="2" max="2" width="8.17188" style="188" customWidth="1"/>
    <col min="3" max="3" width="8.5" style="188" customWidth="1"/>
    <col min="4" max="4" width="8.17188" style="188" customWidth="1"/>
    <col min="5" max="5" width="7.35156" style="188" customWidth="1"/>
    <col min="6" max="6" width="8.17188" style="188" customWidth="1"/>
    <col min="7" max="7" width="7.35156" style="188" customWidth="1"/>
    <col min="8" max="8" width="8.17188" style="188" customWidth="1"/>
    <col min="9" max="9" width="6.67188" style="188" customWidth="1"/>
    <col min="10" max="10" width="8.17188" style="188" customWidth="1"/>
    <col min="11" max="11" width="7" style="188" customWidth="1"/>
    <col min="12" max="12" width="8.17188" style="188" customWidth="1"/>
    <col min="13" max="13" width="7.35156" style="188" customWidth="1"/>
    <col min="14" max="14" width="8.17188" style="188" customWidth="1"/>
    <col min="15" max="15" width="7.17188" style="188" customWidth="1"/>
    <col min="16" max="16" width="8.17188" style="188" customWidth="1"/>
    <col min="17" max="17" width="7.67188" style="188" customWidth="1"/>
    <col min="18" max="18" width="8.17188" style="188" customWidth="1"/>
    <col min="19" max="19" width="6.85156" style="188" customWidth="1"/>
    <col min="20" max="20" width="8.17188" style="188" customWidth="1"/>
    <col min="21" max="21" width="7" style="188" customWidth="1"/>
    <col min="22" max="22" width="8.17188" style="188" customWidth="1"/>
    <col min="23" max="23" width="7" style="188" customWidth="1"/>
    <col min="24" max="24" width="8.17188" style="188" customWidth="1"/>
    <col min="25" max="256" width="8.85156" style="188" customWidth="1"/>
  </cols>
  <sheetData>
    <row r="1" ht="13.75" customHeight="1">
      <c r="A1" s="105">
        <v>17</v>
      </c>
      <c r="B1" s="106"/>
      <c r="C1" s="106"/>
      <c r="D1" s="106"/>
      <c r="E1" s="106"/>
      <c r="F1" s="106"/>
      <c r="G1" s="106"/>
      <c r="H1" s="106"/>
      <c r="I1" s="106"/>
      <c r="J1" s="106"/>
      <c r="K1" s="106"/>
      <c r="L1" s="106"/>
      <c r="M1" s="106"/>
      <c r="N1" s="106"/>
      <c r="O1" s="106"/>
      <c r="P1" s="106"/>
      <c r="Q1" s="106"/>
      <c r="R1" s="106"/>
      <c r="S1" s="106"/>
      <c r="T1" s="106"/>
      <c r="U1" s="106"/>
      <c r="V1" s="106"/>
      <c r="W1" s="106"/>
      <c r="X1" s="107"/>
    </row>
    <row r="2" ht="14.85" customHeight="1">
      <c r="A2" t="s" s="110">
        <v>557</v>
      </c>
      <c r="B2" s="111"/>
      <c r="C2" t="s" s="110">
        <v>533</v>
      </c>
      <c r="D2" s="111"/>
      <c r="E2" t="s" s="110">
        <v>534</v>
      </c>
      <c r="F2" s="111"/>
      <c r="G2" t="s" s="110">
        <v>535</v>
      </c>
      <c r="H2" s="111"/>
      <c r="I2" t="s" s="110">
        <v>536</v>
      </c>
      <c r="J2" s="111"/>
      <c r="K2" t="s" s="110">
        <v>537</v>
      </c>
      <c r="L2" s="111"/>
      <c r="M2" t="s" s="110">
        <v>538</v>
      </c>
      <c r="N2" s="111"/>
      <c r="O2" t="s" s="110">
        <v>539</v>
      </c>
      <c r="P2" s="111"/>
      <c r="Q2" t="s" s="110">
        <v>540</v>
      </c>
      <c r="R2" s="111"/>
      <c r="S2" t="s" s="110">
        <v>541</v>
      </c>
      <c r="T2" s="111"/>
      <c r="U2" t="s" s="110">
        <v>542</v>
      </c>
      <c r="V2" s="111"/>
      <c r="W2" t="s" s="110">
        <v>543</v>
      </c>
      <c r="X2" s="111"/>
    </row>
    <row r="3" ht="15.9" customHeight="1">
      <c r="A3" s="112"/>
      <c r="B3" s="113"/>
      <c r="C3" s="112"/>
      <c r="D3" s="114"/>
      <c r="E3" s="112"/>
      <c r="F3" s="113"/>
      <c r="G3" s="112"/>
      <c r="H3" s="114"/>
      <c r="I3" s="112"/>
      <c r="J3" s="113"/>
      <c r="K3" s="112"/>
      <c r="L3" s="114"/>
      <c r="M3" s="112"/>
      <c r="N3" s="113"/>
      <c r="O3" s="112"/>
      <c r="P3" s="114"/>
      <c r="Q3" s="112"/>
      <c r="R3" s="113"/>
      <c r="S3" s="112"/>
      <c r="T3" s="114"/>
      <c r="U3" s="112"/>
      <c r="V3" s="113"/>
      <c r="W3" s="112"/>
      <c r="X3" s="113"/>
    </row>
    <row r="4" ht="15.9" customHeight="1">
      <c r="A4" t="s" s="115">
        <v>544</v>
      </c>
      <c r="B4" t="s" s="116">
        <v>559</v>
      </c>
      <c r="C4" t="s" s="117">
        <v>544</v>
      </c>
      <c r="D4" t="s" s="118">
        <v>559</v>
      </c>
      <c r="E4" t="s" s="115">
        <v>544</v>
      </c>
      <c r="F4" t="s" s="116">
        <v>559</v>
      </c>
      <c r="G4" t="s" s="117">
        <v>544</v>
      </c>
      <c r="H4" t="s" s="118">
        <v>559</v>
      </c>
      <c r="I4" t="s" s="115">
        <v>544</v>
      </c>
      <c r="J4" t="s" s="116">
        <v>559</v>
      </c>
      <c r="K4" t="s" s="117">
        <v>544</v>
      </c>
      <c r="L4" t="s" s="118">
        <v>559</v>
      </c>
      <c r="M4" t="s" s="115">
        <v>544</v>
      </c>
      <c r="N4" t="s" s="116">
        <v>559</v>
      </c>
      <c r="O4" t="s" s="117">
        <v>544</v>
      </c>
      <c r="P4" t="s" s="118">
        <v>559</v>
      </c>
      <c r="Q4" t="s" s="115">
        <v>544</v>
      </c>
      <c r="R4" t="s" s="116">
        <v>559</v>
      </c>
      <c r="S4" t="s" s="117">
        <v>544</v>
      </c>
      <c r="T4" t="s" s="118">
        <v>559</v>
      </c>
      <c r="U4" t="s" s="115">
        <v>544</v>
      </c>
      <c r="V4" t="s" s="116">
        <v>559</v>
      </c>
      <c r="W4" t="s" s="115">
        <v>544</v>
      </c>
      <c r="X4" t="s" s="116">
        <v>559</v>
      </c>
    </row>
    <row r="5" ht="15.9" customHeight="1">
      <c r="A5" t="s" s="119">
        <v>19</v>
      </c>
      <c r="B5" s="120">
        <v>141283</v>
      </c>
      <c r="C5" t="s" s="119">
        <v>19</v>
      </c>
      <c r="D5" s="121">
        <v>121803</v>
      </c>
      <c r="E5" t="s" s="151">
        <v>19</v>
      </c>
      <c r="F5" s="152">
        <v>119791</v>
      </c>
      <c r="G5" t="s" s="151">
        <v>19</v>
      </c>
      <c r="H5" s="153"/>
      <c r="I5" t="s" s="151">
        <v>19</v>
      </c>
      <c r="J5" s="152"/>
      <c r="K5" t="s" s="151">
        <v>19</v>
      </c>
      <c r="L5" s="153"/>
      <c r="M5" t="s" s="151">
        <v>19</v>
      </c>
      <c r="N5" s="152"/>
      <c r="O5" t="s" s="151">
        <v>19</v>
      </c>
      <c r="P5" s="153"/>
      <c r="Q5" t="s" s="151">
        <v>19</v>
      </c>
      <c r="R5" s="152"/>
      <c r="S5" t="s" s="151">
        <v>19</v>
      </c>
      <c r="T5" s="153"/>
      <c r="U5" t="s" s="151">
        <v>19</v>
      </c>
      <c r="V5" s="152"/>
      <c r="W5" t="s" s="151">
        <v>19</v>
      </c>
      <c r="X5" s="189"/>
    </row>
    <row r="6" ht="15.9" customHeight="1">
      <c r="A6" t="s" s="156">
        <v>42</v>
      </c>
      <c r="B6" s="125">
        <v>13651</v>
      </c>
      <c r="C6" t="s" s="156">
        <v>42</v>
      </c>
      <c r="D6" s="126">
        <v>3948</v>
      </c>
      <c r="E6" t="s" s="135">
        <v>42</v>
      </c>
      <c r="F6" s="157">
        <v>6019</v>
      </c>
      <c r="G6" t="s" s="135">
        <v>42</v>
      </c>
      <c r="H6" s="158"/>
      <c r="I6" t="s" s="135">
        <v>42</v>
      </c>
      <c r="J6" s="157"/>
      <c r="K6" t="s" s="135">
        <v>42</v>
      </c>
      <c r="L6" s="158"/>
      <c r="M6" t="s" s="135">
        <v>42</v>
      </c>
      <c r="N6" s="157"/>
      <c r="O6" t="s" s="135">
        <v>42</v>
      </c>
      <c r="P6" s="158"/>
      <c r="Q6" t="s" s="135">
        <v>42</v>
      </c>
      <c r="R6" s="157"/>
      <c r="S6" t="s" s="135">
        <v>42</v>
      </c>
      <c r="T6" s="158"/>
      <c r="U6" t="s" s="135">
        <v>42</v>
      </c>
      <c r="V6" s="157"/>
      <c r="W6" t="s" s="135">
        <v>42</v>
      </c>
      <c r="X6" s="158"/>
    </row>
    <row r="7" ht="15.9" customHeight="1">
      <c r="A7" t="s" s="156">
        <v>54</v>
      </c>
      <c r="B7" s="125">
        <v>26580</v>
      </c>
      <c r="C7" t="s" s="156">
        <v>54</v>
      </c>
      <c r="D7" s="126">
        <v>4404</v>
      </c>
      <c r="E7" t="s" s="135">
        <v>54</v>
      </c>
      <c r="F7" s="157">
        <v>5862</v>
      </c>
      <c r="G7" t="s" s="135">
        <v>54</v>
      </c>
      <c r="H7" s="158"/>
      <c r="I7" t="s" s="135">
        <v>54</v>
      </c>
      <c r="J7" s="157"/>
      <c r="K7" t="s" s="135">
        <v>54</v>
      </c>
      <c r="L7" s="158"/>
      <c r="M7" t="s" s="135">
        <v>54</v>
      </c>
      <c r="N7" s="157"/>
      <c r="O7" t="s" s="135">
        <v>54</v>
      </c>
      <c r="P7" s="158"/>
      <c r="Q7" t="s" s="135">
        <v>54</v>
      </c>
      <c r="R7" s="157"/>
      <c r="S7" t="s" s="135">
        <v>54</v>
      </c>
      <c r="T7" s="158"/>
      <c r="U7" t="s" s="135">
        <v>54</v>
      </c>
      <c r="V7" s="157"/>
      <c r="W7" t="s" s="135">
        <v>54</v>
      </c>
      <c r="X7" s="158"/>
    </row>
    <row r="8" ht="15.9" customHeight="1">
      <c r="A8" t="s" s="156">
        <v>66</v>
      </c>
      <c r="B8" s="125"/>
      <c r="C8" t="s" s="156">
        <v>66</v>
      </c>
      <c r="D8" s="126">
        <v>2713</v>
      </c>
      <c r="E8" t="s" s="135">
        <v>66</v>
      </c>
      <c r="F8" s="157">
        <v>2118</v>
      </c>
      <c r="G8" t="s" s="135">
        <v>66</v>
      </c>
      <c r="H8" s="158"/>
      <c r="I8" t="s" s="135">
        <v>66</v>
      </c>
      <c r="J8" s="157"/>
      <c r="K8" t="s" s="135">
        <v>66</v>
      </c>
      <c r="L8" s="158"/>
      <c r="M8" t="s" s="135">
        <v>66</v>
      </c>
      <c r="N8" s="157"/>
      <c r="O8" t="s" s="135">
        <v>66</v>
      </c>
      <c r="P8" s="158"/>
      <c r="Q8" t="s" s="135">
        <v>66</v>
      </c>
      <c r="R8" s="157"/>
      <c r="S8" t="s" s="135">
        <v>66</v>
      </c>
      <c r="T8" s="158"/>
      <c r="U8" t="s" s="135">
        <v>66</v>
      </c>
      <c r="V8" s="157"/>
      <c r="W8" t="s" s="135">
        <v>66</v>
      </c>
      <c r="X8" s="158"/>
    </row>
    <row r="9" ht="15.9" customHeight="1">
      <c r="A9" t="s" s="156">
        <v>78</v>
      </c>
      <c r="B9" s="125">
        <v>150838</v>
      </c>
      <c r="C9" t="s" s="156">
        <v>78</v>
      </c>
      <c r="D9" s="126">
        <v>101622</v>
      </c>
      <c r="E9" t="s" s="135">
        <v>78</v>
      </c>
      <c r="F9" s="157">
        <v>120154</v>
      </c>
      <c r="G9" t="s" s="135">
        <v>78</v>
      </c>
      <c r="H9" s="158"/>
      <c r="I9" t="s" s="135">
        <v>78</v>
      </c>
      <c r="J9" s="157"/>
      <c r="K9" t="s" s="135">
        <v>78</v>
      </c>
      <c r="L9" s="158"/>
      <c r="M9" t="s" s="135">
        <v>78</v>
      </c>
      <c r="N9" s="157"/>
      <c r="O9" t="s" s="135">
        <v>78</v>
      </c>
      <c r="P9" s="158"/>
      <c r="Q9" t="s" s="135">
        <v>78</v>
      </c>
      <c r="R9" s="157"/>
      <c r="S9" t="s" s="135">
        <v>78</v>
      </c>
      <c r="T9" s="158"/>
      <c r="U9" t="s" s="135">
        <v>78</v>
      </c>
      <c r="V9" s="157"/>
      <c r="W9" t="s" s="135">
        <v>78</v>
      </c>
      <c r="X9" s="158"/>
    </row>
    <row r="10" ht="15.9" customHeight="1">
      <c r="A10" t="s" s="156">
        <v>90</v>
      </c>
      <c r="B10" s="125">
        <v>12362</v>
      </c>
      <c r="C10" t="s" s="156">
        <v>90</v>
      </c>
      <c r="D10" s="126">
        <v>7114</v>
      </c>
      <c r="E10" t="s" s="135">
        <v>90</v>
      </c>
      <c r="F10" s="157">
        <v>6212</v>
      </c>
      <c r="G10" t="s" s="135">
        <v>90</v>
      </c>
      <c r="H10" s="158"/>
      <c r="I10" t="s" s="135">
        <v>90</v>
      </c>
      <c r="J10" s="157"/>
      <c r="K10" t="s" s="135">
        <v>90</v>
      </c>
      <c r="L10" s="158"/>
      <c r="M10" t="s" s="135">
        <v>90</v>
      </c>
      <c r="N10" s="157"/>
      <c r="O10" t="s" s="135">
        <v>90</v>
      </c>
      <c r="P10" s="158"/>
      <c r="Q10" t="s" s="135">
        <v>90</v>
      </c>
      <c r="R10" s="157"/>
      <c r="S10" t="s" s="135">
        <v>90</v>
      </c>
      <c r="T10" s="158"/>
      <c r="U10" t="s" s="135">
        <v>90</v>
      </c>
      <c r="V10" s="157"/>
      <c r="W10" t="s" s="135">
        <v>90</v>
      </c>
      <c r="X10" s="158"/>
    </row>
    <row r="11" ht="13.35" customHeight="1">
      <c r="A11" t="s" s="156">
        <v>102</v>
      </c>
      <c r="B11" s="125">
        <v>3956</v>
      </c>
      <c r="C11" t="s" s="156">
        <v>102</v>
      </c>
      <c r="D11" s="126">
        <v>922</v>
      </c>
      <c r="E11" t="s" s="135">
        <v>102</v>
      </c>
      <c r="F11" s="157">
        <v>1362</v>
      </c>
      <c r="G11" t="s" s="135">
        <v>102</v>
      </c>
      <c r="H11" s="158"/>
      <c r="I11" t="s" s="135">
        <v>102</v>
      </c>
      <c r="J11" s="157"/>
      <c r="K11" t="s" s="135">
        <v>102</v>
      </c>
      <c r="L11" s="158"/>
      <c r="M11" t="s" s="135">
        <v>102</v>
      </c>
      <c r="N11" s="157"/>
      <c r="O11" t="s" s="135">
        <v>102</v>
      </c>
      <c r="P11" s="158"/>
      <c r="Q11" t="s" s="135">
        <v>102</v>
      </c>
      <c r="R11" s="157"/>
      <c r="S11" t="s" s="135">
        <v>102</v>
      </c>
      <c r="T11" s="158"/>
      <c r="U11" t="s" s="135">
        <v>102</v>
      </c>
      <c r="V11" s="157"/>
      <c r="W11" t="s" s="135">
        <v>102</v>
      </c>
      <c r="X11" s="158"/>
    </row>
    <row r="12" ht="13.35" customHeight="1">
      <c r="A12" t="s" s="156">
        <v>114</v>
      </c>
      <c r="B12" s="125">
        <v>2532</v>
      </c>
      <c r="C12" t="s" s="156">
        <v>114</v>
      </c>
      <c r="D12" s="126">
        <v>610</v>
      </c>
      <c r="E12" t="s" s="135">
        <v>114</v>
      </c>
      <c r="F12" s="157">
        <v>1646</v>
      </c>
      <c r="G12" t="s" s="135">
        <v>114</v>
      </c>
      <c r="H12" s="158"/>
      <c r="I12" t="s" s="135">
        <v>114</v>
      </c>
      <c r="J12" s="157"/>
      <c r="K12" t="s" s="135">
        <v>114</v>
      </c>
      <c r="L12" s="158"/>
      <c r="M12" t="s" s="135">
        <v>114</v>
      </c>
      <c r="N12" s="157"/>
      <c r="O12" t="s" s="135">
        <v>114</v>
      </c>
      <c r="P12" s="158"/>
      <c r="Q12" t="s" s="135">
        <v>114</v>
      </c>
      <c r="R12" s="157"/>
      <c r="S12" t="s" s="135">
        <v>114</v>
      </c>
      <c r="T12" s="158"/>
      <c r="U12" t="s" s="135">
        <v>114</v>
      </c>
      <c r="V12" s="157"/>
      <c r="W12" t="s" s="135">
        <v>114</v>
      </c>
      <c r="X12" s="158"/>
    </row>
    <row r="13" ht="13.35" customHeight="1">
      <c r="A13" t="s" s="156">
        <v>126</v>
      </c>
      <c r="B13" s="125">
        <v>4832</v>
      </c>
      <c r="C13" t="s" s="156">
        <v>126</v>
      </c>
      <c r="D13" s="126">
        <v>1828</v>
      </c>
      <c r="E13" t="s" s="135">
        <v>126</v>
      </c>
      <c r="F13" s="157">
        <v>2782</v>
      </c>
      <c r="G13" t="s" s="135">
        <v>126</v>
      </c>
      <c r="H13" s="158"/>
      <c r="I13" t="s" s="135">
        <v>126</v>
      </c>
      <c r="J13" s="157"/>
      <c r="K13" t="s" s="135">
        <v>126</v>
      </c>
      <c r="L13" s="158"/>
      <c r="M13" t="s" s="135">
        <v>126</v>
      </c>
      <c r="N13" s="157"/>
      <c r="O13" t="s" s="135">
        <v>126</v>
      </c>
      <c r="P13" s="158"/>
      <c r="Q13" t="s" s="135">
        <v>126</v>
      </c>
      <c r="R13" s="157"/>
      <c r="S13" t="s" s="135">
        <v>126</v>
      </c>
      <c r="T13" s="158"/>
      <c r="U13" t="s" s="135">
        <v>126</v>
      </c>
      <c r="V13" s="157"/>
      <c r="W13" t="s" s="135">
        <v>126</v>
      </c>
      <c r="X13" s="158"/>
    </row>
    <row r="14" ht="13.35" customHeight="1">
      <c r="A14" t="s" s="156">
        <v>138</v>
      </c>
      <c r="B14" s="125">
        <v>7794</v>
      </c>
      <c r="C14" t="s" s="156">
        <v>138</v>
      </c>
      <c r="D14" s="126">
        <v>326</v>
      </c>
      <c r="E14" t="s" s="135">
        <v>138</v>
      </c>
      <c r="F14" s="157">
        <v>1084</v>
      </c>
      <c r="G14" t="s" s="135">
        <v>138</v>
      </c>
      <c r="H14" s="158"/>
      <c r="I14" t="s" s="135">
        <v>138</v>
      </c>
      <c r="J14" s="157"/>
      <c r="K14" t="s" s="135">
        <v>138</v>
      </c>
      <c r="L14" s="158"/>
      <c r="M14" t="s" s="135">
        <v>138</v>
      </c>
      <c r="N14" s="157"/>
      <c r="O14" t="s" s="135">
        <v>138</v>
      </c>
      <c r="P14" s="158"/>
      <c r="Q14" t="s" s="135">
        <v>138</v>
      </c>
      <c r="R14" s="157"/>
      <c r="S14" t="s" s="135">
        <v>138</v>
      </c>
      <c r="T14" s="158"/>
      <c r="U14" t="s" s="135">
        <v>138</v>
      </c>
      <c r="V14" s="157"/>
      <c r="W14" t="s" s="135">
        <v>138</v>
      </c>
      <c r="X14" s="158"/>
    </row>
    <row r="15" ht="13.35" customHeight="1">
      <c r="A15" t="s" s="156">
        <v>150</v>
      </c>
      <c r="B15" s="125">
        <v>119480</v>
      </c>
      <c r="C15" t="s" s="156">
        <v>150</v>
      </c>
      <c r="D15" s="126">
        <v>17940</v>
      </c>
      <c r="E15" t="s" s="135">
        <v>150</v>
      </c>
      <c r="F15" s="157">
        <v>17045</v>
      </c>
      <c r="G15" t="s" s="135">
        <v>150</v>
      </c>
      <c r="H15" s="158"/>
      <c r="I15" t="s" s="135">
        <v>150</v>
      </c>
      <c r="J15" s="157"/>
      <c r="K15" t="s" s="135">
        <v>150</v>
      </c>
      <c r="L15" s="158"/>
      <c r="M15" t="s" s="135">
        <v>150</v>
      </c>
      <c r="N15" s="157"/>
      <c r="O15" t="s" s="135">
        <v>150</v>
      </c>
      <c r="P15" s="158"/>
      <c r="Q15" t="s" s="135">
        <v>150</v>
      </c>
      <c r="R15" s="157"/>
      <c r="S15" t="s" s="135">
        <v>150</v>
      </c>
      <c r="T15" s="158"/>
      <c r="U15" t="s" s="135">
        <v>150</v>
      </c>
      <c r="V15" s="157"/>
      <c r="W15" t="s" s="135">
        <v>150</v>
      </c>
      <c r="X15" s="158"/>
    </row>
    <row r="16" ht="13.35" customHeight="1">
      <c r="A16" t="s" s="156">
        <v>162</v>
      </c>
      <c r="B16" s="125">
        <v>111496</v>
      </c>
      <c r="C16" t="s" s="156">
        <v>162</v>
      </c>
      <c r="D16" s="126">
        <v>67439</v>
      </c>
      <c r="E16" t="s" s="135">
        <v>162</v>
      </c>
      <c r="F16" s="157">
        <v>62183</v>
      </c>
      <c r="G16" t="s" s="135">
        <v>162</v>
      </c>
      <c r="H16" s="158"/>
      <c r="I16" t="s" s="135">
        <v>162</v>
      </c>
      <c r="J16" s="157"/>
      <c r="K16" t="s" s="135">
        <v>162</v>
      </c>
      <c r="L16" s="158"/>
      <c r="M16" t="s" s="135">
        <v>162</v>
      </c>
      <c r="N16" s="157"/>
      <c r="O16" t="s" s="135">
        <v>162</v>
      </c>
      <c r="P16" s="158"/>
      <c r="Q16" t="s" s="135">
        <v>162</v>
      </c>
      <c r="R16" s="157"/>
      <c r="S16" t="s" s="135">
        <v>162</v>
      </c>
      <c r="T16" s="158"/>
      <c r="U16" t="s" s="135">
        <v>162</v>
      </c>
      <c r="V16" s="157"/>
      <c r="W16" t="s" s="135">
        <v>162</v>
      </c>
      <c r="X16" s="158"/>
    </row>
    <row r="17" ht="13.35" customHeight="1">
      <c r="A17" t="s" s="156">
        <v>174</v>
      </c>
      <c r="B17" s="129">
        <v>24248</v>
      </c>
      <c r="C17" t="s" s="156">
        <v>174</v>
      </c>
      <c r="D17" s="130">
        <v>1488</v>
      </c>
      <c r="E17" t="s" s="135">
        <v>174</v>
      </c>
      <c r="F17" s="161">
        <v>2136</v>
      </c>
      <c r="G17" t="s" s="135">
        <v>174</v>
      </c>
      <c r="H17" s="162"/>
      <c r="I17" t="s" s="135">
        <v>174</v>
      </c>
      <c r="J17" s="161"/>
      <c r="K17" t="s" s="135">
        <v>174</v>
      </c>
      <c r="L17" s="162"/>
      <c r="M17" t="s" s="135">
        <v>174</v>
      </c>
      <c r="N17" s="161"/>
      <c r="O17" t="s" s="135">
        <v>174</v>
      </c>
      <c r="P17" s="162"/>
      <c r="Q17" t="s" s="135">
        <v>174</v>
      </c>
      <c r="R17" s="161"/>
      <c r="S17" t="s" s="135">
        <v>174</v>
      </c>
      <c r="T17" s="162"/>
      <c r="U17" t="s" s="135">
        <v>174</v>
      </c>
      <c r="V17" s="161"/>
      <c r="W17" t="s" s="135">
        <v>174</v>
      </c>
      <c r="X17" s="162"/>
    </row>
    <row r="18" ht="13.35" customHeight="1">
      <c r="A18" t="s" s="135">
        <v>211</v>
      </c>
      <c r="B18" s="136"/>
      <c r="C18" t="s" s="135">
        <v>211</v>
      </c>
      <c r="D18" s="137"/>
      <c r="E18" t="s" s="135">
        <v>211</v>
      </c>
      <c r="F18" s="136"/>
      <c r="G18" t="s" s="135">
        <v>211</v>
      </c>
      <c r="H18" s="137"/>
      <c r="I18" t="s" s="135">
        <v>211</v>
      </c>
      <c r="J18" s="136"/>
      <c r="K18" t="s" s="135">
        <v>211</v>
      </c>
      <c r="L18" s="137"/>
      <c r="M18" t="s" s="135">
        <v>211</v>
      </c>
      <c r="N18" s="136"/>
      <c r="O18" t="s" s="135">
        <v>211</v>
      </c>
      <c r="P18" s="137"/>
      <c r="Q18" t="s" s="135">
        <v>211</v>
      </c>
      <c r="R18" s="136"/>
      <c r="S18" t="s" s="135">
        <v>211</v>
      </c>
      <c r="T18" s="137"/>
      <c r="U18" t="s" s="135">
        <v>211</v>
      </c>
      <c r="V18" s="136"/>
      <c r="W18" t="s" s="135">
        <v>211</v>
      </c>
      <c r="X18" s="137"/>
    </row>
    <row r="19" ht="13.35" customHeight="1">
      <c r="A19" t="s" s="135">
        <v>223</v>
      </c>
      <c r="B19" s="136"/>
      <c r="C19" t="s" s="135">
        <v>223</v>
      </c>
      <c r="D19" s="137"/>
      <c r="E19" t="s" s="135">
        <v>223</v>
      </c>
      <c r="F19" s="136"/>
      <c r="G19" t="s" s="135">
        <v>223</v>
      </c>
      <c r="H19" s="137"/>
      <c r="I19" t="s" s="135">
        <v>223</v>
      </c>
      <c r="J19" s="136"/>
      <c r="K19" t="s" s="135">
        <v>223</v>
      </c>
      <c r="L19" s="137"/>
      <c r="M19" t="s" s="135">
        <v>223</v>
      </c>
      <c r="N19" s="136"/>
      <c r="O19" t="s" s="135">
        <v>223</v>
      </c>
      <c r="P19" s="137"/>
      <c r="Q19" t="s" s="135">
        <v>223</v>
      </c>
      <c r="R19" s="136"/>
      <c r="S19" t="s" s="135">
        <v>223</v>
      </c>
      <c r="T19" s="137"/>
      <c r="U19" t="s" s="135">
        <v>223</v>
      </c>
      <c r="V19" s="136"/>
      <c r="W19" t="s" s="135">
        <v>223</v>
      </c>
      <c r="X19" s="137"/>
    </row>
    <row r="20" ht="13.35" customHeight="1">
      <c r="A20" t="s" s="132">
        <v>235</v>
      </c>
      <c r="B20" s="133"/>
      <c r="C20" t="s" s="132">
        <v>235</v>
      </c>
      <c r="D20" s="134"/>
      <c r="E20" t="s" s="132">
        <v>235</v>
      </c>
      <c r="F20" s="133"/>
      <c r="G20" t="s" s="132">
        <v>235</v>
      </c>
      <c r="H20" s="134"/>
      <c r="I20" t="s" s="132">
        <v>235</v>
      </c>
      <c r="J20" s="133"/>
      <c r="K20" t="s" s="132">
        <v>235</v>
      </c>
      <c r="L20" s="134"/>
      <c r="M20" t="s" s="132">
        <v>235</v>
      </c>
      <c r="N20" s="133"/>
      <c r="O20" t="s" s="132">
        <v>235</v>
      </c>
      <c r="P20" s="134"/>
      <c r="Q20" t="s" s="132">
        <v>235</v>
      </c>
      <c r="R20" s="133"/>
      <c r="S20" t="s" s="132">
        <v>235</v>
      </c>
      <c r="T20" s="134"/>
      <c r="U20" t="s" s="132">
        <v>235</v>
      </c>
      <c r="V20" s="133"/>
      <c r="W20" t="s" s="132">
        <v>235</v>
      </c>
      <c r="X20" s="134"/>
    </row>
    <row r="21" ht="13.35" customHeight="1">
      <c r="A21" t="s" s="132">
        <v>247</v>
      </c>
      <c r="B21" s="133"/>
      <c r="C21" t="s" s="132">
        <v>247</v>
      </c>
      <c r="D21" s="134"/>
      <c r="E21" t="s" s="132">
        <v>247</v>
      </c>
      <c r="F21" s="133"/>
      <c r="G21" t="s" s="132">
        <v>247</v>
      </c>
      <c r="H21" s="134"/>
      <c r="I21" t="s" s="132">
        <v>247</v>
      </c>
      <c r="J21" s="133"/>
      <c r="K21" t="s" s="132">
        <v>247</v>
      </c>
      <c r="L21" s="134"/>
      <c r="M21" t="s" s="132">
        <v>247</v>
      </c>
      <c r="N21" s="133"/>
      <c r="O21" t="s" s="132">
        <v>247</v>
      </c>
      <c r="P21" s="134"/>
      <c r="Q21" t="s" s="132">
        <v>247</v>
      </c>
      <c r="R21" s="133"/>
      <c r="S21" t="s" s="132">
        <v>247</v>
      </c>
      <c r="T21" s="134"/>
      <c r="U21" t="s" s="132">
        <v>247</v>
      </c>
      <c r="V21" s="133"/>
      <c r="W21" t="s" s="132">
        <v>247</v>
      </c>
      <c r="X21" s="134"/>
    </row>
    <row r="22" ht="13.35" customHeight="1">
      <c r="A22" t="s" s="132">
        <v>259</v>
      </c>
      <c r="B22" s="133"/>
      <c r="C22" t="s" s="132">
        <v>259</v>
      </c>
      <c r="D22" s="134"/>
      <c r="E22" t="s" s="132">
        <v>259</v>
      </c>
      <c r="F22" s="133"/>
      <c r="G22" t="s" s="132">
        <v>259</v>
      </c>
      <c r="H22" s="134"/>
      <c r="I22" t="s" s="132">
        <v>259</v>
      </c>
      <c r="J22" s="133"/>
      <c r="K22" t="s" s="132">
        <v>259</v>
      </c>
      <c r="L22" s="134"/>
      <c r="M22" t="s" s="132">
        <v>259</v>
      </c>
      <c r="N22" s="133"/>
      <c r="O22" t="s" s="132">
        <v>259</v>
      </c>
      <c r="P22" s="134"/>
      <c r="Q22" t="s" s="132">
        <v>259</v>
      </c>
      <c r="R22" s="133"/>
      <c r="S22" t="s" s="132">
        <v>259</v>
      </c>
      <c r="T22" s="134"/>
      <c r="U22" t="s" s="132">
        <v>259</v>
      </c>
      <c r="V22" s="133"/>
      <c r="W22" t="s" s="132">
        <v>259</v>
      </c>
      <c r="X22" s="134"/>
    </row>
    <row r="23" ht="13.35" customHeight="1">
      <c r="A23" t="s" s="132">
        <v>271</v>
      </c>
      <c r="B23" s="133"/>
      <c r="C23" t="s" s="132">
        <v>271</v>
      </c>
      <c r="D23" s="134"/>
      <c r="E23" t="s" s="132">
        <v>271</v>
      </c>
      <c r="F23" s="133"/>
      <c r="G23" t="s" s="132">
        <v>271</v>
      </c>
      <c r="H23" s="134"/>
      <c r="I23" t="s" s="132">
        <v>271</v>
      </c>
      <c r="J23" s="133"/>
      <c r="K23" t="s" s="132">
        <v>271</v>
      </c>
      <c r="L23" s="134"/>
      <c r="M23" t="s" s="132">
        <v>271</v>
      </c>
      <c r="N23" s="133"/>
      <c r="O23" t="s" s="132">
        <v>271</v>
      </c>
      <c r="P23" s="134"/>
      <c r="Q23" t="s" s="132">
        <v>271</v>
      </c>
      <c r="R23" s="133"/>
      <c r="S23" t="s" s="132">
        <v>271</v>
      </c>
      <c r="T23" s="134"/>
      <c r="U23" t="s" s="132">
        <v>271</v>
      </c>
      <c r="V23" s="133"/>
      <c r="W23" t="s" s="132">
        <v>271</v>
      </c>
      <c r="X23" s="134"/>
    </row>
    <row r="24" ht="13.35" customHeight="1">
      <c r="A24" t="s" s="132">
        <v>283</v>
      </c>
      <c r="B24" s="133"/>
      <c r="C24" t="s" s="132">
        <v>283</v>
      </c>
      <c r="D24" s="134"/>
      <c r="E24" t="s" s="132">
        <v>283</v>
      </c>
      <c r="F24" s="133"/>
      <c r="G24" t="s" s="132">
        <v>283</v>
      </c>
      <c r="H24" s="134"/>
      <c r="I24" t="s" s="132">
        <v>283</v>
      </c>
      <c r="J24" s="133"/>
      <c r="K24" t="s" s="132">
        <v>283</v>
      </c>
      <c r="L24" s="134"/>
      <c r="M24" t="s" s="132">
        <v>283</v>
      </c>
      <c r="N24" s="133"/>
      <c r="O24" t="s" s="132">
        <v>283</v>
      </c>
      <c r="P24" s="134"/>
      <c r="Q24" t="s" s="132">
        <v>283</v>
      </c>
      <c r="R24" s="133"/>
      <c r="S24" t="s" s="132">
        <v>283</v>
      </c>
      <c r="T24" s="134"/>
      <c r="U24" t="s" s="132">
        <v>283</v>
      </c>
      <c r="V24" s="133"/>
      <c r="W24" t="s" s="132">
        <v>283</v>
      </c>
      <c r="X24" s="134"/>
    </row>
    <row r="25" ht="13.35" customHeight="1">
      <c r="A25" t="s" s="132">
        <v>295</v>
      </c>
      <c r="B25" s="133"/>
      <c r="C25" t="s" s="132">
        <v>295</v>
      </c>
      <c r="D25" s="134"/>
      <c r="E25" t="s" s="132">
        <v>295</v>
      </c>
      <c r="F25" s="133"/>
      <c r="G25" t="s" s="132">
        <v>295</v>
      </c>
      <c r="H25" s="134"/>
      <c r="I25" t="s" s="132">
        <v>295</v>
      </c>
      <c r="J25" s="133"/>
      <c r="K25" t="s" s="132">
        <v>295</v>
      </c>
      <c r="L25" s="134"/>
      <c r="M25" t="s" s="132">
        <v>295</v>
      </c>
      <c r="N25" s="133"/>
      <c r="O25" t="s" s="132">
        <v>295</v>
      </c>
      <c r="P25" s="134"/>
      <c r="Q25" t="s" s="132">
        <v>295</v>
      </c>
      <c r="R25" s="133"/>
      <c r="S25" t="s" s="132">
        <v>295</v>
      </c>
      <c r="T25" s="134"/>
      <c r="U25" t="s" s="132">
        <v>295</v>
      </c>
      <c r="V25" s="133"/>
      <c r="W25" t="s" s="132">
        <v>295</v>
      </c>
      <c r="X25" s="134"/>
    </row>
    <row r="26" ht="13.35" customHeight="1">
      <c r="A26" t="s" s="132">
        <v>307</v>
      </c>
      <c r="B26" s="133"/>
      <c r="C26" t="s" s="132">
        <v>307</v>
      </c>
      <c r="D26" s="134"/>
      <c r="E26" t="s" s="132">
        <v>307</v>
      </c>
      <c r="F26" s="133"/>
      <c r="G26" t="s" s="132">
        <v>307</v>
      </c>
      <c r="H26" s="134"/>
      <c r="I26" t="s" s="132">
        <v>307</v>
      </c>
      <c r="J26" s="133"/>
      <c r="K26" t="s" s="132">
        <v>307</v>
      </c>
      <c r="L26" s="134"/>
      <c r="M26" t="s" s="132">
        <v>307</v>
      </c>
      <c r="N26" s="133"/>
      <c r="O26" t="s" s="132">
        <v>307</v>
      </c>
      <c r="P26" s="134"/>
      <c r="Q26" t="s" s="132">
        <v>307</v>
      </c>
      <c r="R26" s="133"/>
      <c r="S26" t="s" s="132">
        <v>307</v>
      </c>
      <c r="T26" s="134"/>
      <c r="U26" t="s" s="132">
        <v>307</v>
      </c>
      <c r="V26" s="133"/>
      <c r="W26" t="s" s="132">
        <v>307</v>
      </c>
      <c r="X26" s="134"/>
    </row>
    <row r="27" ht="13.35" customHeight="1">
      <c r="A27" t="s" s="132">
        <v>319</v>
      </c>
      <c r="B27" s="133"/>
      <c r="C27" t="s" s="132">
        <v>319</v>
      </c>
      <c r="D27" s="134"/>
      <c r="E27" t="s" s="132">
        <v>319</v>
      </c>
      <c r="F27" s="133"/>
      <c r="G27" t="s" s="132">
        <v>319</v>
      </c>
      <c r="H27" s="134"/>
      <c r="I27" t="s" s="132">
        <v>319</v>
      </c>
      <c r="J27" s="133"/>
      <c r="K27" t="s" s="132">
        <v>319</v>
      </c>
      <c r="L27" s="134"/>
      <c r="M27" t="s" s="132">
        <v>319</v>
      </c>
      <c r="N27" s="133"/>
      <c r="O27" t="s" s="132">
        <v>319</v>
      </c>
      <c r="P27" s="134"/>
      <c r="Q27" t="s" s="132">
        <v>319</v>
      </c>
      <c r="R27" s="133"/>
      <c r="S27" t="s" s="132">
        <v>319</v>
      </c>
      <c r="T27" s="134"/>
      <c r="U27" t="s" s="132">
        <v>319</v>
      </c>
      <c r="V27" s="133"/>
      <c r="W27" t="s" s="132">
        <v>319</v>
      </c>
      <c r="X27" s="134"/>
    </row>
    <row r="28" ht="13.35" customHeight="1">
      <c r="A28" t="s" s="132">
        <v>331</v>
      </c>
      <c r="B28" s="133"/>
      <c r="C28" t="s" s="132">
        <v>331</v>
      </c>
      <c r="D28" s="134"/>
      <c r="E28" t="s" s="132">
        <v>331</v>
      </c>
      <c r="F28" s="133"/>
      <c r="G28" t="s" s="132">
        <v>331</v>
      </c>
      <c r="H28" s="134"/>
      <c r="I28" t="s" s="132">
        <v>331</v>
      </c>
      <c r="J28" s="133"/>
      <c r="K28" t="s" s="132">
        <v>331</v>
      </c>
      <c r="L28" s="134"/>
      <c r="M28" t="s" s="132">
        <v>331</v>
      </c>
      <c r="N28" s="133"/>
      <c r="O28" t="s" s="132">
        <v>331</v>
      </c>
      <c r="P28" s="134"/>
      <c r="Q28" t="s" s="132">
        <v>331</v>
      </c>
      <c r="R28" s="133"/>
      <c r="S28" t="s" s="132">
        <v>331</v>
      </c>
      <c r="T28" s="134"/>
      <c r="U28" t="s" s="132">
        <v>331</v>
      </c>
      <c r="V28" s="133"/>
      <c r="W28" t="s" s="132">
        <v>331</v>
      </c>
      <c r="X28" s="134"/>
    </row>
    <row r="29" ht="13.35" customHeight="1">
      <c r="A29" t="s" s="135">
        <v>343</v>
      </c>
      <c r="B29" s="136"/>
      <c r="C29" t="s" s="135">
        <v>343</v>
      </c>
      <c r="D29" s="137"/>
      <c r="E29" t="s" s="135">
        <v>343</v>
      </c>
      <c r="F29" s="136"/>
      <c r="G29" t="s" s="135">
        <v>343</v>
      </c>
      <c r="H29" s="137"/>
      <c r="I29" t="s" s="135">
        <v>343</v>
      </c>
      <c r="J29" s="136"/>
      <c r="K29" t="s" s="135">
        <v>343</v>
      </c>
      <c r="L29" s="137"/>
      <c r="M29" t="s" s="135">
        <v>343</v>
      </c>
      <c r="N29" s="136"/>
      <c r="O29" t="s" s="135">
        <v>343</v>
      </c>
      <c r="P29" s="137"/>
      <c r="Q29" t="s" s="135">
        <v>343</v>
      </c>
      <c r="R29" s="136"/>
      <c r="S29" t="s" s="135">
        <v>343</v>
      </c>
      <c r="T29" s="137"/>
      <c r="U29" t="s" s="135">
        <v>343</v>
      </c>
      <c r="V29" s="136"/>
      <c r="W29" t="s" s="135">
        <v>343</v>
      </c>
      <c r="X29" s="137"/>
    </row>
    <row r="30" ht="13.35" customHeight="1">
      <c r="A30" t="s" s="135">
        <v>355</v>
      </c>
      <c r="B30" s="136"/>
      <c r="C30" t="s" s="135">
        <v>355</v>
      </c>
      <c r="D30" s="137"/>
      <c r="E30" t="s" s="135">
        <v>355</v>
      </c>
      <c r="F30" s="136"/>
      <c r="G30" t="s" s="135">
        <v>355</v>
      </c>
      <c r="H30" s="137"/>
      <c r="I30" t="s" s="135">
        <v>355</v>
      </c>
      <c r="J30" s="136"/>
      <c r="K30" t="s" s="135">
        <v>355</v>
      </c>
      <c r="L30" s="137"/>
      <c r="M30" t="s" s="135">
        <v>355</v>
      </c>
      <c r="N30" s="136"/>
      <c r="O30" t="s" s="135">
        <v>355</v>
      </c>
      <c r="P30" s="137"/>
      <c r="Q30" t="s" s="135">
        <v>355</v>
      </c>
      <c r="R30" s="136"/>
      <c r="S30" t="s" s="135">
        <v>355</v>
      </c>
      <c r="T30" s="137"/>
      <c r="U30" t="s" s="135">
        <v>355</v>
      </c>
      <c r="V30" s="136"/>
      <c r="W30" t="s" s="135">
        <v>355</v>
      </c>
      <c r="X30" s="137"/>
    </row>
    <row r="31" ht="13.35" customHeight="1">
      <c r="A31" t="s" s="135">
        <v>367</v>
      </c>
      <c r="B31" s="136"/>
      <c r="C31" t="s" s="135">
        <v>367</v>
      </c>
      <c r="D31" s="137"/>
      <c r="E31" t="s" s="135">
        <v>367</v>
      </c>
      <c r="F31" s="136"/>
      <c r="G31" t="s" s="135">
        <v>367</v>
      </c>
      <c r="H31" s="137"/>
      <c r="I31" t="s" s="135">
        <v>367</v>
      </c>
      <c r="J31" s="136"/>
      <c r="K31" t="s" s="135">
        <v>367</v>
      </c>
      <c r="L31" s="137"/>
      <c r="M31" t="s" s="135">
        <v>367</v>
      </c>
      <c r="N31" s="136"/>
      <c r="O31" t="s" s="135">
        <v>367</v>
      </c>
      <c r="P31" s="137"/>
      <c r="Q31" t="s" s="135">
        <v>367</v>
      </c>
      <c r="R31" s="136"/>
      <c r="S31" t="s" s="135">
        <v>367</v>
      </c>
      <c r="T31" s="137"/>
      <c r="U31" t="s" s="135">
        <v>367</v>
      </c>
      <c r="V31" s="136"/>
      <c r="W31" t="s" s="135">
        <v>367</v>
      </c>
      <c r="X31" s="137"/>
    </row>
    <row r="32" ht="13.35" customHeight="1">
      <c r="A32" t="s" s="135">
        <v>379</v>
      </c>
      <c r="B32" s="136"/>
      <c r="C32" t="s" s="135">
        <v>379</v>
      </c>
      <c r="D32" s="137"/>
      <c r="E32" t="s" s="135">
        <v>379</v>
      </c>
      <c r="F32" s="136"/>
      <c r="G32" t="s" s="135">
        <v>379</v>
      </c>
      <c r="H32" s="137"/>
      <c r="I32" t="s" s="135">
        <v>379</v>
      </c>
      <c r="J32" s="136"/>
      <c r="K32" t="s" s="135">
        <v>379</v>
      </c>
      <c r="L32" s="137"/>
      <c r="M32" t="s" s="135">
        <v>379</v>
      </c>
      <c r="N32" s="136"/>
      <c r="O32" t="s" s="135">
        <v>379</v>
      </c>
      <c r="P32" s="137"/>
      <c r="Q32" t="s" s="135">
        <v>379</v>
      </c>
      <c r="R32" s="136"/>
      <c r="S32" t="s" s="135">
        <v>379</v>
      </c>
      <c r="T32" s="137"/>
      <c r="U32" t="s" s="135">
        <v>379</v>
      </c>
      <c r="V32" s="136"/>
      <c r="W32" t="s" s="135">
        <v>379</v>
      </c>
      <c r="X32" s="137"/>
    </row>
    <row r="33" ht="13.35" customHeight="1">
      <c r="A33" t="s" s="135">
        <v>391</v>
      </c>
      <c r="B33" s="136"/>
      <c r="C33" t="s" s="135">
        <v>391</v>
      </c>
      <c r="D33" s="137"/>
      <c r="E33" t="s" s="135">
        <v>391</v>
      </c>
      <c r="F33" s="136"/>
      <c r="G33" t="s" s="135">
        <v>391</v>
      </c>
      <c r="H33" s="137"/>
      <c r="I33" t="s" s="135">
        <v>391</v>
      </c>
      <c r="J33" s="136"/>
      <c r="K33" t="s" s="135">
        <v>391</v>
      </c>
      <c r="L33" s="137"/>
      <c r="M33" t="s" s="135">
        <v>391</v>
      </c>
      <c r="N33" s="136"/>
      <c r="O33" t="s" s="135">
        <v>391</v>
      </c>
      <c r="P33" s="137"/>
      <c r="Q33" t="s" s="135">
        <v>391</v>
      </c>
      <c r="R33" s="136"/>
      <c r="S33" t="s" s="135">
        <v>391</v>
      </c>
      <c r="T33" s="137"/>
      <c r="U33" t="s" s="135">
        <v>391</v>
      </c>
      <c r="V33" s="136"/>
      <c r="W33" t="s" s="135">
        <v>391</v>
      </c>
      <c r="X33" s="137"/>
    </row>
    <row r="34" ht="13.35" customHeight="1">
      <c r="A34" t="s" s="135">
        <v>403</v>
      </c>
      <c r="B34" s="136"/>
      <c r="C34" t="s" s="135">
        <v>403</v>
      </c>
      <c r="D34" s="137"/>
      <c r="E34" t="s" s="135">
        <v>403</v>
      </c>
      <c r="F34" s="136"/>
      <c r="G34" t="s" s="135">
        <v>403</v>
      </c>
      <c r="H34" s="137"/>
      <c r="I34" t="s" s="135">
        <v>403</v>
      </c>
      <c r="J34" s="136"/>
      <c r="K34" t="s" s="135">
        <v>403</v>
      </c>
      <c r="L34" s="137"/>
      <c r="M34" t="s" s="135">
        <v>403</v>
      </c>
      <c r="N34" s="136"/>
      <c r="O34" t="s" s="135">
        <v>403</v>
      </c>
      <c r="P34" s="137"/>
      <c r="Q34" t="s" s="135">
        <v>403</v>
      </c>
      <c r="R34" s="136"/>
      <c r="S34" t="s" s="135">
        <v>403</v>
      </c>
      <c r="T34" s="137"/>
      <c r="U34" t="s" s="135">
        <v>403</v>
      </c>
      <c r="V34" s="136"/>
      <c r="W34" t="s" s="135">
        <v>403</v>
      </c>
      <c r="X34" s="137"/>
    </row>
    <row r="35" ht="13.35" customHeight="1">
      <c r="A35" t="s" s="135">
        <v>415</v>
      </c>
      <c r="B35" s="136"/>
      <c r="C35" t="s" s="135">
        <v>415</v>
      </c>
      <c r="D35" s="137"/>
      <c r="E35" t="s" s="135">
        <v>415</v>
      </c>
      <c r="F35" s="136"/>
      <c r="G35" t="s" s="135">
        <v>415</v>
      </c>
      <c r="H35" s="137"/>
      <c r="I35" t="s" s="135">
        <v>415</v>
      </c>
      <c r="J35" s="136"/>
      <c r="K35" t="s" s="135">
        <v>415</v>
      </c>
      <c r="L35" s="137"/>
      <c r="M35" t="s" s="135">
        <v>415</v>
      </c>
      <c r="N35" s="136"/>
      <c r="O35" t="s" s="135">
        <v>415</v>
      </c>
      <c r="P35" s="137"/>
      <c r="Q35" t="s" s="135">
        <v>415</v>
      </c>
      <c r="R35" s="136"/>
      <c r="S35" t="s" s="135">
        <v>415</v>
      </c>
      <c r="T35" s="137"/>
      <c r="U35" t="s" s="135">
        <v>415</v>
      </c>
      <c r="V35" s="136"/>
      <c r="W35" t="s" s="135">
        <v>415</v>
      </c>
      <c r="X35" s="137"/>
    </row>
    <row r="36" ht="13.35" customHeight="1">
      <c r="A36" t="s" s="135">
        <v>427</v>
      </c>
      <c r="B36" s="136"/>
      <c r="C36" t="s" s="135">
        <v>427</v>
      </c>
      <c r="D36" s="137"/>
      <c r="E36" t="s" s="135">
        <v>427</v>
      </c>
      <c r="F36" s="136"/>
      <c r="G36" t="s" s="135">
        <v>427</v>
      </c>
      <c r="H36" s="137"/>
      <c r="I36" t="s" s="135">
        <v>427</v>
      </c>
      <c r="J36" s="136"/>
      <c r="K36" t="s" s="135">
        <v>427</v>
      </c>
      <c r="L36" s="137"/>
      <c r="M36" t="s" s="135">
        <v>427</v>
      </c>
      <c r="N36" s="136"/>
      <c r="O36" t="s" s="135">
        <v>427</v>
      </c>
      <c r="P36" s="137"/>
      <c r="Q36" t="s" s="135">
        <v>427</v>
      </c>
      <c r="R36" s="136"/>
      <c r="S36" t="s" s="135">
        <v>427</v>
      </c>
      <c r="T36" s="137"/>
      <c r="U36" t="s" s="135">
        <v>427</v>
      </c>
      <c r="V36" s="136"/>
      <c r="W36" t="s" s="135">
        <v>427</v>
      </c>
      <c r="X36" s="137"/>
    </row>
    <row r="37" ht="13.35" customHeight="1">
      <c r="A37" t="s" s="135">
        <v>439</v>
      </c>
      <c r="B37" s="136"/>
      <c r="C37" t="s" s="135">
        <v>439</v>
      </c>
      <c r="D37" s="137"/>
      <c r="E37" t="s" s="135">
        <v>439</v>
      </c>
      <c r="F37" s="136"/>
      <c r="G37" t="s" s="135">
        <v>439</v>
      </c>
      <c r="H37" s="137"/>
      <c r="I37" t="s" s="135">
        <v>439</v>
      </c>
      <c r="J37" s="136"/>
      <c r="K37" t="s" s="135">
        <v>439</v>
      </c>
      <c r="L37" s="137"/>
      <c r="M37" t="s" s="135">
        <v>439</v>
      </c>
      <c r="N37" s="136"/>
      <c r="O37" t="s" s="135">
        <v>439</v>
      </c>
      <c r="P37" s="137"/>
      <c r="Q37" t="s" s="135">
        <v>439</v>
      </c>
      <c r="R37" s="136"/>
      <c r="S37" t="s" s="135">
        <v>439</v>
      </c>
      <c r="T37" s="137"/>
      <c r="U37" t="s" s="135">
        <v>439</v>
      </c>
      <c r="V37" s="136"/>
      <c r="W37" t="s" s="135">
        <v>439</v>
      </c>
      <c r="X37" s="137"/>
    </row>
    <row r="38" ht="13.35" customHeight="1">
      <c r="A38" t="s" s="135">
        <v>451</v>
      </c>
      <c r="B38" s="136"/>
      <c r="C38" t="s" s="135">
        <v>451</v>
      </c>
      <c r="D38" s="137"/>
      <c r="E38" t="s" s="135">
        <v>451</v>
      </c>
      <c r="F38" s="136"/>
      <c r="G38" t="s" s="135">
        <v>451</v>
      </c>
      <c r="H38" s="137"/>
      <c r="I38" t="s" s="135">
        <v>451</v>
      </c>
      <c r="J38" s="136"/>
      <c r="K38" t="s" s="135">
        <v>451</v>
      </c>
      <c r="L38" s="137"/>
      <c r="M38" t="s" s="135">
        <v>451</v>
      </c>
      <c r="N38" s="136"/>
      <c r="O38" t="s" s="135">
        <v>451</v>
      </c>
      <c r="P38" s="137"/>
      <c r="Q38" t="s" s="135">
        <v>451</v>
      </c>
      <c r="R38" s="136"/>
      <c r="S38" t="s" s="135">
        <v>451</v>
      </c>
      <c r="T38" s="137"/>
      <c r="U38" t="s" s="135">
        <v>451</v>
      </c>
      <c r="V38" s="136"/>
      <c r="W38" t="s" s="135">
        <v>451</v>
      </c>
      <c r="X38" s="137"/>
    </row>
    <row r="39" ht="13.35" customHeight="1">
      <c r="A39" t="s" s="135">
        <v>463</v>
      </c>
      <c r="B39" s="136"/>
      <c r="C39" t="s" s="135">
        <v>463</v>
      </c>
      <c r="D39" s="137"/>
      <c r="E39" t="s" s="135">
        <v>463</v>
      </c>
      <c r="F39" s="136"/>
      <c r="G39" t="s" s="135">
        <v>463</v>
      </c>
      <c r="H39" s="137"/>
      <c r="I39" t="s" s="135">
        <v>463</v>
      </c>
      <c r="J39" s="136"/>
      <c r="K39" t="s" s="135">
        <v>463</v>
      </c>
      <c r="L39" s="137"/>
      <c r="M39" t="s" s="135">
        <v>463</v>
      </c>
      <c r="N39" s="136"/>
      <c r="O39" t="s" s="135">
        <v>463</v>
      </c>
      <c r="P39" s="137"/>
      <c r="Q39" t="s" s="135">
        <v>463</v>
      </c>
      <c r="R39" s="136"/>
      <c r="S39" t="s" s="135">
        <v>463</v>
      </c>
      <c r="T39" s="137"/>
      <c r="U39" t="s" s="135">
        <v>463</v>
      </c>
      <c r="V39" s="136"/>
      <c r="W39" t="s" s="135">
        <v>463</v>
      </c>
      <c r="X39" s="137"/>
    </row>
    <row r="40" ht="13.35" customHeight="1">
      <c r="A40" t="s" s="135">
        <v>475</v>
      </c>
      <c r="B40" s="136"/>
      <c r="C40" t="s" s="135">
        <v>475</v>
      </c>
      <c r="D40" s="137"/>
      <c r="E40" t="s" s="135">
        <v>475</v>
      </c>
      <c r="F40" s="136"/>
      <c r="G40" t="s" s="135">
        <v>475</v>
      </c>
      <c r="H40" s="137"/>
      <c r="I40" t="s" s="135">
        <v>475</v>
      </c>
      <c r="J40" s="136"/>
      <c r="K40" t="s" s="135">
        <v>475</v>
      </c>
      <c r="L40" s="137"/>
      <c r="M40" t="s" s="135">
        <v>475</v>
      </c>
      <c r="N40" s="136"/>
      <c r="O40" t="s" s="135">
        <v>475</v>
      </c>
      <c r="P40" s="137"/>
      <c r="Q40" t="s" s="135">
        <v>475</v>
      </c>
      <c r="R40" s="136"/>
      <c r="S40" t="s" s="135">
        <v>475</v>
      </c>
      <c r="T40" s="137"/>
      <c r="U40" t="s" s="135">
        <v>475</v>
      </c>
      <c r="V40" s="136"/>
      <c r="W40" t="s" s="135">
        <v>475</v>
      </c>
      <c r="X40" s="137"/>
    </row>
    <row r="41" ht="13.35" customHeight="1">
      <c r="A41" t="s" s="135">
        <v>487</v>
      </c>
      <c r="B41" s="136"/>
      <c r="C41" t="s" s="135">
        <v>487</v>
      </c>
      <c r="D41" s="137"/>
      <c r="E41" t="s" s="135">
        <v>487</v>
      </c>
      <c r="F41" s="136"/>
      <c r="G41" t="s" s="135">
        <v>487</v>
      </c>
      <c r="H41" s="137"/>
      <c r="I41" t="s" s="135">
        <v>487</v>
      </c>
      <c r="J41" s="136"/>
      <c r="K41" t="s" s="135">
        <v>487</v>
      </c>
      <c r="L41" s="137"/>
      <c r="M41" t="s" s="135">
        <v>487</v>
      </c>
      <c r="N41" s="136"/>
      <c r="O41" t="s" s="135">
        <v>487</v>
      </c>
      <c r="P41" s="137"/>
      <c r="Q41" t="s" s="135">
        <v>487</v>
      </c>
      <c r="R41" s="136"/>
      <c r="S41" t="s" s="135">
        <v>487</v>
      </c>
      <c r="T41" s="137"/>
      <c r="U41" t="s" s="135">
        <v>487</v>
      </c>
      <c r="V41" s="136"/>
      <c r="W41" t="s" s="135">
        <v>487</v>
      </c>
      <c r="X41" s="137"/>
    </row>
    <row r="42" ht="13.35" customHeight="1">
      <c r="A42" t="s" s="135">
        <v>499</v>
      </c>
      <c r="B42" s="136"/>
      <c r="C42" t="s" s="135">
        <v>499</v>
      </c>
      <c r="D42" s="137"/>
      <c r="E42" t="s" s="135">
        <v>499</v>
      </c>
      <c r="F42" s="136"/>
      <c r="G42" t="s" s="135">
        <v>499</v>
      </c>
      <c r="H42" s="137"/>
      <c r="I42" t="s" s="135">
        <v>499</v>
      </c>
      <c r="J42" s="136"/>
      <c r="K42" t="s" s="135">
        <v>499</v>
      </c>
      <c r="L42" s="137"/>
      <c r="M42" t="s" s="135">
        <v>499</v>
      </c>
      <c r="N42" s="136"/>
      <c r="O42" t="s" s="135">
        <v>499</v>
      </c>
      <c r="P42" s="137"/>
      <c r="Q42" t="s" s="135">
        <v>499</v>
      </c>
      <c r="R42" s="136"/>
      <c r="S42" t="s" s="135">
        <v>499</v>
      </c>
      <c r="T42" s="137"/>
      <c r="U42" t="s" s="135">
        <v>499</v>
      </c>
      <c r="V42" s="136"/>
      <c r="W42" t="s" s="135">
        <v>499</v>
      </c>
      <c r="X42" s="137"/>
    </row>
    <row r="43" ht="13.35" customHeight="1">
      <c r="A43" t="s" s="135">
        <v>511</v>
      </c>
      <c r="B43" s="136"/>
      <c r="C43" t="s" s="135">
        <v>511</v>
      </c>
      <c r="D43" s="137"/>
      <c r="E43" t="s" s="135">
        <v>511</v>
      </c>
      <c r="F43" s="136"/>
      <c r="G43" t="s" s="135">
        <v>511</v>
      </c>
      <c r="H43" s="137"/>
      <c r="I43" t="s" s="135">
        <v>511</v>
      </c>
      <c r="J43" s="136"/>
      <c r="K43" t="s" s="135">
        <v>511</v>
      </c>
      <c r="L43" s="137"/>
      <c r="M43" t="s" s="135">
        <v>511</v>
      </c>
      <c r="N43" s="136"/>
      <c r="O43" t="s" s="135">
        <v>511</v>
      </c>
      <c r="P43" s="137"/>
      <c r="Q43" t="s" s="135">
        <v>511</v>
      </c>
      <c r="R43" s="136"/>
      <c r="S43" t="s" s="135">
        <v>511</v>
      </c>
      <c r="T43" s="137"/>
      <c r="U43" t="s" s="135">
        <v>511</v>
      </c>
      <c r="V43" s="136"/>
      <c r="W43" t="s" s="135">
        <v>511</v>
      </c>
      <c r="X43" s="137"/>
    </row>
    <row r="44" ht="15.85" customHeight="1">
      <c r="A44" t="s" s="171">
        <v>186</v>
      </c>
      <c r="B44" s="172"/>
      <c r="C44" t="s" s="171">
        <v>186</v>
      </c>
      <c r="D44" s="173"/>
      <c r="E44" t="s" s="171">
        <v>186</v>
      </c>
      <c r="F44" s="172"/>
      <c r="G44" t="s" s="174">
        <v>186</v>
      </c>
      <c r="H44" s="175"/>
      <c r="I44" t="s" s="171">
        <v>186</v>
      </c>
      <c r="J44" s="172"/>
      <c r="K44" t="s" s="171">
        <v>186</v>
      </c>
      <c r="L44" s="173"/>
      <c r="M44" t="s" s="171">
        <v>186</v>
      </c>
      <c r="N44" s="172"/>
      <c r="O44" t="s" s="171">
        <v>186</v>
      </c>
      <c r="P44" s="173"/>
      <c r="Q44" t="s" s="171">
        <v>186</v>
      </c>
      <c r="R44" s="172"/>
      <c r="S44" t="s" s="171">
        <v>186</v>
      </c>
      <c r="T44" s="173"/>
      <c r="U44" t="s" s="171">
        <v>186</v>
      </c>
      <c r="V44" s="172"/>
      <c r="W44" t="s" s="171">
        <v>186</v>
      </c>
      <c r="X44" s="173"/>
    </row>
    <row r="45" ht="15.85" customHeight="1">
      <c r="A45" t="s" s="176">
        <v>198</v>
      </c>
      <c r="B45" s="177"/>
      <c r="C45" t="s" s="176">
        <v>198</v>
      </c>
      <c r="D45" s="178"/>
      <c r="E45" t="s" s="176">
        <v>198</v>
      </c>
      <c r="F45" s="177"/>
      <c r="G45" t="s" s="179">
        <v>198</v>
      </c>
      <c r="H45" s="180"/>
      <c r="I45" t="s" s="176">
        <v>198</v>
      </c>
      <c r="J45" s="177"/>
      <c r="K45" t="s" s="176">
        <v>198</v>
      </c>
      <c r="L45" s="178"/>
      <c r="M45" t="s" s="176">
        <v>198</v>
      </c>
      <c r="N45" s="177"/>
      <c r="O45" t="s" s="176">
        <v>198</v>
      </c>
      <c r="P45" s="178"/>
      <c r="Q45" t="s" s="176">
        <v>198</v>
      </c>
      <c r="R45" s="177"/>
      <c r="S45" t="s" s="176">
        <v>198</v>
      </c>
      <c r="T45" s="178"/>
      <c r="U45" t="s" s="176">
        <v>198</v>
      </c>
      <c r="V45" s="177"/>
      <c r="W45" t="s" s="176">
        <v>198</v>
      </c>
      <c r="X45" s="178"/>
    </row>
    <row r="46" ht="15.85" customHeight="1">
      <c r="A46" s="181"/>
      <c r="B46" s="177"/>
      <c r="C46" s="181"/>
      <c r="D46" s="178"/>
      <c r="E46" s="181"/>
      <c r="F46" s="177"/>
      <c r="G46" s="182"/>
      <c r="H46" s="180"/>
      <c r="I46" s="181"/>
      <c r="J46" s="177"/>
      <c r="K46" s="181"/>
      <c r="L46" s="178"/>
      <c r="M46" s="181"/>
      <c r="N46" s="177"/>
      <c r="O46" s="181"/>
      <c r="P46" s="178"/>
      <c r="Q46" s="181"/>
      <c r="R46" s="177"/>
      <c r="S46" s="181"/>
      <c r="T46" s="178"/>
      <c r="U46" s="181"/>
      <c r="V46" s="177"/>
      <c r="W46" s="181"/>
      <c r="X46" s="178"/>
    </row>
    <row r="47" ht="15.85" customHeight="1">
      <c r="A47" s="181"/>
      <c r="B47" s="177"/>
      <c r="C47" s="181"/>
      <c r="D47" s="178"/>
      <c r="E47" s="181"/>
      <c r="F47" s="177"/>
      <c r="G47" s="182"/>
      <c r="H47" s="180"/>
      <c r="I47" s="181"/>
      <c r="J47" s="177"/>
      <c r="K47" s="181"/>
      <c r="L47" s="178"/>
      <c r="M47" s="181"/>
      <c r="N47" s="177"/>
      <c r="O47" s="181"/>
      <c r="P47" s="178"/>
      <c r="Q47" s="181"/>
      <c r="R47" s="177"/>
      <c r="S47" s="181"/>
      <c r="T47" s="178"/>
      <c r="U47" s="181"/>
      <c r="V47" s="177"/>
      <c r="W47" s="181"/>
      <c r="X47" s="178"/>
    </row>
    <row r="48" ht="15.85" customHeight="1">
      <c r="A48" s="181"/>
      <c r="B48" s="177"/>
      <c r="C48" s="181"/>
      <c r="D48" s="178"/>
      <c r="E48" s="181"/>
      <c r="F48" s="177"/>
      <c r="G48" s="182"/>
      <c r="H48" s="180"/>
      <c r="I48" s="181"/>
      <c r="J48" s="177"/>
      <c r="K48" s="181"/>
      <c r="L48" s="178"/>
      <c r="M48" s="181"/>
      <c r="N48" s="177"/>
      <c r="O48" s="181"/>
      <c r="P48" s="178"/>
      <c r="Q48" s="181"/>
      <c r="R48" s="177"/>
      <c r="S48" s="181"/>
      <c r="T48" s="178"/>
      <c r="U48" s="181"/>
      <c r="V48" s="177"/>
      <c r="W48" s="181"/>
      <c r="X48" s="178"/>
    </row>
    <row r="49" ht="15.85" customHeight="1">
      <c r="A49" s="181"/>
      <c r="B49" s="177"/>
      <c r="C49" s="181"/>
      <c r="D49" s="178"/>
      <c r="E49" s="181"/>
      <c r="F49" s="177"/>
      <c r="G49" s="182"/>
      <c r="H49" s="180"/>
      <c r="I49" s="181"/>
      <c r="J49" s="177"/>
      <c r="K49" s="181"/>
      <c r="L49" s="178"/>
      <c r="M49" s="181"/>
      <c r="N49" s="177"/>
      <c r="O49" s="181"/>
      <c r="P49" s="178"/>
      <c r="Q49" s="181"/>
      <c r="R49" s="177"/>
      <c r="S49" s="181"/>
      <c r="T49" s="178"/>
      <c r="U49" s="181"/>
      <c r="V49" s="177"/>
      <c r="W49" s="181"/>
      <c r="X49" s="178"/>
    </row>
    <row r="50" ht="15.85" customHeight="1">
      <c r="A50" s="181"/>
      <c r="B50" s="177"/>
      <c r="C50" s="181"/>
      <c r="D50" s="178"/>
      <c r="E50" s="181"/>
      <c r="F50" s="177"/>
      <c r="G50" s="182"/>
      <c r="H50" s="180"/>
      <c r="I50" s="181"/>
      <c r="J50" s="177"/>
      <c r="K50" s="181"/>
      <c r="L50" s="178"/>
      <c r="M50" s="181"/>
      <c r="N50" s="177"/>
      <c r="O50" s="181"/>
      <c r="P50" s="178"/>
      <c r="Q50" s="181"/>
      <c r="R50" s="177"/>
      <c r="S50" s="181"/>
      <c r="T50" s="178"/>
      <c r="U50" s="181"/>
      <c r="V50" s="177"/>
      <c r="W50" s="181"/>
      <c r="X50" s="178"/>
    </row>
    <row r="51" ht="15.85" customHeight="1">
      <c r="A51" s="181"/>
      <c r="B51" s="177"/>
      <c r="C51" s="181"/>
      <c r="D51" s="178"/>
      <c r="E51" s="181"/>
      <c r="F51" s="177"/>
      <c r="G51" s="182"/>
      <c r="H51" s="180"/>
      <c r="I51" s="181"/>
      <c r="J51" s="177"/>
      <c r="K51" s="181"/>
      <c r="L51" s="178"/>
      <c r="M51" s="181"/>
      <c r="N51" s="177"/>
      <c r="O51" s="181"/>
      <c r="P51" s="178"/>
      <c r="Q51" s="181"/>
      <c r="R51" s="177"/>
      <c r="S51" s="181"/>
      <c r="T51" s="178"/>
      <c r="U51" s="181"/>
      <c r="V51" s="177"/>
      <c r="W51" s="181"/>
      <c r="X51" s="178"/>
    </row>
    <row r="52" ht="15.85" customHeight="1">
      <c r="A52" s="181"/>
      <c r="B52" s="177"/>
      <c r="C52" s="181"/>
      <c r="D52" s="178"/>
      <c r="E52" s="181"/>
      <c r="F52" s="177"/>
      <c r="G52" s="182"/>
      <c r="H52" s="180"/>
      <c r="I52" s="181"/>
      <c r="J52" s="177"/>
      <c r="K52" s="181"/>
      <c r="L52" s="178"/>
      <c r="M52" s="181"/>
      <c r="N52" s="177"/>
      <c r="O52" s="181"/>
      <c r="P52" s="178"/>
      <c r="Q52" s="181"/>
      <c r="R52" s="177"/>
      <c r="S52" s="181"/>
      <c r="T52" s="178"/>
      <c r="U52" s="181"/>
      <c r="V52" s="177"/>
      <c r="W52" s="181"/>
      <c r="X52" s="178"/>
    </row>
    <row r="53" ht="15.85" customHeight="1">
      <c r="A53" s="181"/>
      <c r="B53" s="177"/>
      <c r="C53" s="181"/>
      <c r="D53" s="178"/>
      <c r="E53" s="181"/>
      <c r="F53" s="177"/>
      <c r="G53" s="182"/>
      <c r="H53" s="180"/>
      <c r="I53" s="181"/>
      <c r="J53" s="177"/>
      <c r="K53" s="181"/>
      <c r="L53" s="178"/>
      <c r="M53" s="181"/>
      <c r="N53" s="177"/>
      <c r="O53" s="181"/>
      <c r="P53" s="178"/>
      <c r="Q53" s="181"/>
      <c r="R53" s="177"/>
      <c r="S53" s="181"/>
      <c r="T53" s="178"/>
      <c r="U53" s="181"/>
      <c r="V53" s="177"/>
      <c r="W53" s="181"/>
      <c r="X53" s="178"/>
    </row>
    <row r="54" ht="15.85" customHeight="1">
      <c r="A54" s="181"/>
      <c r="B54" s="177"/>
      <c r="C54" s="181"/>
      <c r="D54" s="178"/>
      <c r="E54" s="181"/>
      <c r="F54" s="177"/>
      <c r="G54" s="182"/>
      <c r="H54" s="180"/>
      <c r="I54" s="181"/>
      <c r="J54" s="177"/>
      <c r="K54" s="181"/>
      <c r="L54" s="178"/>
      <c r="M54" s="181"/>
      <c r="N54" s="177"/>
      <c r="O54" s="181"/>
      <c r="P54" s="178"/>
      <c r="Q54" s="181"/>
      <c r="R54" s="177"/>
      <c r="S54" s="181"/>
      <c r="T54" s="178"/>
      <c r="U54" s="181"/>
      <c r="V54" s="177"/>
      <c r="W54" s="181"/>
      <c r="X54" s="178"/>
    </row>
    <row r="55" ht="15.85" customHeight="1">
      <c r="A55" s="181"/>
      <c r="B55" s="177"/>
      <c r="C55" s="181"/>
      <c r="D55" s="178"/>
      <c r="E55" s="181"/>
      <c r="F55" s="177"/>
      <c r="G55" s="182"/>
      <c r="H55" s="180"/>
      <c r="I55" s="181"/>
      <c r="J55" s="177"/>
      <c r="K55" s="181"/>
      <c r="L55" s="178"/>
      <c r="M55" s="181"/>
      <c r="N55" s="177"/>
      <c r="O55" s="181"/>
      <c r="P55" s="178"/>
      <c r="Q55" s="181"/>
      <c r="R55" s="177"/>
      <c r="S55" s="181"/>
      <c r="T55" s="178"/>
      <c r="U55" s="181"/>
      <c r="V55" s="177"/>
      <c r="W55" s="181"/>
      <c r="X55" s="178"/>
    </row>
    <row r="56" ht="15.85" customHeight="1">
      <c r="A56" s="181"/>
      <c r="B56" s="177"/>
      <c r="C56" s="181"/>
      <c r="D56" s="178"/>
      <c r="E56" s="181"/>
      <c r="F56" s="177"/>
      <c r="G56" s="182"/>
      <c r="H56" s="180"/>
      <c r="I56" s="181"/>
      <c r="J56" s="177"/>
      <c r="K56" s="181"/>
      <c r="L56" s="178"/>
      <c r="M56" s="181"/>
      <c r="N56" s="177"/>
      <c r="O56" s="181"/>
      <c r="P56" s="178"/>
      <c r="Q56" s="181"/>
      <c r="R56" s="177"/>
      <c r="S56" s="181"/>
      <c r="T56" s="178"/>
      <c r="U56" s="181"/>
      <c r="V56" s="177"/>
      <c r="W56" s="181"/>
      <c r="X56" s="178"/>
    </row>
    <row r="57" ht="15.85" customHeight="1">
      <c r="A57" s="181"/>
      <c r="B57" s="177"/>
      <c r="C57" s="181"/>
      <c r="D57" s="178"/>
      <c r="E57" s="181"/>
      <c r="F57" s="177"/>
      <c r="G57" s="182"/>
      <c r="H57" s="180"/>
      <c r="I57" s="181"/>
      <c r="J57" s="177"/>
      <c r="K57" s="181"/>
      <c r="L57" s="178"/>
      <c r="M57" s="181"/>
      <c r="N57" s="177"/>
      <c r="O57" s="181"/>
      <c r="P57" s="178"/>
      <c r="Q57" s="181"/>
      <c r="R57" s="177"/>
      <c r="S57" s="181"/>
      <c r="T57" s="178"/>
      <c r="U57" s="181"/>
      <c r="V57" s="177"/>
      <c r="W57" s="181"/>
      <c r="X57" s="178"/>
    </row>
    <row r="58" ht="15.85" customHeight="1">
      <c r="A58" s="181"/>
      <c r="B58" s="177"/>
      <c r="C58" s="181"/>
      <c r="D58" s="178"/>
      <c r="E58" s="181"/>
      <c r="F58" s="177"/>
      <c r="G58" s="182"/>
      <c r="H58" s="180"/>
      <c r="I58" s="181"/>
      <c r="J58" s="177"/>
      <c r="K58" s="181"/>
      <c r="L58" s="178"/>
      <c r="M58" s="181"/>
      <c r="N58" s="177"/>
      <c r="O58" s="181"/>
      <c r="P58" s="178"/>
      <c r="Q58" s="181"/>
      <c r="R58" s="177"/>
      <c r="S58" s="181"/>
      <c r="T58" s="178"/>
      <c r="U58" s="181"/>
      <c r="V58" s="177"/>
      <c r="W58" s="181"/>
      <c r="X58" s="178"/>
    </row>
    <row r="59" ht="15.85" customHeight="1">
      <c r="A59" s="181"/>
      <c r="B59" s="177"/>
      <c r="C59" s="181"/>
      <c r="D59" s="178"/>
      <c r="E59" s="181"/>
      <c r="F59" s="177"/>
      <c r="G59" s="182"/>
      <c r="H59" s="180"/>
      <c r="I59" s="181"/>
      <c r="J59" s="177"/>
      <c r="K59" s="181"/>
      <c r="L59" s="178"/>
      <c r="M59" s="181"/>
      <c r="N59" s="177"/>
      <c r="O59" s="181"/>
      <c r="P59" s="178"/>
      <c r="Q59" s="181"/>
      <c r="R59" s="177"/>
      <c r="S59" s="181"/>
      <c r="T59" s="178"/>
      <c r="U59" s="181"/>
      <c r="V59" s="177"/>
      <c r="W59" s="181"/>
      <c r="X59" s="178"/>
    </row>
    <row r="60" ht="15.85" customHeight="1">
      <c r="A60" s="181"/>
      <c r="B60" s="177"/>
      <c r="C60" s="181"/>
      <c r="D60" s="178"/>
      <c r="E60" s="181"/>
      <c r="F60" s="177"/>
      <c r="G60" s="182"/>
      <c r="H60" s="180"/>
      <c r="I60" s="181"/>
      <c r="J60" s="177"/>
      <c r="K60" s="181"/>
      <c r="L60" s="178"/>
      <c r="M60" s="181"/>
      <c r="N60" s="177"/>
      <c r="O60" s="181"/>
      <c r="P60" s="178"/>
      <c r="Q60" s="181"/>
      <c r="R60" s="177"/>
      <c r="S60" s="181"/>
      <c r="T60" s="178"/>
      <c r="U60" s="181"/>
      <c r="V60" s="177"/>
      <c r="W60" s="181"/>
      <c r="X60" s="178"/>
    </row>
    <row r="61" ht="15.85" customHeight="1">
      <c r="A61" s="181"/>
      <c r="B61" s="177"/>
      <c r="C61" s="181"/>
      <c r="D61" s="178"/>
      <c r="E61" s="181"/>
      <c r="F61" s="177"/>
      <c r="G61" s="182"/>
      <c r="H61" s="180"/>
      <c r="I61" s="181"/>
      <c r="J61" s="177"/>
      <c r="K61" s="181"/>
      <c r="L61" s="178"/>
      <c r="M61" s="181"/>
      <c r="N61" s="177"/>
      <c r="O61" s="181"/>
      <c r="P61" s="178"/>
      <c r="Q61" s="181"/>
      <c r="R61" s="177"/>
      <c r="S61" s="181"/>
      <c r="T61" s="178"/>
      <c r="U61" s="181"/>
      <c r="V61" s="177"/>
      <c r="W61" s="181"/>
      <c r="X61" s="178"/>
    </row>
    <row r="62" ht="15.85" customHeight="1">
      <c r="A62" s="181"/>
      <c r="B62" s="177"/>
      <c r="C62" s="181"/>
      <c r="D62" s="178"/>
      <c r="E62" s="181"/>
      <c r="F62" s="177"/>
      <c r="G62" s="182"/>
      <c r="H62" s="180"/>
      <c r="I62" s="181"/>
      <c r="J62" s="177"/>
      <c r="K62" s="181"/>
      <c r="L62" s="178"/>
      <c r="M62" s="181"/>
      <c r="N62" s="177"/>
      <c r="O62" s="181"/>
      <c r="P62" s="178"/>
      <c r="Q62" s="181"/>
      <c r="R62" s="177"/>
      <c r="S62" s="181"/>
      <c r="T62" s="178"/>
      <c r="U62" s="181"/>
      <c r="V62" s="177"/>
      <c r="W62" s="181"/>
      <c r="X62" s="178"/>
    </row>
    <row r="63" ht="15.85" customHeight="1">
      <c r="A63" s="181"/>
      <c r="B63" s="177"/>
      <c r="C63" s="181"/>
      <c r="D63" s="178"/>
      <c r="E63" s="181"/>
      <c r="F63" s="177"/>
      <c r="G63" s="182"/>
      <c r="H63" s="180"/>
      <c r="I63" s="181"/>
      <c r="J63" s="177"/>
      <c r="K63" s="181"/>
      <c r="L63" s="178"/>
      <c r="M63" s="181"/>
      <c r="N63" s="177"/>
      <c r="O63" s="181"/>
      <c r="P63" s="178"/>
      <c r="Q63" s="181"/>
      <c r="R63" s="177"/>
      <c r="S63" s="181"/>
      <c r="T63" s="178"/>
      <c r="U63" s="181"/>
      <c r="V63" s="177"/>
      <c r="W63" s="181"/>
      <c r="X63" s="178"/>
    </row>
    <row r="64" ht="15.85" customHeight="1">
      <c r="A64" s="181"/>
      <c r="B64" s="177"/>
      <c r="C64" s="181"/>
      <c r="D64" s="178"/>
      <c r="E64" s="181"/>
      <c r="F64" s="177"/>
      <c r="G64" s="182"/>
      <c r="H64" s="180"/>
      <c r="I64" s="181"/>
      <c r="J64" s="177"/>
      <c r="K64" s="181"/>
      <c r="L64" s="178"/>
      <c r="M64" s="181"/>
      <c r="N64" s="177"/>
      <c r="O64" s="181"/>
      <c r="P64" s="178"/>
      <c r="Q64" s="181"/>
      <c r="R64" s="177"/>
      <c r="S64" s="181"/>
      <c r="T64" s="178"/>
      <c r="U64" s="181"/>
      <c r="V64" s="177"/>
      <c r="W64" s="181"/>
      <c r="X64" s="178"/>
    </row>
    <row r="65" ht="15.85" customHeight="1">
      <c r="A65" s="181"/>
      <c r="B65" s="177"/>
      <c r="C65" s="181"/>
      <c r="D65" s="178"/>
      <c r="E65" s="181"/>
      <c r="F65" s="177"/>
      <c r="G65" s="182"/>
      <c r="H65" s="180"/>
      <c r="I65" s="181"/>
      <c r="J65" s="177"/>
      <c r="K65" s="181"/>
      <c r="L65" s="178"/>
      <c r="M65" s="181"/>
      <c r="N65" s="177"/>
      <c r="O65" s="181"/>
      <c r="P65" s="178"/>
      <c r="Q65" s="181"/>
      <c r="R65" s="177"/>
      <c r="S65" s="181"/>
      <c r="T65" s="178"/>
      <c r="U65" s="181"/>
      <c r="V65" s="177"/>
      <c r="W65" s="181"/>
      <c r="X65" s="178"/>
    </row>
    <row r="66" ht="15.85" customHeight="1">
      <c r="A66" s="181"/>
      <c r="B66" s="177"/>
      <c r="C66" s="181"/>
      <c r="D66" s="178"/>
      <c r="E66" s="181"/>
      <c r="F66" s="177"/>
      <c r="G66" s="182"/>
      <c r="H66" s="180"/>
      <c r="I66" s="181"/>
      <c r="J66" s="177"/>
      <c r="K66" s="181"/>
      <c r="L66" s="178"/>
      <c r="M66" s="181"/>
      <c r="N66" s="177"/>
      <c r="O66" s="181"/>
      <c r="P66" s="178"/>
      <c r="Q66" s="181"/>
      <c r="R66" s="177"/>
      <c r="S66" s="181"/>
      <c r="T66" s="178"/>
      <c r="U66" s="181"/>
      <c r="V66" s="177"/>
      <c r="W66" s="181"/>
      <c r="X66" s="178"/>
    </row>
    <row r="67" ht="15.85" customHeight="1">
      <c r="A67" s="181"/>
      <c r="B67" s="177"/>
      <c r="C67" s="181"/>
      <c r="D67" s="178"/>
      <c r="E67" s="181"/>
      <c r="F67" s="177"/>
      <c r="G67" s="182"/>
      <c r="H67" s="180"/>
      <c r="I67" s="181"/>
      <c r="J67" s="177"/>
      <c r="K67" s="181"/>
      <c r="L67" s="178"/>
      <c r="M67" s="181"/>
      <c r="N67" s="177"/>
      <c r="O67" s="181"/>
      <c r="P67" s="178"/>
      <c r="Q67" s="181"/>
      <c r="R67" s="177"/>
      <c r="S67" s="181"/>
      <c r="T67" s="178"/>
      <c r="U67" s="181"/>
      <c r="V67" s="177"/>
      <c r="W67" s="181"/>
      <c r="X67" s="178"/>
    </row>
    <row r="68" ht="15.85" customHeight="1">
      <c r="A68" s="181"/>
      <c r="B68" s="177"/>
      <c r="C68" s="181"/>
      <c r="D68" s="178"/>
      <c r="E68" s="181"/>
      <c r="F68" s="177"/>
      <c r="G68" s="182"/>
      <c r="H68" s="180"/>
      <c r="I68" s="181"/>
      <c r="J68" s="177"/>
      <c r="K68" s="181"/>
      <c r="L68" s="178"/>
      <c r="M68" s="181"/>
      <c r="N68" s="177"/>
      <c r="O68" s="181"/>
      <c r="P68" s="178"/>
      <c r="Q68" s="181"/>
      <c r="R68" s="177"/>
      <c r="S68" s="181"/>
      <c r="T68" s="178"/>
      <c r="U68" s="181"/>
      <c r="V68" s="177"/>
      <c r="W68" s="181"/>
      <c r="X68" s="178"/>
    </row>
    <row r="69" ht="15.85" customHeight="1">
      <c r="A69" s="181"/>
      <c r="B69" s="177"/>
      <c r="C69" s="181"/>
      <c r="D69" s="178"/>
      <c r="E69" s="181"/>
      <c r="F69" s="177"/>
      <c r="G69" s="182"/>
      <c r="H69" s="180"/>
      <c r="I69" s="181"/>
      <c r="J69" s="177"/>
      <c r="K69" s="181"/>
      <c r="L69" s="178"/>
      <c r="M69" s="181"/>
      <c r="N69" s="177"/>
      <c r="O69" s="181"/>
      <c r="P69" s="178"/>
      <c r="Q69" s="181"/>
      <c r="R69" s="177"/>
      <c r="S69" s="181"/>
      <c r="T69" s="178"/>
      <c r="U69" s="181"/>
      <c r="V69" s="177"/>
      <c r="W69" s="181"/>
      <c r="X69" s="178"/>
    </row>
    <row r="70" ht="15.85" customHeight="1">
      <c r="A70" s="183"/>
      <c r="B70" s="184"/>
      <c r="C70" s="183"/>
      <c r="D70" s="185"/>
      <c r="E70" s="183"/>
      <c r="F70" s="184"/>
      <c r="G70" s="186"/>
      <c r="H70" s="187"/>
      <c r="I70" s="183"/>
      <c r="J70" s="184"/>
      <c r="K70" s="183"/>
      <c r="L70" s="185"/>
      <c r="M70" s="183"/>
      <c r="N70" s="184"/>
      <c r="O70" s="183"/>
      <c r="P70" s="185"/>
      <c r="Q70" s="183"/>
      <c r="R70" s="184"/>
      <c r="S70" s="183"/>
      <c r="T70" s="185"/>
      <c r="U70" s="183"/>
      <c r="V70" s="184"/>
      <c r="W70" s="183"/>
      <c r="X70" s="185"/>
    </row>
  </sheetData>
  <mergeCells count="13">
    <mergeCell ref="Q2:R3"/>
    <mergeCell ref="A1:X1"/>
    <mergeCell ref="I2:J3"/>
    <mergeCell ref="S2:T3"/>
    <mergeCell ref="U2:V3"/>
    <mergeCell ref="W2:X3"/>
    <mergeCell ref="A2:B3"/>
    <mergeCell ref="C2:D3"/>
    <mergeCell ref="G2:H3"/>
    <mergeCell ref="K2:L3"/>
    <mergeCell ref="M2:N3"/>
    <mergeCell ref="E2:F3"/>
    <mergeCell ref="O2:P3"/>
  </mergeCells>
  <conditionalFormatting sqref="B4 D4 F4 H4 J4 L4 N4 P4 R4 T4 V4 X4 B5 D5 F5 H5 J5 L5 N5 P5 R5 T5 V5 X5 B6 D6 F6 H6 J6 L6 N6 P6 R6 T6 V6 X6 B7 D7 F7 H7 J7 L7 N7 P7 R7 T7 V7 X7 B8 D8 F8 H8 J8 L8 N8 P8 R8 T8 V8 X8 B9 D9 F9 H9 J9 L9 N9 P9 R9 T9 V9 X9 B10 D10 F10 H10 J10 L10 N10 P10 R10 T10 V10 X10 B11 D11 F11 H11 J11 L11 N11 P11 R11 T11 V11 X11 B12 D12 F12 H12 J12 L12 N12 P12 R12 T12 V12 X12 B13 D13 F13 H13 J13 L13 N13 P13 R13 T13 V13 X13 B14 D14 F14 H14 J14 L14 N14 P14 R14 T14 V14 X14 B15 D15 F15 H15 J15 L15 N15 P15 R15 T15 V15 X15 B16 D16 F16 H16 J16 L16 N16 P16 R16 T16 V16 X16 B17 D17 F17 H17 J17 L17 N17 P17 R17 T17 V17 X17">
    <cfRule type="cellIs" dxfId="5" priority="1" operator="lessThan"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6.xml><?xml version="1.0" encoding="utf-8"?>
<worksheet xmlns:r="http://schemas.openxmlformats.org/officeDocument/2006/relationships" xmlns="http://schemas.openxmlformats.org/spreadsheetml/2006/main">
  <dimension ref="A1:AB70"/>
  <sheetViews>
    <sheetView workbookViewId="0" showGridLines="0" defaultGridColor="1"/>
  </sheetViews>
  <sheetFormatPr defaultColWidth="8.83333" defaultRowHeight="13.5" customHeight="1" outlineLevelRow="0" outlineLevelCol="0"/>
  <cols>
    <col min="1" max="1" width="8.5" style="190" customWidth="1"/>
    <col min="2" max="2" width="8.17188" style="190" customWidth="1"/>
    <col min="3" max="3" width="8.5" style="190" customWidth="1"/>
    <col min="4" max="4" width="8.17188" style="190" customWidth="1"/>
    <col min="5" max="5" width="7.35156" style="190" customWidth="1"/>
    <col min="6" max="6" width="8.17188" style="190" customWidth="1"/>
    <col min="7" max="7" width="7.35156" style="190" customWidth="1"/>
    <col min="8" max="8" width="8.17188" style="190" customWidth="1"/>
    <col min="9" max="9" width="6.67188" style="190" customWidth="1"/>
    <col min="10" max="10" width="8.17188" style="190" customWidth="1"/>
    <col min="11" max="11" width="7" style="190" customWidth="1"/>
    <col min="12" max="12" width="8.17188" style="190" customWidth="1"/>
    <col min="13" max="13" width="7.35156" style="190" customWidth="1"/>
    <col min="14" max="14" width="8.17188" style="190" customWidth="1"/>
    <col min="15" max="15" width="7.17188" style="190" customWidth="1"/>
    <col min="16" max="16" width="8.17188" style="190" customWidth="1"/>
    <col min="17" max="17" width="7.67188" style="190" customWidth="1"/>
    <col min="18" max="18" width="8.17188" style="190" customWidth="1"/>
    <col min="19" max="19" width="6.85156" style="190" customWidth="1"/>
    <col min="20" max="20" width="8.17188" style="190" customWidth="1"/>
    <col min="21" max="21" width="7" style="190" customWidth="1"/>
    <col min="22" max="22" width="8.17188" style="190" customWidth="1"/>
    <col min="23" max="23" width="7" style="190" customWidth="1"/>
    <col min="24" max="24" width="8.17188" style="190" customWidth="1"/>
    <col min="25" max="25" width="8.17188" style="190" customWidth="1"/>
    <col min="26" max="26" width="8.17188" style="190" customWidth="1"/>
    <col min="27" max="27" width="8.17188" style="190" customWidth="1"/>
    <col min="28" max="28" width="8.17188" style="190" customWidth="1"/>
    <col min="29" max="256" width="8.85156" style="190" customWidth="1"/>
  </cols>
  <sheetData>
    <row r="1" ht="13.75" customHeight="1">
      <c r="A1" s="105">
        <v>17</v>
      </c>
      <c r="B1" s="106"/>
      <c r="C1" s="106"/>
      <c r="D1" s="106"/>
      <c r="E1" s="106"/>
      <c r="F1" s="106"/>
      <c r="G1" s="106"/>
      <c r="H1" s="106"/>
      <c r="I1" s="106"/>
      <c r="J1" s="106"/>
      <c r="K1" s="106"/>
      <c r="L1" s="106"/>
      <c r="M1" s="106"/>
      <c r="N1" s="106"/>
      <c r="O1" s="106"/>
      <c r="P1" s="106"/>
      <c r="Q1" s="106"/>
      <c r="R1" s="106"/>
      <c r="S1" s="106"/>
      <c r="T1" s="106"/>
      <c r="U1" s="106"/>
      <c r="V1" s="106"/>
      <c r="W1" s="106"/>
      <c r="X1" s="107"/>
      <c r="Y1" s="142"/>
      <c r="Z1" s="142"/>
      <c r="AA1" s="142"/>
      <c r="AB1" s="143"/>
    </row>
    <row r="2" ht="14.85" customHeight="1">
      <c r="A2" t="s" s="110">
        <v>557</v>
      </c>
      <c r="B2" s="111"/>
      <c r="C2" t="s" s="110">
        <v>533</v>
      </c>
      <c r="D2" s="111"/>
      <c r="E2" t="s" s="110">
        <v>534</v>
      </c>
      <c r="F2" s="111"/>
      <c r="G2" t="s" s="110">
        <v>535</v>
      </c>
      <c r="H2" s="111"/>
      <c r="I2" t="s" s="110">
        <v>536</v>
      </c>
      <c r="J2" s="111"/>
      <c r="K2" t="s" s="110">
        <v>537</v>
      </c>
      <c r="L2" s="111"/>
      <c r="M2" t="s" s="110">
        <v>538</v>
      </c>
      <c r="N2" s="111"/>
      <c r="O2" t="s" s="110">
        <v>539</v>
      </c>
      <c r="P2" s="111"/>
      <c r="Q2" t="s" s="110">
        <v>540</v>
      </c>
      <c r="R2" s="111"/>
      <c r="S2" t="s" s="110">
        <v>541</v>
      </c>
      <c r="T2" s="111"/>
      <c r="U2" t="s" s="110">
        <v>542</v>
      </c>
      <c r="V2" s="111"/>
      <c r="W2" t="s" s="110">
        <v>543</v>
      </c>
      <c r="X2" s="111"/>
      <c r="Y2" s="144"/>
      <c r="Z2" s="144"/>
      <c r="AA2" s="144"/>
      <c r="AB2" s="145"/>
    </row>
    <row r="3" ht="15.9" customHeight="1">
      <c r="A3" s="112"/>
      <c r="B3" s="113"/>
      <c r="C3" s="112"/>
      <c r="D3" s="114"/>
      <c r="E3" s="112"/>
      <c r="F3" s="113"/>
      <c r="G3" s="112"/>
      <c r="H3" s="114"/>
      <c r="I3" s="112"/>
      <c r="J3" s="113"/>
      <c r="K3" s="112"/>
      <c r="L3" s="114"/>
      <c r="M3" s="112"/>
      <c r="N3" s="113"/>
      <c r="O3" s="112"/>
      <c r="P3" s="114"/>
      <c r="Q3" s="112"/>
      <c r="R3" s="113"/>
      <c r="S3" s="112"/>
      <c r="T3" s="114"/>
      <c r="U3" s="112"/>
      <c r="V3" s="113"/>
      <c r="W3" s="112"/>
      <c r="X3" s="114"/>
      <c r="Y3" s="146"/>
      <c r="Z3" s="146"/>
      <c r="AA3" s="146"/>
      <c r="AB3" s="147"/>
    </row>
    <row r="4" ht="15.9" customHeight="1">
      <c r="A4" t="s" s="115">
        <v>544</v>
      </c>
      <c r="B4" t="s" s="116">
        <v>560</v>
      </c>
      <c r="C4" t="s" s="117">
        <v>544</v>
      </c>
      <c r="D4" t="s" s="118">
        <v>560</v>
      </c>
      <c r="E4" t="s" s="115">
        <v>544</v>
      </c>
      <c r="F4" t="s" s="116">
        <v>560</v>
      </c>
      <c r="G4" t="s" s="117">
        <v>544</v>
      </c>
      <c r="H4" t="s" s="118">
        <v>560</v>
      </c>
      <c r="I4" t="s" s="115">
        <v>544</v>
      </c>
      <c r="J4" t="s" s="116">
        <v>560</v>
      </c>
      <c r="K4" t="s" s="117">
        <v>544</v>
      </c>
      <c r="L4" t="s" s="118">
        <v>560</v>
      </c>
      <c r="M4" t="s" s="115">
        <v>544</v>
      </c>
      <c r="N4" t="s" s="116">
        <v>560</v>
      </c>
      <c r="O4" t="s" s="117">
        <v>544</v>
      </c>
      <c r="P4" t="s" s="118">
        <v>560</v>
      </c>
      <c r="Q4" t="s" s="115">
        <v>544</v>
      </c>
      <c r="R4" t="s" s="116">
        <v>560</v>
      </c>
      <c r="S4" t="s" s="117">
        <v>544</v>
      </c>
      <c r="T4" t="s" s="118">
        <v>560</v>
      </c>
      <c r="U4" t="s" s="115">
        <v>544</v>
      </c>
      <c r="V4" t="s" s="116">
        <v>560</v>
      </c>
      <c r="W4" t="s" s="117">
        <v>544</v>
      </c>
      <c r="X4" t="s" s="118">
        <v>560</v>
      </c>
      <c r="Y4" s="191"/>
      <c r="Z4" s="149"/>
      <c r="AA4" s="149"/>
      <c r="AB4" s="150"/>
    </row>
    <row r="5" ht="15.9" customHeight="1">
      <c r="A5" t="s" s="119">
        <v>19</v>
      </c>
      <c r="B5" s="120"/>
      <c r="C5" t="s" s="119">
        <v>19</v>
      </c>
      <c r="D5" s="121"/>
      <c r="E5" t="s" s="151">
        <v>19</v>
      </c>
      <c r="F5" s="152">
        <v>6034</v>
      </c>
      <c r="G5" t="s" s="151">
        <v>19</v>
      </c>
      <c r="H5" s="153">
        <v>51405</v>
      </c>
      <c r="I5" t="s" s="151">
        <v>19</v>
      </c>
      <c r="J5" s="152">
        <v>55474</v>
      </c>
      <c r="K5" t="s" s="151">
        <v>19</v>
      </c>
      <c r="L5" s="153">
        <v>6528</v>
      </c>
      <c r="M5" t="s" s="151">
        <v>19</v>
      </c>
      <c r="N5" s="152"/>
      <c r="O5" t="s" s="151">
        <v>19</v>
      </c>
      <c r="P5" s="153">
        <v>6384</v>
      </c>
      <c r="Q5" t="s" s="151">
        <v>19</v>
      </c>
      <c r="R5" s="152"/>
      <c r="S5" t="s" s="151">
        <v>19</v>
      </c>
      <c r="T5" s="153"/>
      <c r="U5" t="s" s="151">
        <v>19</v>
      </c>
      <c r="V5" s="152"/>
      <c r="W5" t="s" s="151">
        <v>19</v>
      </c>
      <c r="X5" s="154"/>
      <c r="Y5" s="155"/>
      <c r="Z5" s="155"/>
      <c r="AA5" s="155"/>
      <c r="AB5" s="121"/>
    </row>
    <row r="6" ht="15.9" customHeight="1">
      <c r="A6" t="s" s="156">
        <v>42</v>
      </c>
      <c r="B6" s="125"/>
      <c r="C6" t="s" s="156">
        <v>42</v>
      </c>
      <c r="D6" s="126"/>
      <c r="E6" t="s" s="135">
        <v>42</v>
      </c>
      <c r="F6" s="157"/>
      <c r="G6" t="s" s="135">
        <v>42</v>
      </c>
      <c r="H6" s="158"/>
      <c r="I6" t="s" s="135">
        <v>42</v>
      </c>
      <c r="J6" s="157">
        <v>3492</v>
      </c>
      <c r="K6" t="s" s="135">
        <v>42</v>
      </c>
      <c r="L6" s="158"/>
      <c r="M6" t="s" s="135">
        <v>42</v>
      </c>
      <c r="N6" s="157"/>
      <c r="O6" t="s" s="135">
        <v>42</v>
      </c>
      <c r="P6" s="158"/>
      <c r="Q6" t="s" s="135">
        <v>42</v>
      </c>
      <c r="R6" s="157"/>
      <c r="S6" t="s" s="135">
        <v>42</v>
      </c>
      <c r="T6" s="158"/>
      <c r="U6" t="s" s="135">
        <v>42</v>
      </c>
      <c r="V6" s="157"/>
      <c r="W6" t="s" s="135">
        <v>42</v>
      </c>
      <c r="X6" s="159"/>
      <c r="Y6" s="160"/>
      <c r="Z6" s="160"/>
      <c r="AA6" s="160"/>
      <c r="AB6" s="126"/>
    </row>
    <row r="7" ht="15.9" customHeight="1">
      <c r="A7" t="s" s="156">
        <v>54</v>
      </c>
      <c r="B7" s="125"/>
      <c r="C7" t="s" s="156">
        <v>54</v>
      </c>
      <c r="D7" s="126">
        <v>4953</v>
      </c>
      <c r="E7" t="s" s="135">
        <v>54</v>
      </c>
      <c r="F7" s="157"/>
      <c r="G7" t="s" s="135">
        <v>54</v>
      </c>
      <c r="H7" s="158">
        <v>2238</v>
      </c>
      <c r="I7" t="s" s="135">
        <v>54</v>
      </c>
      <c r="J7" s="157"/>
      <c r="K7" t="s" s="135">
        <v>54</v>
      </c>
      <c r="L7" s="158">
        <v>3624</v>
      </c>
      <c r="M7" t="s" s="135">
        <v>54</v>
      </c>
      <c r="N7" s="157"/>
      <c r="O7" t="s" s="135">
        <v>54</v>
      </c>
      <c r="P7" s="158"/>
      <c r="Q7" t="s" s="135">
        <v>54</v>
      </c>
      <c r="R7" s="157"/>
      <c r="S7" t="s" s="135">
        <v>54</v>
      </c>
      <c r="T7" s="158"/>
      <c r="U7" t="s" s="135">
        <v>54</v>
      </c>
      <c r="V7" s="157"/>
      <c r="W7" t="s" s="135">
        <v>54</v>
      </c>
      <c r="X7" s="159"/>
      <c r="Y7" s="160"/>
      <c r="Z7" s="160"/>
      <c r="AA7" s="160"/>
      <c r="AB7" s="126"/>
    </row>
    <row r="8" ht="15.9" customHeight="1">
      <c r="A8" t="s" s="156">
        <v>66</v>
      </c>
      <c r="B8" s="125"/>
      <c r="C8" t="s" s="156">
        <v>66</v>
      </c>
      <c r="D8" s="126"/>
      <c r="E8" t="s" s="135">
        <v>66</v>
      </c>
      <c r="F8" s="157">
        <v>78</v>
      </c>
      <c r="G8" t="s" s="135">
        <v>66</v>
      </c>
      <c r="H8" s="158">
        <v>30</v>
      </c>
      <c r="I8" t="s" s="135">
        <v>66</v>
      </c>
      <c r="J8" s="157">
        <v>2088</v>
      </c>
      <c r="K8" t="s" s="135">
        <v>66</v>
      </c>
      <c r="L8" s="158"/>
      <c r="M8" t="s" s="135">
        <v>66</v>
      </c>
      <c r="N8" s="157"/>
      <c r="O8" t="s" s="135">
        <v>66</v>
      </c>
      <c r="P8" s="158"/>
      <c r="Q8" t="s" s="135">
        <v>66</v>
      </c>
      <c r="R8" s="157"/>
      <c r="S8" t="s" s="135">
        <v>66</v>
      </c>
      <c r="T8" s="158"/>
      <c r="U8" t="s" s="135">
        <v>66</v>
      </c>
      <c r="V8" s="157"/>
      <c r="W8" t="s" s="135">
        <v>66</v>
      </c>
      <c r="X8" s="159"/>
      <c r="Y8" s="160"/>
      <c r="Z8" s="160"/>
      <c r="AA8" s="160"/>
      <c r="AB8" s="126"/>
    </row>
    <row r="9" ht="15.9" customHeight="1">
      <c r="A9" t="s" s="156">
        <v>78</v>
      </c>
      <c r="B9" s="125"/>
      <c r="C9" t="s" s="156">
        <v>78</v>
      </c>
      <c r="D9" s="126">
        <v>31252</v>
      </c>
      <c r="E9" t="s" s="135">
        <v>78</v>
      </c>
      <c r="F9" s="157">
        <v>16472</v>
      </c>
      <c r="G9" t="s" s="135">
        <v>78</v>
      </c>
      <c r="H9" s="158">
        <v>106582</v>
      </c>
      <c r="I9" t="s" s="135">
        <v>78</v>
      </c>
      <c r="J9" s="157">
        <v>2832</v>
      </c>
      <c r="K9" t="s" s="135">
        <v>78</v>
      </c>
      <c r="L9" s="158">
        <v>2964</v>
      </c>
      <c r="M9" t="s" s="135">
        <v>78</v>
      </c>
      <c r="N9" s="157"/>
      <c r="O9" t="s" s="135">
        <v>78</v>
      </c>
      <c r="P9" s="158">
        <v>7776</v>
      </c>
      <c r="Q9" t="s" s="135">
        <v>78</v>
      </c>
      <c r="R9" s="157"/>
      <c r="S9" t="s" s="135">
        <v>78</v>
      </c>
      <c r="T9" s="158"/>
      <c r="U9" t="s" s="135">
        <v>78</v>
      </c>
      <c r="V9" s="157"/>
      <c r="W9" t="s" s="135">
        <v>78</v>
      </c>
      <c r="X9" s="159"/>
      <c r="Y9" s="160"/>
      <c r="Z9" s="160"/>
      <c r="AA9" s="160"/>
      <c r="AB9" s="126"/>
    </row>
    <row r="10" ht="15.9" customHeight="1">
      <c r="A10" t="s" s="156">
        <v>90</v>
      </c>
      <c r="B10" s="125"/>
      <c r="C10" t="s" s="156">
        <v>90</v>
      </c>
      <c r="D10" s="126">
        <v>1354</v>
      </c>
      <c r="E10" t="s" s="135">
        <v>90</v>
      </c>
      <c r="F10" s="157">
        <v>1480</v>
      </c>
      <c r="G10" t="s" s="135">
        <v>90</v>
      </c>
      <c r="H10" s="158">
        <v>930</v>
      </c>
      <c r="I10" t="s" s="135">
        <v>90</v>
      </c>
      <c r="J10" s="157">
        <v>2133</v>
      </c>
      <c r="K10" t="s" s="135">
        <v>90</v>
      </c>
      <c r="L10" s="158">
        <v>1637</v>
      </c>
      <c r="M10" t="s" s="135">
        <v>90</v>
      </c>
      <c r="N10" s="157"/>
      <c r="O10" t="s" s="135">
        <v>90</v>
      </c>
      <c r="P10" s="158">
        <v>1512</v>
      </c>
      <c r="Q10" t="s" s="135">
        <v>90</v>
      </c>
      <c r="R10" s="157"/>
      <c r="S10" t="s" s="135">
        <v>90</v>
      </c>
      <c r="T10" s="158"/>
      <c r="U10" t="s" s="135">
        <v>90</v>
      </c>
      <c r="V10" s="157"/>
      <c r="W10" t="s" s="135">
        <v>90</v>
      </c>
      <c r="X10" s="159"/>
      <c r="Y10" s="160"/>
      <c r="Z10" s="160"/>
      <c r="AA10" s="160"/>
      <c r="AB10" s="126"/>
    </row>
    <row r="11" ht="13.35" customHeight="1">
      <c r="A11" t="s" s="156">
        <v>102</v>
      </c>
      <c r="B11" s="125"/>
      <c r="C11" t="s" s="156">
        <v>102</v>
      </c>
      <c r="D11" s="126"/>
      <c r="E11" t="s" s="135">
        <v>102</v>
      </c>
      <c r="F11" s="157"/>
      <c r="G11" t="s" s="135">
        <v>102</v>
      </c>
      <c r="H11" s="158">
        <v>765</v>
      </c>
      <c r="I11" t="s" s="135">
        <v>102</v>
      </c>
      <c r="J11" s="157">
        <v>12</v>
      </c>
      <c r="K11" t="s" s="135">
        <v>102</v>
      </c>
      <c r="L11" s="158"/>
      <c r="M11" t="s" s="135">
        <v>102</v>
      </c>
      <c r="N11" s="157">
        <v>18</v>
      </c>
      <c r="O11" t="s" s="135">
        <v>102</v>
      </c>
      <c r="P11" s="158">
        <v>567</v>
      </c>
      <c r="Q11" t="s" s="135">
        <v>102</v>
      </c>
      <c r="R11" s="157"/>
      <c r="S11" t="s" s="135">
        <v>102</v>
      </c>
      <c r="T11" s="158"/>
      <c r="U11" t="s" s="135">
        <v>102</v>
      </c>
      <c r="V11" s="157"/>
      <c r="W11" t="s" s="135">
        <v>102</v>
      </c>
      <c r="X11" s="159"/>
      <c r="Y11" s="160"/>
      <c r="Z11" s="160"/>
      <c r="AA11" s="160"/>
      <c r="AB11" s="126"/>
    </row>
    <row r="12" ht="13.35" customHeight="1">
      <c r="A12" t="s" s="156">
        <v>114</v>
      </c>
      <c r="B12" s="125"/>
      <c r="C12" t="s" s="156">
        <v>114</v>
      </c>
      <c r="D12" s="126"/>
      <c r="E12" t="s" s="135">
        <v>114</v>
      </c>
      <c r="F12" s="157"/>
      <c r="G12" t="s" s="135">
        <v>114</v>
      </c>
      <c r="H12" s="158">
        <v>20</v>
      </c>
      <c r="I12" t="s" s="135">
        <v>114</v>
      </c>
      <c r="J12" s="157"/>
      <c r="K12" t="s" s="135">
        <v>114</v>
      </c>
      <c r="L12" s="158">
        <v>26</v>
      </c>
      <c r="M12" t="s" s="135">
        <v>114</v>
      </c>
      <c r="N12" s="157"/>
      <c r="O12" t="s" s="135">
        <v>114</v>
      </c>
      <c r="P12" s="158"/>
      <c r="Q12" t="s" s="135">
        <v>114</v>
      </c>
      <c r="R12" s="157">
        <v>1600</v>
      </c>
      <c r="S12" t="s" s="135">
        <v>114</v>
      </c>
      <c r="T12" s="158"/>
      <c r="U12" t="s" s="135">
        <v>114</v>
      </c>
      <c r="V12" s="157"/>
      <c r="W12" t="s" s="135">
        <v>114</v>
      </c>
      <c r="X12" s="159"/>
      <c r="Y12" s="160"/>
      <c r="Z12" s="160"/>
      <c r="AA12" s="160"/>
      <c r="AB12" s="126"/>
    </row>
    <row r="13" ht="13.35" customHeight="1">
      <c r="A13" t="s" s="156">
        <v>126</v>
      </c>
      <c r="B13" s="125"/>
      <c r="C13" t="s" s="156">
        <v>126</v>
      </c>
      <c r="D13" s="126">
        <v>1386</v>
      </c>
      <c r="E13" t="s" s="135">
        <v>126</v>
      </c>
      <c r="F13" s="157"/>
      <c r="G13" t="s" s="135">
        <v>126</v>
      </c>
      <c r="H13" s="158"/>
      <c r="I13" t="s" s="135">
        <v>126</v>
      </c>
      <c r="J13" s="157"/>
      <c r="K13" t="s" s="135">
        <v>126</v>
      </c>
      <c r="L13" s="158">
        <v>1980</v>
      </c>
      <c r="M13" t="s" s="135">
        <v>126</v>
      </c>
      <c r="N13" s="157">
        <v>802</v>
      </c>
      <c r="O13" t="s" s="135">
        <v>126</v>
      </c>
      <c r="P13" s="158"/>
      <c r="Q13" t="s" s="135">
        <v>126</v>
      </c>
      <c r="R13" s="157"/>
      <c r="S13" t="s" s="135">
        <v>126</v>
      </c>
      <c r="T13" s="158"/>
      <c r="U13" t="s" s="135">
        <v>126</v>
      </c>
      <c r="V13" s="157"/>
      <c r="W13" t="s" s="135">
        <v>126</v>
      </c>
      <c r="X13" s="159"/>
      <c r="Y13" s="160"/>
      <c r="Z13" s="160"/>
      <c r="AA13" s="160"/>
      <c r="AB13" s="126"/>
    </row>
    <row r="14" ht="13.35" customHeight="1">
      <c r="A14" t="s" s="156">
        <v>138</v>
      </c>
      <c r="B14" s="125"/>
      <c r="C14" t="s" s="156">
        <v>138</v>
      </c>
      <c r="D14" s="126">
        <v>676</v>
      </c>
      <c r="E14" t="s" s="135">
        <v>138</v>
      </c>
      <c r="F14" s="157"/>
      <c r="G14" t="s" s="135">
        <v>138</v>
      </c>
      <c r="H14" s="158"/>
      <c r="I14" t="s" s="135">
        <v>138</v>
      </c>
      <c r="J14" s="157">
        <v>124</v>
      </c>
      <c r="K14" t="s" s="135">
        <v>138</v>
      </c>
      <c r="L14" s="158">
        <v>960</v>
      </c>
      <c r="M14" t="s" s="135">
        <v>138</v>
      </c>
      <c r="N14" s="157"/>
      <c r="O14" t="s" s="135">
        <v>138</v>
      </c>
      <c r="P14" s="158"/>
      <c r="Q14" t="s" s="135">
        <v>138</v>
      </c>
      <c r="R14" s="157"/>
      <c r="S14" t="s" s="135">
        <v>138</v>
      </c>
      <c r="T14" s="158"/>
      <c r="U14" t="s" s="135">
        <v>138</v>
      </c>
      <c r="V14" s="157"/>
      <c r="W14" t="s" s="135">
        <v>138</v>
      </c>
      <c r="X14" s="159"/>
      <c r="Y14" s="160"/>
      <c r="Z14" s="160"/>
      <c r="AA14" s="160"/>
      <c r="AB14" s="126"/>
    </row>
    <row r="15" ht="13.35" customHeight="1">
      <c r="A15" t="s" s="156">
        <v>150</v>
      </c>
      <c r="B15" s="125"/>
      <c r="C15" t="s" s="156">
        <v>150</v>
      </c>
      <c r="D15" s="126"/>
      <c r="E15" t="s" s="135">
        <v>150</v>
      </c>
      <c r="F15" s="157"/>
      <c r="G15" t="s" s="135">
        <v>150</v>
      </c>
      <c r="H15" s="158"/>
      <c r="I15" t="s" s="135">
        <v>150</v>
      </c>
      <c r="J15" s="157">
        <v>12138</v>
      </c>
      <c r="K15" t="s" s="135">
        <v>150</v>
      </c>
      <c r="L15" s="158">
        <v>427</v>
      </c>
      <c r="M15" t="s" s="135">
        <v>150</v>
      </c>
      <c r="N15" s="157">
        <v>20</v>
      </c>
      <c r="O15" t="s" s="135">
        <v>150</v>
      </c>
      <c r="P15" s="158">
        <v>4460</v>
      </c>
      <c r="Q15" t="s" s="135">
        <v>150</v>
      </c>
      <c r="R15" s="157"/>
      <c r="S15" t="s" s="135">
        <v>150</v>
      </c>
      <c r="T15" s="158"/>
      <c r="U15" t="s" s="135">
        <v>150</v>
      </c>
      <c r="V15" s="157"/>
      <c r="W15" t="s" s="135">
        <v>150</v>
      </c>
      <c r="X15" s="159"/>
      <c r="Y15" s="160"/>
      <c r="Z15" s="160"/>
      <c r="AA15" s="160"/>
      <c r="AB15" s="126"/>
    </row>
    <row r="16" ht="13.35" customHeight="1">
      <c r="A16" t="s" s="156">
        <v>162</v>
      </c>
      <c r="B16" s="125"/>
      <c r="C16" t="s" s="156">
        <v>162</v>
      </c>
      <c r="D16" s="126"/>
      <c r="E16" t="s" s="135">
        <v>162</v>
      </c>
      <c r="F16" s="157"/>
      <c r="G16" t="s" s="135">
        <v>162</v>
      </c>
      <c r="H16" s="158">
        <v>33844</v>
      </c>
      <c r="I16" t="s" s="135">
        <v>162</v>
      </c>
      <c r="J16" s="157">
        <v>23148</v>
      </c>
      <c r="K16" t="s" s="135">
        <v>162</v>
      </c>
      <c r="L16" s="158">
        <v>72</v>
      </c>
      <c r="M16" t="s" s="135">
        <v>162</v>
      </c>
      <c r="N16" s="157">
        <v>99</v>
      </c>
      <c r="O16" t="s" s="135">
        <v>162</v>
      </c>
      <c r="P16" s="158">
        <v>5020</v>
      </c>
      <c r="Q16" t="s" s="135">
        <v>162</v>
      </c>
      <c r="R16" s="157"/>
      <c r="S16" t="s" s="135">
        <v>162</v>
      </c>
      <c r="T16" s="158"/>
      <c r="U16" t="s" s="135">
        <v>162</v>
      </c>
      <c r="V16" s="157"/>
      <c r="W16" t="s" s="135">
        <v>162</v>
      </c>
      <c r="X16" s="159"/>
      <c r="Y16" s="160"/>
      <c r="Z16" s="160"/>
      <c r="AA16" s="160"/>
      <c r="AB16" s="126"/>
    </row>
    <row r="17" ht="13.35" customHeight="1">
      <c r="A17" t="s" s="156">
        <v>174</v>
      </c>
      <c r="B17" s="129"/>
      <c r="C17" t="s" s="156">
        <v>174</v>
      </c>
      <c r="D17" s="130"/>
      <c r="E17" t="s" s="135">
        <v>174</v>
      </c>
      <c r="F17" s="161"/>
      <c r="G17" t="s" s="135">
        <v>174</v>
      </c>
      <c r="H17" s="162">
        <v>1632</v>
      </c>
      <c r="I17" t="s" s="135">
        <v>174</v>
      </c>
      <c r="J17" s="161"/>
      <c r="K17" t="s" s="135">
        <v>174</v>
      </c>
      <c r="L17" s="162">
        <v>375</v>
      </c>
      <c r="M17" t="s" s="135">
        <v>174</v>
      </c>
      <c r="N17" s="161">
        <v>49</v>
      </c>
      <c r="O17" t="s" s="135">
        <v>174</v>
      </c>
      <c r="P17" s="162">
        <v>80</v>
      </c>
      <c r="Q17" t="s" s="135">
        <v>174</v>
      </c>
      <c r="R17" s="161"/>
      <c r="S17" t="s" s="135">
        <v>174</v>
      </c>
      <c r="T17" s="162"/>
      <c r="U17" t="s" s="135">
        <v>174</v>
      </c>
      <c r="V17" s="161"/>
      <c r="W17" t="s" s="135">
        <v>174</v>
      </c>
      <c r="X17" s="163"/>
      <c r="Y17" s="164"/>
      <c r="Z17" s="164"/>
      <c r="AA17" s="164"/>
      <c r="AB17" s="130"/>
    </row>
    <row r="18" ht="13.35" customHeight="1">
      <c r="A18" t="s" s="135">
        <v>211</v>
      </c>
      <c r="B18" s="136"/>
      <c r="C18" t="s" s="135">
        <v>211</v>
      </c>
      <c r="D18" s="137"/>
      <c r="E18" t="s" s="135">
        <v>211</v>
      </c>
      <c r="F18" s="136"/>
      <c r="G18" t="s" s="135">
        <v>211</v>
      </c>
      <c r="H18" s="137"/>
      <c r="I18" t="s" s="135">
        <v>211</v>
      </c>
      <c r="J18" s="136"/>
      <c r="K18" t="s" s="135">
        <v>211</v>
      </c>
      <c r="L18" s="137"/>
      <c r="M18" t="s" s="135">
        <v>211</v>
      </c>
      <c r="N18" s="136"/>
      <c r="O18" t="s" s="135">
        <v>211</v>
      </c>
      <c r="P18" s="137"/>
      <c r="Q18" t="s" s="135">
        <v>211</v>
      </c>
      <c r="R18" s="136"/>
      <c r="S18" t="s" s="135">
        <v>211</v>
      </c>
      <c r="T18" s="137"/>
      <c r="U18" t="s" s="135">
        <v>211</v>
      </c>
      <c r="V18" s="136"/>
      <c r="W18" t="s" s="135">
        <v>211</v>
      </c>
      <c r="X18" s="167"/>
      <c r="Y18" s="167"/>
      <c r="Z18" s="167"/>
      <c r="AA18" s="167"/>
      <c r="AB18" s="137"/>
    </row>
    <row r="19" ht="13.35" customHeight="1">
      <c r="A19" t="s" s="135">
        <v>223</v>
      </c>
      <c r="B19" s="136"/>
      <c r="C19" t="s" s="135">
        <v>223</v>
      </c>
      <c r="D19" s="137"/>
      <c r="E19" t="s" s="135">
        <v>223</v>
      </c>
      <c r="F19" s="136"/>
      <c r="G19" t="s" s="135">
        <v>223</v>
      </c>
      <c r="H19" s="137"/>
      <c r="I19" t="s" s="135">
        <v>223</v>
      </c>
      <c r="J19" s="136"/>
      <c r="K19" t="s" s="135">
        <v>223</v>
      </c>
      <c r="L19" s="137"/>
      <c r="M19" t="s" s="135">
        <v>223</v>
      </c>
      <c r="N19" s="136"/>
      <c r="O19" t="s" s="135">
        <v>223</v>
      </c>
      <c r="P19" s="137"/>
      <c r="Q19" t="s" s="135">
        <v>223</v>
      </c>
      <c r="R19" s="136"/>
      <c r="S19" t="s" s="135">
        <v>223</v>
      </c>
      <c r="T19" s="137"/>
      <c r="U19" t="s" s="135">
        <v>223</v>
      </c>
      <c r="V19" s="136"/>
      <c r="W19" t="s" s="135">
        <v>223</v>
      </c>
      <c r="X19" s="167"/>
      <c r="Y19" s="167"/>
      <c r="Z19" s="167"/>
      <c r="AA19" s="167"/>
      <c r="AB19" s="137"/>
    </row>
    <row r="20" ht="13.35" customHeight="1">
      <c r="A20" t="s" s="132">
        <v>235</v>
      </c>
      <c r="B20" s="133"/>
      <c r="C20" t="s" s="132">
        <v>235</v>
      </c>
      <c r="D20" s="134"/>
      <c r="E20" t="s" s="132">
        <v>235</v>
      </c>
      <c r="F20" s="133"/>
      <c r="G20" t="s" s="132">
        <v>235</v>
      </c>
      <c r="H20" s="134"/>
      <c r="I20" t="s" s="132">
        <v>235</v>
      </c>
      <c r="J20" s="133"/>
      <c r="K20" t="s" s="132">
        <v>235</v>
      </c>
      <c r="L20" s="134"/>
      <c r="M20" t="s" s="132">
        <v>235</v>
      </c>
      <c r="N20" s="133"/>
      <c r="O20" t="s" s="132">
        <v>235</v>
      </c>
      <c r="P20" s="134"/>
      <c r="Q20" t="s" s="132">
        <v>235</v>
      </c>
      <c r="R20" s="133"/>
      <c r="S20" t="s" s="132">
        <v>235</v>
      </c>
      <c r="T20" s="134"/>
      <c r="U20" t="s" s="132">
        <v>235</v>
      </c>
      <c r="V20" s="133"/>
      <c r="W20" t="s" s="132">
        <v>235</v>
      </c>
      <c r="X20" s="170"/>
      <c r="Y20" s="170"/>
      <c r="Z20" s="170"/>
      <c r="AA20" s="170"/>
      <c r="AB20" s="134"/>
    </row>
    <row r="21" ht="13.35" customHeight="1">
      <c r="A21" t="s" s="132">
        <v>247</v>
      </c>
      <c r="B21" s="133"/>
      <c r="C21" t="s" s="132">
        <v>247</v>
      </c>
      <c r="D21" s="134"/>
      <c r="E21" t="s" s="132">
        <v>247</v>
      </c>
      <c r="F21" s="133"/>
      <c r="G21" t="s" s="132">
        <v>247</v>
      </c>
      <c r="H21" s="134"/>
      <c r="I21" t="s" s="132">
        <v>247</v>
      </c>
      <c r="J21" s="133"/>
      <c r="K21" t="s" s="132">
        <v>247</v>
      </c>
      <c r="L21" s="134"/>
      <c r="M21" t="s" s="132">
        <v>247</v>
      </c>
      <c r="N21" s="133"/>
      <c r="O21" t="s" s="132">
        <v>247</v>
      </c>
      <c r="P21" s="134"/>
      <c r="Q21" t="s" s="132">
        <v>247</v>
      </c>
      <c r="R21" s="133"/>
      <c r="S21" t="s" s="132">
        <v>247</v>
      </c>
      <c r="T21" s="134"/>
      <c r="U21" t="s" s="132">
        <v>247</v>
      </c>
      <c r="V21" s="133"/>
      <c r="W21" t="s" s="132">
        <v>247</v>
      </c>
      <c r="X21" s="170"/>
      <c r="Y21" s="170"/>
      <c r="Z21" s="170"/>
      <c r="AA21" s="170"/>
      <c r="AB21" s="134"/>
    </row>
    <row r="22" ht="13.35" customHeight="1">
      <c r="A22" t="s" s="132">
        <v>259</v>
      </c>
      <c r="B22" s="133"/>
      <c r="C22" t="s" s="132">
        <v>259</v>
      </c>
      <c r="D22" s="134"/>
      <c r="E22" t="s" s="132">
        <v>259</v>
      </c>
      <c r="F22" s="133"/>
      <c r="G22" t="s" s="132">
        <v>259</v>
      </c>
      <c r="H22" s="134"/>
      <c r="I22" t="s" s="132">
        <v>259</v>
      </c>
      <c r="J22" s="133"/>
      <c r="K22" t="s" s="132">
        <v>259</v>
      </c>
      <c r="L22" s="134"/>
      <c r="M22" t="s" s="132">
        <v>259</v>
      </c>
      <c r="N22" s="133"/>
      <c r="O22" t="s" s="132">
        <v>259</v>
      </c>
      <c r="P22" s="134"/>
      <c r="Q22" t="s" s="132">
        <v>259</v>
      </c>
      <c r="R22" s="133"/>
      <c r="S22" t="s" s="132">
        <v>259</v>
      </c>
      <c r="T22" s="134"/>
      <c r="U22" t="s" s="132">
        <v>259</v>
      </c>
      <c r="V22" s="133"/>
      <c r="W22" t="s" s="132">
        <v>259</v>
      </c>
      <c r="X22" s="170"/>
      <c r="Y22" s="170"/>
      <c r="Z22" s="170"/>
      <c r="AA22" s="170"/>
      <c r="AB22" s="134"/>
    </row>
    <row r="23" ht="13.35" customHeight="1">
      <c r="A23" t="s" s="132">
        <v>271</v>
      </c>
      <c r="B23" s="133"/>
      <c r="C23" t="s" s="132">
        <v>271</v>
      </c>
      <c r="D23" s="134"/>
      <c r="E23" t="s" s="132">
        <v>271</v>
      </c>
      <c r="F23" s="133"/>
      <c r="G23" t="s" s="132">
        <v>271</v>
      </c>
      <c r="H23" s="134"/>
      <c r="I23" t="s" s="132">
        <v>271</v>
      </c>
      <c r="J23" s="133"/>
      <c r="K23" t="s" s="132">
        <v>271</v>
      </c>
      <c r="L23" s="134"/>
      <c r="M23" t="s" s="132">
        <v>271</v>
      </c>
      <c r="N23" s="133"/>
      <c r="O23" t="s" s="132">
        <v>271</v>
      </c>
      <c r="P23" s="134"/>
      <c r="Q23" t="s" s="132">
        <v>271</v>
      </c>
      <c r="R23" s="133"/>
      <c r="S23" t="s" s="132">
        <v>271</v>
      </c>
      <c r="T23" s="134"/>
      <c r="U23" t="s" s="132">
        <v>271</v>
      </c>
      <c r="V23" s="133"/>
      <c r="W23" t="s" s="132">
        <v>271</v>
      </c>
      <c r="X23" s="170"/>
      <c r="Y23" s="170"/>
      <c r="Z23" s="170"/>
      <c r="AA23" s="170"/>
      <c r="AB23" s="134"/>
    </row>
    <row r="24" ht="13.35" customHeight="1">
      <c r="A24" t="s" s="132">
        <v>283</v>
      </c>
      <c r="B24" s="133"/>
      <c r="C24" t="s" s="132">
        <v>283</v>
      </c>
      <c r="D24" s="134"/>
      <c r="E24" t="s" s="132">
        <v>283</v>
      </c>
      <c r="F24" s="133"/>
      <c r="G24" t="s" s="132">
        <v>283</v>
      </c>
      <c r="H24" s="134"/>
      <c r="I24" t="s" s="132">
        <v>283</v>
      </c>
      <c r="J24" s="133"/>
      <c r="K24" t="s" s="132">
        <v>283</v>
      </c>
      <c r="L24" s="134"/>
      <c r="M24" t="s" s="132">
        <v>283</v>
      </c>
      <c r="N24" s="133"/>
      <c r="O24" t="s" s="132">
        <v>283</v>
      </c>
      <c r="P24" s="134"/>
      <c r="Q24" t="s" s="132">
        <v>283</v>
      </c>
      <c r="R24" s="133"/>
      <c r="S24" t="s" s="132">
        <v>283</v>
      </c>
      <c r="T24" s="134"/>
      <c r="U24" t="s" s="132">
        <v>283</v>
      </c>
      <c r="V24" s="133"/>
      <c r="W24" t="s" s="132">
        <v>283</v>
      </c>
      <c r="X24" s="170"/>
      <c r="Y24" s="170"/>
      <c r="Z24" s="170"/>
      <c r="AA24" s="170"/>
      <c r="AB24" s="134"/>
    </row>
    <row r="25" ht="13.35" customHeight="1">
      <c r="A25" t="s" s="132">
        <v>295</v>
      </c>
      <c r="B25" s="133"/>
      <c r="C25" t="s" s="132">
        <v>295</v>
      </c>
      <c r="D25" s="134"/>
      <c r="E25" t="s" s="132">
        <v>295</v>
      </c>
      <c r="F25" s="133"/>
      <c r="G25" t="s" s="132">
        <v>295</v>
      </c>
      <c r="H25" s="134"/>
      <c r="I25" t="s" s="132">
        <v>295</v>
      </c>
      <c r="J25" s="133"/>
      <c r="K25" t="s" s="132">
        <v>295</v>
      </c>
      <c r="L25" s="134"/>
      <c r="M25" t="s" s="132">
        <v>295</v>
      </c>
      <c r="N25" s="133"/>
      <c r="O25" t="s" s="132">
        <v>295</v>
      </c>
      <c r="P25" s="134"/>
      <c r="Q25" t="s" s="132">
        <v>295</v>
      </c>
      <c r="R25" s="133"/>
      <c r="S25" t="s" s="132">
        <v>295</v>
      </c>
      <c r="T25" s="134"/>
      <c r="U25" t="s" s="132">
        <v>295</v>
      </c>
      <c r="V25" s="133"/>
      <c r="W25" t="s" s="132">
        <v>295</v>
      </c>
      <c r="X25" s="170"/>
      <c r="Y25" s="170"/>
      <c r="Z25" s="170"/>
      <c r="AA25" s="170"/>
      <c r="AB25" s="134"/>
    </row>
    <row r="26" ht="13.35" customHeight="1">
      <c r="A26" t="s" s="132">
        <v>307</v>
      </c>
      <c r="B26" s="133"/>
      <c r="C26" t="s" s="132">
        <v>307</v>
      </c>
      <c r="D26" s="134"/>
      <c r="E26" t="s" s="132">
        <v>307</v>
      </c>
      <c r="F26" s="133"/>
      <c r="G26" t="s" s="132">
        <v>307</v>
      </c>
      <c r="H26" s="134"/>
      <c r="I26" t="s" s="132">
        <v>307</v>
      </c>
      <c r="J26" s="133"/>
      <c r="K26" t="s" s="132">
        <v>307</v>
      </c>
      <c r="L26" s="134"/>
      <c r="M26" t="s" s="132">
        <v>307</v>
      </c>
      <c r="N26" s="133"/>
      <c r="O26" t="s" s="132">
        <v>307</v>
      </c>
      <c r="P26" s="134"/>
      <c r="Q26" t="s" s="132">
        <v>307</v>
      </c>
      <c r="R26" s="133"/>
      <c r="S26" t="s" s="132">
        <v>307</v>
      </c>
      <c r="T26" s="134"/>
      <c r="U26" t="s" s="132">
        <v>307</v>
      </c>
      <c r="V26" s="133"/>
      <c r="W26" t="s" s="132">
        <v>307</v>
      </c>
      <c r="X26" s="170"/>
      <c r="Y26" s="170"/>
      <c r="Z26" s="170"/>
      <c r="AA26" s="170"/>
      <c r="AB26" s="134"/>
    </row>
    <row r="27" ht="13.35" customHeight="1">
      <c r="A27" t="s" s="132">
        <v>319</v>
      </c>
      <c r="B27" s="133"/>
      <c r="C27" t="s" s="132">
        <v>319</v>
      </c>
      <c r="D27" s="134"/>
      <c r="E27" t="s" s="132">
        <v>319</v>
      </c>
      <c r="F27" s="133"/>
      <c r="G27" t="s" s="132">
        <v>319</v>
      </c>
      <c r="H27" s="134"/>
      <c r="I27" t="s" s="132">
        <v>319</v>
      </c>
      <c r="J27" s="133"/>
      <c r="K27" t="s" s="132">
        <v>319</v>
      </c>
      <c r="L27" s="134"/>
      <c r="M27" t="s" s="132">
        <v>319</v>
      </c>
      <c r="N27" s="133"/>
      <c r="O27" t="s" s="132">
        <v>319</v>
      </c>
      <c r="P27" s="134"/>
      <c r="Q27" t="s" s="132">
        <v>319</v>
      </c>
      <c r="R27" s="133"/>
      <c r="S27" t="s" s="132">
        <v>319</v>
      </c>
      <c r="T27" s="134"/>
      <c r="U27" t="s" s="132">
        <v>319</v>
      </c>
      <c r="V27" s="133"/>
      <c r="W27" t="s" s="132">
        <v>319</v>
      </c>
      <c r="X27" s="170"/>
      <c r="Y27" s="170"/>
      <c r="Z27" s="170"/>
      <c r="AA27" s="170"/>
      <c r="AB27" s="134"/>
    </row>
    <row r="28" ht="13.35" customHeight="1">
      <c r="A28" t="s" s="132">
        <v>331</v>
      </c>
      <c r="B28" s="133"/>
      <c r="C28" t="s" s="132">
        <v>331</v>
      </c>
      <c r="D28" s="134"/>
      <c r="E28" t="s" s="132">
        <v>331</v>
      </c>
      <c r="F28" s="133"/>
      <c r="G28" t="s" s="132">
        <v>331</v>
      </c>
      <c r="H28" s="134"/>
      <c r="I28" t="s" s="132">
        <v>331</v>
      </c>
      <c r="J28" s="133"/>
      <c r="K28" t="s" s="132">
        <v>331</v>
      </c>
      <c r="L28" s="134"/>
      <c r="M28" t="s" s="132">
        <v>331</v>
      </c>
      <c r="N28" s="133"/>
      <c r="O28" t="s" s="132">
        <v>331</v>
      </c>
      <c r="P28" s="134"/>
      <c r="Q28" t="s" s="132">
        <v>331</v>
      </c>
      <c r="R28" s="133"/>
      <c r="S28" t="s" s="132">
        <v>331</v>
      </c>
      <c r="T28" s="134"/>
      <c r="U28" t="s" s="132">
        <v>331</v>
      </c>
      <c r="V28" s="133"/>
      <c r="W28" t="s" s="132">
        <v>331</v>
      </c>
      <c r="X28" s="170"/>
      <c r="Y28" s="170"/>
      <c r="Z28" s="170"/>
      <c r="AA28" s="170"/>
      <c r="AB28" s="134"/>
    </row>
    <row r="29" ht="13.35" customHeight="1">
      <c r="A29" t="s" s="135">
        <v>343</v>
      </c>
      <c r="B29" s="136"/>
      <c r="C29" t="s" s="135">
        <v>343</v>
      </c>
      <c r="D29" s="137"/>
      <c r="E29" t="s" s="135">
        <v>343</v>
      </c>
      <c r="F29" s="136"/>
      <c r="G29" t="s" s="135">
        <v>343</v>
      </c>
      <c r="H29" s="137"/>
      <c r="I29" t="s" s="135">
        <v>343</v>
      </c>
      <c r="J29" s="136"/>
      <c r="K29" t="s" s="135">
        <v>343</v>
      </c>
      <c r="L29" s="137"/>
      <c r="M29" t="s" s="135">
        <v>343</v>
      </c>
      <c r="N29" s="136"/>
      <c r="O29" t="s" s="135">
        <v>343</v>
      </c>
      <c r="P29" s="137"/>
      <c r="Q29" t="s" s="135">
        <v>343</v>
      </c>
      <c r="R29" s="136"/>
      <c r="S29" t="s" s="135">
        <v>343</v>
      </c>
      <c r="T29" s="137"/>
      <c r="U29" t="s" s="135">
        <v>343</v>
      </c>
      <c r="V29" s="136"/>
      <c r="W29" t="s" s="135">
        <v>343</v>
      </c>
      <c r="X29" s="167"/>
      <c r="Y29" s="167"/>
      <c r="Z29" s="167"/>
      <c r="AA29" s="167"/>
      <c r="AB29" s="137"/>
    </row>
    <row r="30" ht="13.35" customHeight="1">
      <c r="A30" t="s" s="135">
        <v>355</v>
      </c>
      <c r="B30" s="136"/>
      <c r="C30" t="s" s="135">
        <v>355</v>
      </c>
      <c r="D30" s="137"/>
      <c r="E30" t="s" s="135">
        <v>355</v>
      </c>
      <c r="F30" s="136"/>
      <c r="G30" t="s" s="135">
        <v>355</v>
      </c>
      <c r="H30" s="137"/>
      <c r="I30" t="s" s="135">
        <v>355</v>
      </c>
      <c r="J30" s="136"/>
      <c r="K30" t="s" s="135">
        <v>355</v>
      </c>
      <c r="L30" s="137"/>
      <c r="M30" t="s" s="135">
        <v>355</v>
      </c>
      <c r="N30" s="136"/>
      <c r="O30" t="s" s="135">
        <v>355</v>
      </c>
      <c r="P30" s="137"/>
      <c r="Q30" t="s" s="135">
        <v>355</v>
      </c>
      <c r="R30" s="136"/>
      <c r="S30" t="s" s="135">
        <v>355</v>
      </c>
      <c r="T30" s="137"/>
      <c r="U30" t="s" s="135">
        <v>355</v>
      </c>
      <c r="V30" s="136"/>
      <c r="W30" t="s" s="135">
        <v>355</v>
      </c>
      <c r="X30" s="167"/>
      <c r="Y30" s="167"/>
      <c r="Z30" s="167"/>
      <c r="AA30" s="167"/>
      <c r="AB30" s="137"/>
    </row>
    <row r="31" ht="13.35" customHeight="1">
      <c r="A31" t="s" s="135">
        <v>367</v>
      </c>
      <c r="B31" s="136"/>
      <c r="C31" t="s" s="135">
        <v>367</v>
      </c>
      <c r="D31" s="137"/>
      <c r="E31" t="s" s="135">
        <v>367</v>
      </c>
      <c r="F31" s="136"/>
      <c r="G31" t="s" s="135">
        <v>367</v>
      </c>
      <c r="H31" s="137"/>
      <c r="I31" t="s" s="135">
        <v>367</v>
      </c>
      <c r="J31" s="136"/>
      <c r="K31" t="s" s="135">
        <v>367</v>
      </c>
      <c r="L31" s="137"/>
      <c r="M31" t="s" s="135">
        <v>367</v>
      </c>
      <c r="N31" s="136"/>
      <c r="O31" t="s" s="135">
        <v>367</v>
      </c>
      <c r="P31" s="137"/>
      <c r="Q31" t="s" s="135">
        <v>367</v>
      </c>
      <c r="R31" s="136"/>
      <c r="S31" t="s" s="135">
        <v>367</v>
      </c>
      <c r="T31" s="137"/>
      <c r="U31" t="s" s="135">
        <v>367</v>
      </c>
      <c r="V31" s="136"/>
      <c r="W31" t="s" s="135">
        <v>367</v>
      </c>
      <c r="X31" s="167"/>
      <c r="Y31" s="167"/>
      <c r="Z31" s="167"/>
      <c r="AA31" s="167"/>
      <c r="AB31" s="137"/>
    </row>
    <row r="32" ht="13.35" customHeight="1">
      <c r="A32" t="s" s="135">
        <v>379</v>
      </c>
      <c r="B32" s="136"/>
      <c r="C32" t="s" s="135">
        <v>379</v>
      </c>
      <c r="D32" s="137"/>
      <c r="E32" t="s" s="135">
        <v>379</v>
      </c>
      <c r="F32" s="136"/>
      <c r="G32" t="s" s="135">
        <v>379</v>
      </c>
      <c r="H32" s="137"/>
      <c r="I32" t="s" s="135">
        <v>379</v>
      </c>
      <c r="J32" s="136"/>
      <c r="K32" t="s" s="135">
        <v>379</v>
      </c>
      <c r="L32" s="137"/>
      <c r="M32" t="s" s="135">
        <v>379</v>
      </c>
      <c r="N32" s="136"/>
      <c r="O32" t="s" s="135">
        <v>379</v>
      </c>
      <c r="P32" s="137"/>
      <c r="Q32" t="s" s="135">
        <v>379</v>
      </c>
      <c r="R32" s="136"/>
      <c r="S32" t="s" s="135">
        <v>379</v>
      </c>
      <c r="T32" s="137"/>
      <c r="U32" t="s" s="135">
        <v>379</v>
      </c>
      <c r="V32" s="136"/>
      <c r="W32" t="s" s="135">
        <v>379</v>
      </c>
      <c r="X32" s="167"/>
      <c r="Y32" s="167"/>
      <c r="Z32" s="167"/>
      <c r="AA32" s="167"/>
      <c r="AB32" s="137"/>
    </row>
    <row r="33" ht="13.35" customHeight="1">
      <c r="A33" t="s" s="135">
        <v>391</v>
      </c>
      <c r="B33" s="136"/>
      <c r="C33" t="s" s="135">
        <v>391</v>
      </c>
      <c r="D33" s="137"/>
      <c r="E33" t="s" s="135">
        <v>391</v>
      </c>
      <c r="F33" s="136"/>
      <c r="G33" t="s" s="135">
        <v>391</v>
      </c>
      <c r="H33" s="137"/>
      <c r="I33" t="s" s="135">
        <v>391</v>
      </c>
      <c r="J33" s="136"/>
      <c r="K33" t="s" s="135">
        <v>391</v>
      </c>
      <c r="L33" s="137"/>
      <c r="M33" t="s" s="135">
        <v>391</v>
      </c>
      <c r="N33" s="136"/>
      <c r="O33" t="s" s="135">
        <v>391</v>
      </c>
      <c r="P33" s="137"/>
      <c r="Q33" t="s" s="135">
        <v>391</v>
      </c>
      <c r="R33" s="136"/>
      <c r="S33" t="s" s="135">
        <v>391</v>
      </c>
      <c r="T33" s="137"/>
      <c r="U33" t="s" s="135">
        <v>391</v>
      </c>
      <c r="V33" s="136"/>
      <c r="W33" t="s" s="135">
        <v>391</v>
      </c>
      <c r="X33" s="167"/>
      <c r="Y33" s="167"/>
      <c r="Z33" s="167"/>
      <c r="AA33" s="167"/>
      <c r="AB33" s="137"/>
    </row>
    <row r="34" ht="13.35" customHeight="1">
      <c r="A34" t="s" s="135">
        <v>403</v>
      </c>
      <c r="B34" s="136"/>
      <c r="C34" t="s" s="135">
        <v>403</v>
      </c>
      <c r="D34" s="137"/>
      <c r="E34" t="s" s="135">
        <v>403</v>
      </c>
      <c r="F34" s="136"/>
      <c r="G34" t="s" s="135">
        <v>403</v>
      </c>
      <c r="H34" s="137"/>
      <c r="I34" t="s" s="135">
        <v>403</v>
      </c>
      <c r="J34" s="136"/>
      <c r="K34" t="s" s="135">
        <v>403</v>
      </c>
      <c r="L34" s="137"/>
      <c r="M34" t="s" s="135">
        <v>403</v>
      </c>
      <c r="N34" s="136"/>
      <c r="O34" t="s" s="135">
        <v>403</v>
      </c>
      <c r="P34" s="137"/>
      <c r="Q34" t="s" s="135">
        <v>403</v>
      </c>
      <c r="R34" s="136"/>
      <c r="S34" t="s" s="135">
        <v>403</v>
      </c>
      <c r="T34" s="137"/>
      <c r="U34" t="s" s="135">
        <v>403</v>
      </c>
      <c r="V34" s="136"/>
      <c r="W34" t="s" s="135">
        <v>403</v>
      </c>
      <c r="X34" s="167"/>
      <c r="Y34" s="167"/>
      <c r="Z34" s="167"/>
      <c r="AA34" s="167"/>
      <c r="AB34" s="137"/>
    </row>
    <row r="35" ht="13.35" customHeight="1">
      <c r="A35" t="s" s="135">
        <v>415</v>
      </c>
      <c r="B35" s="136"/>
      <c r="C35" t="s" s="135">
        <v>415</v>
      </c>
      <c r="D35" s="137"/>
      <c r="E35" t="s" s="135">
        <v>415</v>
      </c>
      <c r="F35" s="136"/>
      <c r="G35" t="s" s="135">
        <v>415</v>
      </c>
      <c r="H35" s="137"/>
      <c r="I35" t="s" s="135">
        <v>415</v>
      </c>
      <c r="J35" s="136"/>
      <c r="K35" t="s" s="135">
        <v>415</v>
      </c>
      <c r="L35" s="137"/>
      <c r="M35" t="s" s="135">
        <v>415</v>
      </c>
      <c r="N35" s="136"/>
      <c r="O35" t="s" s="135">
        <v>415</v>
      </c>
      <c r="P35" s="137"/>
      <c r="Q35" t="s" s="135">
        <v>415</v>
      </c>
      <c r="R35" s="136"/>
      <c r="S35" t="s" s="135">
        <v>415</v>
      </c>
      <c r="T35" s="137"/>
      <c r="U35" t="s" s="135">
        <v>415</v>
      </c>
      <c r="V35" s="136"/>
      <c r="W35" t="s" s="135">
        <v>415</v>
      </c>
      <c r="X35" s="167"/>
      <c r="Y35" s="167"/>
      <c r="Z35" s="167"/>
      <c r="AA35" s="167"/>
      <c r="AB35" s="137"/>
    </row>
    <row r="36" ht="13.35" customHeight="1">
      <c r="A36" t="s" s="135">
        <v>427</v>
      </c>
      <c r="B36" s="136"/>
      <c r="C36" t="s" s="135">
        <v>427</v>
      </c>
      <c r="D36" s="137"/>
      <c r="E36" t="s" s="135">
        <v>427</v>
      </c>
      <c r="F36" s="136"/>
      <c r="G36" t="s" s="135">
        <v>427</v>
      </c>
      <c r="H36" s="137"/>
      <c r="I36" t="s" s="135">
        <v>427</v>
      </c>
      <c r="J36" s="136"/>
      <c r="K36" t="s" s="135">
        <v>427</v>
      </c>
      <c r="L36" s="137"/>
      <c r="M36" t="s" s="135">
        <v>427</v>
      </c>
      <c r="N36" s="136"/>
      <c r="O36" t="s" s="135">
        <v>427</v>
      </c>
      <c r="P36" s="137"/>
      <c r="Q36" t="s" s="135">
        <v>427</v>
      </c>
      <c r="R36" s="136"/>
      <c r="S36" t="s" s="135">
        <v>427</v>
      </c>
      <c r="T36" s="137"/>
      <c r="U36" t="s" s="135">
        <v>427</v>
      </c>
      <c r="V36" s="136"/>
      <c r="W36" t="s" s="135">
        <v>427</v>
      </c>
      <c r="X36" s="167"/>
      <c r="Y36" s="167"/>
      <c r="Z36" s="167"/>
      <c r="AA36" s="167"/>
      <c r="AB36" s="137"/>
    </row>
    <row r="37" ht="13.35" customHeight="1">
      <c r="A37" t="s" s="135">
        <v>439</v>
      </c>
      <c r="B37" s="136"/>
      <c r="C37" t="s" s="135">
        <v>439</v>
      </c>
      <c r="D37" s="137"/>
      <c r="E37" t="s" s="135">
        <v>439</v>
      </c>
      <c r="F37" s="136"/>
      <c r="G37" t="s" s="135">
        <v>439</v>
      </c>
      <c r="H37" s="137"/>
      <c r="I37" t="s" s="135">
        <v>439</v>
      </c>
      <c r="J37" s="136"/>
      <c r="K37" t="s" s="135">
        <v>439</v>
      </c>
      <c r="L37" s="137"/>
      <c r="M37" t="s" s="135">
        <v>439</v>
      </c>
      <c r="N37" s="136"/>
      <c r="O37" t="s" s="135">
        <v>439</v>
      </c>
      <c r="P37" s="137"/>
      <c r="Q37" t="s" s="135">
        <v>439</v>
      </c>
      <c r="R37" s="136"/>
      <c r="S37" t="s" s="135">
        <v>439</v>
      </c>
      <c r="T37" s="137"/>
      <c r="U37" t="s" s="135">
        <v>439</v>
      </c>
      <c r="V37" s="136"/>
      <c r="W37" t="s" s="135">
        <v>439</v>
      </c>
      <c r="X37" s="167"/>
      <c r="Y37" s="167"/>
      <c r="Z37" s="167"/>
      <c r="AA37" s="167"/>
      <c r="AB37" s="137"/>
    </row>
    <row r="38" ht="13.35" customHeight="1">
      <c r="A38" t="s" s="135">
        <v>451</v>
      </c>
      <c r="B38" s="136"/>
      <c r="C38" t="s" s="135">
        <v>451</v>
      </c>
      <c r="D38" s="137"/>
      <c r="E38" t="s" s="135">
        <v>451</v>
      </c>
      <c r="F38" s="136"/>
      <c r="G38" t="s" s="135">
        <v>451</v>
      </c>
      <c r="H38" s="137"/>
      <c r="I38" t="s" s="135">
        <v>451</v>
      </c>
      <c r="J38" s="136"/>
      <c r="K38" t="s" s="135">
        <v>451</v>
      </c>
      <c r="L38" s="137"/>
      <c r="M38" t="s" s="135">
        <v>451</v>
      </c>
      <c r="N38" s="136"/>
      <c r="O38" t="s" s="135">
        <v>451</v>
      </c>
      <c r="P38" s="137"/>
      <c r="Q38" t="s" s="135">
        <v>451</v>
      </c>
      <c r="R38" s="136"/>
      <c r="S38" t="s" s="135">
        <v>451</v>
      </c>
      <c r="T38" s="137"/>
      <c r="U38" t="s" s="135">
        <v>451</v>
      </c>
      <c r="V38" s="136"/>
      <c r="W38" t="s" s="135">
        <v>451</v>
      </c>
      <c r="X38" s="167"/>
      <c r="Y38" s="167"/>
      <c r="Z38" s="167"/>
      <c r="AA38" s="167"/>
      <c r="AB38" s="137"/>
    </row>
    <row r="39" ht="13.35" customHeight="1">
      <c r="A39" t="s" s="135">
        <v>463</v>
      </c>
      <c r="B39" s="136"/>
      <c r="C39" t="s" s="135">
        <v>463</v>
      </c>
      <c r="D39" s="137"/>
      <c r="E39" t="s" s="135">
        <v>463</v>
      </c>
      <c r="F39" s="136"/>
      <c r="G39" t="s" s="135">
        <v>463</v>
      </c>
      <c r="H39" s="137"/>
      <c r="I39" t="s" s="135">
        <v>463</v>
      </c>
      <c r="J39" s="136"/>
      <c r="K39" t="s" s="135">
        <v>463</v>
      </c>
      <c r="L39" s="137"/>
      <c r="M39" t="s" s="135">
        <v>463</v>
      </c>
      <c r="N39" s="136"/>
      <c r="O39" t="s" s="135">
        <v>463</v>
      </c>
      <c r="P39" s="137"/>
      <c r="Q39" t="s" s="135">
        <v>463</v>
      </c>
      <c r="R39" s="136"/>
      <c r="S39" t="s" s="135">
        <v>463</v>
      </c>
      <c r="T39" s="137"/>
      <c r="U39" t="s" s="135">
        <v>463</v>
      </c>
      <c r="V39" s="136"/>
      <c r="W39" t="s" s="135">
        <v>463</v>
      </c>
      <c r="X39" s="167"/>
      <c r="Y39" s="167"/>
      <c r="Z39" s="167"/>
      <c r="AA39" s="167"/>
      <c r="AB39" s="137"/>
    </row>
    <row r="40" ht="13.35" customHeight="1">
      <c r="A40" t="s" s="135">
        <v>475</v>
      </c>
      <c r="B40" s="136"/>
      <c r="C40" t="s" s="135">
        <v>475</v>
      </c>
      <c r="D40" s="137"/>
      <c r="E40" t="s" s="135">
        <v>475</v>
      </c>
      <c r="F40" s="136"/>
      <c r="G40" t="s" s="135">
        <v>475</v>
      </c>
      <c r="H40" s="137"/>
      <c r="I40" t="s" s="135">
        <v>475</v>
      </c>
      <c r="J40" s="136"/>
      <c r="K40" t="s" s="135">
        <v>475</v>
      </c>
      <c r="L40" s="137"/>
      <c r="M40" t="s" s="135">
        <v>475</v>
      </c>
      <c r="N40" s="136"/>
      <c r="O40" t="s" s="135">
        <v>475</v>
      </c>
      <c r="P40" s="137"/>
      <c r="Q40" t="s" s="135">
        <v>475</v>
      </c>
      <c r="R40" s="136"/>
      <c r="S40" t="s" s="135">
        <v>475</v>
      </c>
      <c r="T40" s="137"/>
      <c r="U40" t="s" s="135">
        <v>475</v>
      </c>
      <c r="V40" s="136"/>
      <c r="W40" t="s" s="135">
        <v>475</v>
      </c>
      <c r="X40" s="167"/>
      <c r="Y40" s="167"/>
      <c r="Z40" s="167"/>
      <c r="AA40" s="167"/>
      <c r="AB40" s="137"/>
    </row>
    <row r="41" ht="13.35" customHeight="1">
      <c r="A41" t="s" s="135">
        <v>487</v>
      </c>
      <c r="B41" s="136"/>
      <c r="C41" t="s" s="135">
        <v>487</v>
      </c>
      <c r="D41" s="137"/>
      <c r="E41" t="s" s="135">
        <v>487</v>
      </c>
      <c r="F41" s="136"/>
      <c r="G41" t="s" s="135">
        <v>487</v>
      </c>
      <c r="H41" s="137"/>
      <c r="I41" t="s" s="135">
        <v>487</v>
      </c>
      <c r="J41" s="136"/>
      <c r="K41" t="s" s="135">
        <v>487</v>
      </c>
      <c r="L41" s="137"/>
      <c r="M41" t="s" s="135">
        <v>487</v>
      </c>
      <c r="N41" s="136"/>
      <c r="O41" t="s" s="135">
        <v>487</v>
      </c>
      <c r="P41" s="137"/>
      <c r="Q41" t="s" s="135">
        <v>487</v>
      </c>
      <c r="R41" s="136"/>
      <c r="S41" t="s" s="135">
        <v>487</v>
      </c>
      <c r="T41" s="137"/>
      <c r="U41" t="s" s="135">
        <v>487</v>
      </c>
      <c r="V41" s="136"/>
      <c r="W41" t="s" s="135">
        <v>487</v>
      </c>
      <c r="X41" s="167"/>
      <c r="Y41" s="167"/>
      <c r="Z41" s="167"/>
      <c r="AA41" s="167"/>
      <c r="AB41" s="137"/>
    </row>
    <row r="42" ht="13.35" customHeight="1">
      <c r="A42" t="s" s="135">
        <v>499</v>
      </c>
      <c r="B42" s="136"/>
      <c r="C42" t="s" s="135">
        <v>499</v>
      </c>
      <c r="D42" s="137"/>
      <c r="E42" t="s" s="135">
        <v>499</v>
      </c>
      <c r="F42" s="136"/>
      <c r="G42" t="s" s="135">
        <v>499</v>
      </c>
      <c r="H42" s="137"/>
      <c r="I42" t="s" s="135">
        <v>499</v>
      </c>
      <c r="J42" s="136"/>
      <c r="K42" t="s" s="135">
        <v>499</v>
      </c>
      <c r="L42" s="137"/>
      <c r="M42" t="s" s="135">
        <v>499</v>
      </c>
      <c r="N42" s="136"/>
      <c r="O42" t="s" s="135">
        <v>499</v>
      </c>
      <c r="P42" s="137"/>
      <c r="Q42" t="s" s="135">
        <v>499</v>
      </c>
      <c r="R42" s="136"/>
      <c r="S42" t="s" s="135">
        <v>499</v>
      </c>
      <c r="T42" s="137"/>
      <c r="U42" t="s" s="135">
        <v>499</v>
      </c>
      <c r="V42" s="136"/>
      <c r="W42" t="s" s="135">
        <v>499</v>
      </c>
      <c r="X42" s="167"/>
      <c r="Y42" s="167"/>
      <c r="Z42" s="167"/>
      <c r="AA42" s="167"/>
      <c r="AB42" s="137"/>
    </row>
    <row r="43" ht="13.35" customHeight="1">
      <c r="A43" t="s" s="135">
        <v>511</v>
      </c>
      <c r="B43" s="136"/>
      <c r="C43" t="s" s="135">
        <v>511</v>
      </c>
      <c r="D43" s="137"/>
      <c r="E43" t="s" s="135">
        <v>511</v>
      </c>
      <c r="F43" s="136"/>
      <c r="G43" t="s" s="135">
        <v>511</v>
      </c>
      <c r="H43" s="137"/>
      <c r="I43" t="s" s="135">
        <v>511</v>
      </c>
      <c r="J43" s="136"/>
      <c r="K43" t="s" s="135">
        <v>511</v>
      </c>
      <c r="L43" s="137"/>
      <c r="M43" t="s" s="135">
        <v>511</v>
      </c>
      <c r="N43" s="136"/>
      <c r="O43" t="s" s="135">
        <v>511</v>
      </c>
      <c r="P43" s="137"/>
      <c r="Q43" t="s" s="135">
        <v>511</v>
      </c>
      <c r="R43" s="136"/>
      <c r="S43" t="s" s="135">
        <v>511</v>
      </c>
      <c r="T43" s="137"/>
      <c r="U43" t="s" s="135">
        <v>511</v>
      </c>
      <c r="V43" s="136"/>
      <c r="W43" t="s" s="135">
        <v>511</v>
      </c>
      <c r="X43" s="167"/>
      <c r="Y43" s="167"/>
      <c r="Z43" s="167"/>
      <c r="AA43" s="167"/>
      <c r="AB43" s="137"/>
    </row>
    <row r="44" ht="15.85" customHeight="1">
      <c r="A44" t="s" s="171">
        <v>186</v>
      </c>
      <c r="B44" s="172"/>
      <c r="C44" t="s" s="171">
        <v>186</v>
      </c>
      <c r="D44" s="173"/>
      <c r="E44" t="s" s="171">
        <v>186</v>
      </c>
      <c r="F44" s="172"/>
      <c r="G44" t="s" s="174">
        <v>186</v>
      </c>
      <c r="H44" s="175"/>
      <c r="I44" t="s" s="171">
        <v>186</v>
      </c>
      <c r="J44" s="172"/>
      <c r="K44" t="s" s="171">
        <v>186</v>
      </c>
      <c r="L44" s="173"/>
      <c r="M44" t="s" s="171">
        <v>186</v>
      </c>
      <c r="N44" s="172"/>
      <c r="O44" t="s" s="171">
        <v>186</v>
      </c>
      <c r="P44" s="173"/>
      <c r="Q44" t="s" s="171">
        <v>186</v>
      </c>
      <c r="R44" s="172"/>
      <c r="S44" t="s" s="171">
        <v>186</v>
      </c>
      <c r="T44" s="173"/>
      <c r="U44" t="s" s="171">
        <v>186</v>
      </c>
      <c r="V44" s="172"/>
      <c r="W44" t="s" s="171">
        <v>186</v>
      </c>
      <c r="X44" s="173"/>
      <c r="Y44" s="175"/>
      <c r="Z44" s="175"/>
      <c r="AA44" s="175"/>
      <c r="AB44" s="175"/>
    </row>
    <row r="45" ht="15.85" customHeight="1">
      <c r="A45" t="s" s="176">
        <v>198</v>
      </c>
      <c r="B45" s="177"/>
      <c r="C45" t="s" s="176">
        <v>198</v>
      </c>
      <c r="D45" s="178"/>
      <c r="E45" t="s" s="176">
        <v>198</v>
      </c>
      <c r="F45" s="177"/>
      <c r="G45" t="s" s="179">
        <v>198</v>
      </c>
      <c r="H45" s="180"/>
      <c r="I45" t="s" s="176">
        <v>198</v>
      </c>
      <c r="J45" s="177"/>
      <c r="K45" t="s" s="176">
        <v>198</v>
      </c>
      <c r="L45" s="178"/>
      <c r="M45" t="s" s="176">
        <v>198</v>
      </c>
      <c r="N45" s="177"/>
      <c r="O45" t="s" s="176">
        <v>198</v>
      </c>
      <c r="P45" s="178"/>
      <c r="Q45" t="s" s="176">
        <v>198</v>
      </c>
      <c r="R45" s="177"/>
      <c r="S45" t="s" s="176">
        <v>198</v>
      </c>
      <c r="T45" s="178"/>
      <c r="U45" t="s" s="176">
        <v>198</v>
      </c>
      <c r="V45" s="177"/>
      <c r="W45" t="s" s="176">
        <v>198</v>
      </c>
      <c r="X45" s="178"/>
      <c r="Y45" s="180"/>
      <c r="Z45" s="180"/>
      <c r="AA45" s="180"/>
      <c r="AB45" s="180"/>
    </row>
    <row r="46" ht="15.85" customHeight="1">
      <c r="A46" s="181"/>
      <c r="B46" s="177"/>
      <c r="C46" s="181"/>
      <c r="D46" s="178"/>
      <c r="E46" s="181"/>
      <c r="F46" s="177"/>
      <c r="G46" s="182"/>
      <c r="H46" s="180"/>
      <c r="I46" s="181"/>
      <c r="J46" s="177"/>
      <c r="K46" s="181"/>
      <c r="L46" s="178"/>
      <c r="M46" s="181"/>
      <c r="N46" s="177"/>
      <c r="O46" s="181"/>
      <c r="P46" s="178"/>
      <c r="Q46" s="181"/>
      <c r="R46" s="177"/>
      <c r="S46" s="181"/>
      <c r="T46" s="178"/>
      <c r="U46" s="181"/>
      <c r="V46" s="177"/>
      <c r="W46" s="181"/>
      <c r="X46" s="178"/>
      <c r="Y46" s="180"/>
      <c r="Z46" s="180"/>
      <c r="AA46" s="180"/>
      <c r="AB46" s="180"/>
    </row>
    <row r="47" ht="15.85" customHeight="1">
      <c r="A47" s="181"/>
      <c r="B47" s="177"/>
      <c r="C47" s="181"/>
      <c r="D47" s="178"/>
      <c r="E47" s="181"/>
      <c r="F47" s="177"/>
      <c r="G47" s="182"/>
      <c r="H47" s="180"/>
      <c r="I47" s="181"/>
      <c r="J47" s="177"/>
      <c r="K47" s="181"/>
      <c r="L47" s="178"/>
      <c r="M47" s="181"/>
      <c r="N47" s="177"/>
      <c r="O47" s="181"/>
      <c r="P47" s="178"/>
      <c r="Q47" s="181"/>
      <c r="R47" s="177"/>
      <c r="S47" s="181"/>
      <c r="T47" s="178"/>
      <c r="U47" s="181"/>
      <c r="V47" s="177"/>
      <c r="W47" s="181"/>
      <c r="X47" s="178"/>
      <c r="Y47" s="180"/>
      <c r="Z47" s="180"/>
      <c r="AA47" s="180"/>
      <c r="AB47" s="180"/>
    </row>
    <row r="48" ht="15.85" customHeight="1">
      <c r="A48" s="181"/>
      <c r="B48" s="177"/>
      <c r="C48" s="181"/>
      <c r="D48" s="178"/>
      <c r="E48" s="181"/>
      <c r="F48" s="177"/>
      <c r="G48" s="182"/>
      <c r="H48" s="180"/>
      <c r="I48" s="181"/>
      <c r="J48" s="177"/>
      <c r="K48" s="181"/>
      <c r="L48" s="178"/>
      <c r="M48" s="181"/>
      <c r="N48" s="177"/>
      <c r="O48" s="181"/>
      <c r="P48" s="178"/>
      <c r="Q48" s="181"/>
      <c r="R48" s="177"/>
      <c r="S48" s="181"/>
      <c r="T48" s="178"/>
      <c r="U48" s="181"/>
      <c r="V48" s="177"/>
      <c r="W48" s="181"/>
      <c r="X48" s="178"/>
      <c r="Y48" s="180"/>
      <c r="Z48" s="180"/>
      <c r="AA48" s="180"/>
      <c r="AB48" s="180"/>
    </row>
    <row r="49" ht="15.85" customHeight="1">
      <c r="A49" s="181"/>
      <c r="B49" s="177"/>
      <c r="C49" s="181"/>
      <c r="D49" s="178"/>
      <c r="E49" s="181"/>
      <c r="F49" s="177"/>
      <c r="G49" s="182"/>
      <c r="H49" s="180"/>
      <c r="I49" s="181"/>
      <c r="J49" s="177"/>
      <c r="K49" s="181"/>
      <c r="L49" s="178"/>
      <c r="M49" s="181"/>
      <c r="N49" s="177"/>
      <c r="O49" s="181"/>
      <c r="P49" s="178"/>
      <c r="Q49" s="181"/>
      <c r="R49" s="177"/>
      <c r="S49" s="181"/>
      <c r="T49" s="178"/>
      <c r="U49" s="181"/>
      <c r="V49" s="177"/>
      <c r="W49" s="181"/>
      <c r="X49" s="178"/>
      <c r="Y49" s="180"/>
      <c r="Z49" s="180"/>
      <c r="AA49" s="180"/>
      <c r="AB49" s="180"/>
    </row>
    <row r="50" ht="15.85" customHeight="1">
      <c r="A50" s="181"/>
      <c r="B50" s="177"/>
      <c r="C50" s="181"/>
      <c r="D50" s="178"/>
      <c r="E50" s="181"/>
      <c r="F50" s="177"/>
      <c r="G50" s="182"/>
      <c r="H50" s="180"/>
      <c r="I50" s="181"/>
      <c r="J50" s="177"/>
      <c r="K50" s="181"/>
      <c r="L50" s="178"/>
      <c r="M50" s="181"/>
      <c r="N50" s="177"/>
      <c r="O50" s="181"/>
      <c r="P50" s="178"/>
      <c r="Q50" s="181"/>
      <c r="R50" s="177"/>
      <c r="S50" s="181"/>
      <c r="T50" s="178"/>
      <c r="U50" s="181"/>
      <c r="V50" s="177"/>
      <c r="W50" s="181"/>
      <c r="X50" s="178"/>
      <c r="Y50" s="180"/>
      <c r="Z50" s="180"/>
      <c r="AA50" s="180"/>
      <c r="AB50" s="180"/>
    </row>
    <row r="51" ht="15.85" customHeight="1">
      <c r="A51" s="181"/>
      <c r="B51" s="177"/>
      <c r="C51" s="181"/>
      <c r="D51" s="178"/>
      <c r="E51" s="181"/>
      <c r="F51" s="177"/>
      <c r="G51" s="182"/>
      <c r="H51" s="180"/>
      <c r="I51" s="181"/>
      <c r="J51" s="177"/>
      <c r="K51" s="181"/>
      <c r="L51" s="178"/>
      <c r="M51" s="181"/>
      <c r="N51" s="177"/>
      <c r="O51" s="181"/>
      <c r="P51" s="178"/>
      <c r="Q51" s="181"/>
      <c r="R51" s="177"/>
      <c r="S51" s="181"/>
      <c r="T51" s="178"/>
      <c r="U51" s="181"/>
      <c r="V51" s="177"/>
      <c r="W51" s="181"/>
      <c r="X51" s="178"/>
      <c r="Y51" s="180"/>
      <c r="Z51" s="180"/>
      <c r="AA51" s="180"/>
      <c r="AB51" s="180"/>
    </row>
    <row r="52" ht="15.85" customHeight="1">
      <c r="A52" s="181"/>
      <c r="B52" s="177"/>
      <c r="C52" s="181"/>
      <c r="D52" s="178"/>
      <c r="E52" s="181"/>
      <c r="F52" s="177"/>
      <c r="G52" s="182"/>
      <c r="H52" s="180"/>
      <c r="I52" s="181"/>
      <c r="J52" s="177"/>
      <c r="K52" s="181"/>
      <c r="L52" s="178"/>
      <c r="M52" s="181"/>
      <c r="N52" s="177"/>
      <c r="O52" s="181"/>
      <c r="P52" s="178"/>
      <c r="Q52" s="181"/>
      <c r="R52" s="177"/>
      <c r="S52" s="181"/>
      <c r="T52" s="178"/>
      <c r="U52" s="181"/>
      <c r="V52" s="177"/>
      <c r="W52" s="181"/>
      <c r="X52" s="178"/>
      <c r="Y52" s="180"/>
      <c r="Z52" s="180"/>
      <c r="AA52" s="180"/>
      <c r="AB52" s="180"/>
    </row>
    <row r="53" ht="15.85" customHeight="1">
      <c r="A53" s="181"/>
      <c r="B53" s="177"/>
      <c r="C53" s="181"/>
      <c r="D53" s="178"/>
      <c r="E53" s="181"/>
      <c r="F53" s="177"/>
      <c r="G53" s="182"/>
      <c r="H53" s="180"/>
      <c r="I53" s="181"/>
      <c r="J53" s="177"/>
      <c r="K53" s="181"/>
      <c r="L53" s="178"/>
      <c r="M53" s="181"/>
      <c r="N53" s="177"/>
      <c r="O53" s="181"/>
      <c r="P53" s="178"/>
      <c r="Q53" s="181"/>
      <c r="R53" s="177"/>
      <c r="S53" s="181"/>
      <c r="T53" s="178"/>
      <c r="U53" s="181"/>
      <c r="V53" s="177"/>
      <c r="W53" s="181"/>
      <c r="X53" s="178"/>
      <c r="Y53" s="180"/>
      <c r="Z53" s="180"/>
      <c r="AA53" s="180"/>
      <c r="AB53" s="180"/>
    </row>
    <row r="54" ht="15.85" customHeight="1">
      <c r="A54" s="181"/>
      <c r="B54" s="177"/>
      <c r="C54" s="181"/>
      <c r="D54" s="178"/>
      <c r="E54" s="181"/>
      <c r="F54" s="177"/>
      <c r="G54" s="182"/>
      <c r="H54" s="180"/>
      <c r="I54" s="181"/>
      <c r="J54" s="177"/>
      <c r="K54" s="181"/>
      <c r="L54" s="178"/>
      <c r="M54" s="181"/>
      <c r="N54" s="177"/>
      <c r="O54" s="181"/>
      <c r="P54" s="178"/>
      <c r="Q54" s="181"/>
      <c r="R54" s="177"/>
      <c r="S54" s="181"/>
      <c r="T54" s="178"/>
      <c r="U54" s="181"/>
      <c r="V54" s="177"/>
      <c r="W54" s="181"/>
      <c r="X54" s="178"/>
      <c r="Y54" s="180"/>
      <c r="Z54" s="180"/>
      <c r="AA54" s="180"/>
      <c r="AB54" s="180"/>
    </row>
    <row r="55" ht="15.85" customHeight="1">
      <c r="A55" s="181"/>
      <c r="B55" s="177"/>
      <c r="C55" s="181"/>
      <c r="D55" s="178"/>
      <c r="E55" s="181"/>
      <c r="F55" s="177"/>
      <c r="G55" s="182"/>
      <c r="H55" s="180"/>
      <c r="I55" s="181"/>
      <c r="J55" s="177"/>
      <c r="K55" s="181"/>
      <c r="L55" s="178"/>
      <c r="M55" s="181"/>
      <c r="N55" s="177"/>
      <c r="O55" s="181"/>
      <c r="P55" s="178"/>
      <c r="Q55" s="181"/>
      <c r="R55" s="177"/>
      <c r="S55" s="181"/>
      <c r="T55" s="178"/>
      <c r="U55" s="181"/>
      <c r="V55" s="177"/>
      <c r="W55" s="181"/>
      <c r="X55" s="178"/>
      <c r="Y55" s="180"/>
      <c r="Z55" s="180"/>
      <c r="AA55" s="180"/>
      <c r="AB55" s="180"/>
    </row>
    <row r="56" ht="15.85" customHeight="1">
      <c r="A56" s="181"/>
      <c r="B56" s="177"/>
      <c r="C56" s="181"/>
      <c r="D56" s="178"/>
      <c r="E56" s="181"/>
      <c r="F56" s="177"/>
      <c r="G56" s="182"/>
      <c r="H56" s="180"/>
      <c r="I56" s="181"/>
      <c r="J56" s="177"/>
      <c r="K56" s="181"/>
      <c r="L56" s="178"/>
      <c r="M56" s="181"/>
      <c r="N56" s="177"/>
      <c r="O56" s="181"/>
      <c r="P56" s="178"/>
      <c r="Q56" s="181"/>
      <c r="R56" s="177"/>
      <c r="S56" s="181"/>
      <c r="T56" s="178"/>
      <c r="U56" s="181"/>
      <c r="V56" s="177"/>
      <c r="W56" s="181"/>
      <c r="X56" s="178"/>
      <c r="Y56" s="180"/>
      <c r="Z56" s="180"/>
      <c r="AA56" s="180"/>
      <c r="AB56" s="180"/>
    </row>
    <row r="57" ht="15.85" customHeight="1">
      <c r="A57" s="181"/>
      <c r="B57" s="177"/>
      <c r="C57" s="181"/>
      <c r="D57" s="178"/>
      <c r="E57" s="181"/>
      <c r="F57" s="177"/>
      <c r="G57" s="182"/>
      <c r="H57" s="180"/>
      <c r="I57" s="181"/>
      <c r="J57" s="177"/>
      <c r="K57" s="181"/>
      <c r="L57" s="178"/>
      <c r="M57" s="181"/>
      <c r="N57" s="177"/>
      <c r="O57" s="181"/>
      <c r="P57" s="178"/>
      <c r="Q57" s="181"/>
      <c r="R57" s="177"/>
      <c r="S57" s="181"/>
      <c r="T57" s="178"/>
      <c r="U57" s="181"/>
      <c r="V57" s="177"/>
      <c r="W57" s="181"/>
      <c r="X57" s="178"/>
      <c r="Y57" s="180"/>
      <c r="Z57" s="180"/>
      <c r="AA57" s="180"/>
      <c r="AB57" s="180"/>
    </row>
    <row r="58" ht="15.85" customHeight="1">
      <c r="A58" s="181"/>
      <c r="B58" s="177"/>
      <c r="C58" s="181"/>
      <c r="D58" s="178"/>
      <c r="E58" s="181"/>
      <c r="F58" s="177"/>
      <c r="G58" s="182"/>
      <c r="H58" s="180"/>
      <c r="I58" s="181"/>
      <c r="J58" s="177"/>
      <c r="K58" s="181"/>
      <c r="L58" s="178"/>
      <c r="M58" s="181"/>
      <c r="N58" s="177"/>
      <c r="O58" s="181"/>
      <c r="P58" s="178"/>
      <c r="Q58" s="181"/>
      <c r="R58" s="177"/>
      <c r="S58" s="181"/>
      <c r="T58" s="178"/>
      <c r="U58" s="181"/>
      <c r="V58" s="177"/>
      <c r="W58" s="181"/>
      <c r="X58" s="178"/>
      <c r="Y58" s="180"/>
      <c r="Z58" s="180"/>
      <c r="AA58" s="180"/>
      <c r="AB58" s="180"/>
    </row>
    <row r="59" ht="15.85" customHeight="1">
      <c r="A59" s="181"/>
      <c r="B59" s="177"/>
      <c r="C59" s="181"/>
      <c r="D59" s="178"/>
      <c r="E59" s="181"/>
      <c r="F59" s="177"/>
      <c r="G59" s="182"/>
      <c r="H59" s="180"/>
      <c r="I59" s="181"/>
      <c r="J59" s="177"/>
      <c r="K59" s="181"/>
      <c r="L59" s="178"/>
      <c r="M59" s="181"/>
      <c r="N59" s="177"/>
      <c r="O59" s="181"/>
      <c r="P59" s="178"/>
      <c r="Q59" s="181"/>
      <c r="R59" s="177"/>
      <c r="S59" s="181"/>
      <c r="T59" s="178"/>
      <c r="U59" s="181"/>
      <c r="V59" s="177"/>
      <c r="W59" s="181"/>
      <c r="X59" s="178"/>
      <c r="Y59" s="180"/>
      <c r="Z59" s="180"/>
      <c r="AA59" s="180"/>
      <c r="AB59" s="180"/>
    </row>
    <row r="60" ht="15.85" customHeight="1">
      <c r="A60" s="181"/>
      <c r="B60" s="177"/>
      <c r="C60" s="181"/>
      <c r="D60" s="178"/>
      <c r="E60" s="181"/>
      <c r="F60" s="177"/>
      <c r="G60" s="182"/>
      <c r="H60" s="180"/>
      <c r="I60" s="181"/>
      <c r="J60" s="177"/>
      <c r="K60" s="181"/>
      <c r="L60" s="178"/>
      <c r="M60" s="181"/>
      <c r="N60" s="177"/>
      <c r="O60" s="181"/>
      <c r="P60" s="178"/>
      <c r="Q60" s="181"/>
      <c r="R60" s="177"/>
      <c r="S60" s="181"/>
      <c r="T60" s="178"/>
      <c r="U60" s="181"/>
      <c r="V60" s="177"/>
      <c r="W60" s="181"/>
      <c r="X60" s="178"/>
      <c r="Y60" s="180"/>
      <c r="Z60" s="180"/>
      <c r="AA60" s="180"/>
      <c r="AB60" s="180"/>
    </row>
    <row r="61" ht="15.85" customHeight="1">
      <c r="A61" s="181"/>
      <c r="B61" s="177"/>
      <c r="C61" s="181"/>
      <c r="D61" s="178"/>
      <c r="E61" s="181"/>
      <c r="F61" s="177"/>
      <c r="G61" s="182"/>
      <c r="H61" s="180"/>
      <c r="I61" s="181"/>
      <c r="J61" s="177"/>
      <c r="K61" s="181"/>
      <c r="L61" s="178"/>
      <c r="M61" s="181"/>
      <c r="N61" s="177"/>
      <c r="O61" s="181"/>
      <c r="P61" s="178"/>
      <c r="Q61" s="181"/>
      <c r="R61" s="177"/>
      <c r="S61" s="181"/>
      <c r="T61" s="178"/>
      <c r="U61" s="181"/>
      <c r="V61" s="177"/>
      <c r="W61" s="181"/>
      <c r="X61" s="178"/>
      <c r="Y61" s="180"/>
      <c r="Z61" s="180"/>
      <c r="AA61" s="180"/>
      <c r="AB61" s="180"/>
    </row>
    <row r="62" ht="15.85" customHeight="1">
      <c r="A62" s="181"/>
      <c r="B62" s="177"/>
      <c r="C62" s="181"/>
      <c r="D62" s="178"/>
      <c r="E62" s="181"/>
      <c r="F62" s="177"/>
      <c r="G62" s="182"/>
      <c r="H62" s="180"/>
      <c r="I62" s="181"/>
      <c r="J62" s="177"/>
      <c r="K62" s="181"/>
      <c r="L62" s="178"/>
      <c r="M62" s="181"/>
      <c r="N62" s="177"/>
      <c r="O62" s="181"/>
      <c r="P62" s="178"/>
      <c r="Q62" s="181"/>
      <c r="R62" s="177"/>
      <c r="S62" s="181"/>
      <c r="T62" s="178"/>
      <c r="U62" s="181"/>
      <c r="V62" s="177"/>
      <c r="W62" s="181"/>
      <c r="X62" s="178"/>
      <c r="Y62" s="180"/>
      <c r="Z62" s="180"/>
      <c r="AA62" s="180"/>
      <c r="AB62" s="180"/>
    </row>
    <row r="63" ht="15.85" customHeight="1">
      <c r="A63" s="181"/>
      <c r="B63" s="177"/>
      <c r="C63" s="181"/>
      <c r="D63" s="178"/>
      <c r="E63" s="181"/>
      <c r="F63" s="177"/>
      <c r="G63" s="182"/>
      <c r="H63" s="180"/>
      <c r="I63" s="181"/>
      <c r="J63" s="177"/>
      <c r="K63" s="181"/>
      <c r="L63" s="178"/>
      <c r="M63" s="181"/>
      <c r="N63" s="177"/>
      <c r="O63" s="181"/>
      <c r="P63" s="178"/>
      <c r="Q63" s="181"/>
      <c r="R63" s="177"/>
      <c r="S63" s="181"/>
      <c r="T63" s="178"/>
      <c r="U63" s="181"/>
      <c r="V63" s="177"/>
      <c r="W63" s="181"/>
      <c r="X63" s="178"/>
      <c r="Y63" s="180"/>
      <c r="Z63" s="180"/>
      <c r="AA63" s="180"/>
      <c r="AB63" s="180"/>
    </row>
    <row r="64" ht="15.85" customHeight="1">
      <c r="A64" s="181"/>
      <c r="B64" s="177"/>
      <c r="C64" s="181"/>
      <c r="D64" s="178"/>
      <c r="E64" s="181"/>
      <c r="F64" s="177"/>
      <c r="G64" s="182"/>
      <c r="H64" s="180"/>
      <c r="I64" s="181"/>
      <c r="J64" s="177"/>
      <c r="K64" s="181"/>
      <c r="L64" s="178"/>
      <c r="M64" s="181"/>
      <c r="N64" s="177"/>
      <c r="O64" s="181"/>
      <c r="P64" s="178"/>
      <c r="Q64" s="181"/>
      <c r="R64" s="177"/>
      <c r="S64" s="181"/>
      <c r="T64" s="178"/>
      <c r="U64" s="181"/>
      <c r="V64" s="177"/>
      <c r="W64" s="181"/>
      <c r="X64" s="178"/>
      <c r="Y64" s="180"/>
      <c r="Z64" s="180"/>
      <c r="AA64" s="180"/>
      <c r="AB64" s="180"/>
    </row>
    <row r="65" ht="15.85" customHeight="1">
      <c r="A65" s="181"/>
      <c r="B65" s="177"/>
      <c r="C65" s="181"/>
      <c r="D65" s="178"/>
      <c r="E65" s="181"/>
      <c r="F65" s="177"/>
      <c r="G65" s="182"/>
      <c r="H65" s="180"/>
      <c r="I65" s="181"/>
      <c r="J65" s="177"/>
      <c r="K65" s="181"/>
      <c r="L65" s="178"/>
      <c r="M65" s="181"/>
      <c r="N65" s="177"/>
      <c r="O65" s="181"/>
      <c r="P65" s="178"/>
      <c r="Q65" s="181"/>
      <c r="R65" s="177"/>
      <c r="S65" s="181"/>
      <c r="T65" s="178"/>
      <c r="U65" s="181"/>
      <c r="V65" s="177"/>
      <c r="W65" s="181"/>
      <c r="X65" s="178"/>
      <c r="Y65" s="180"/>
      <c r="Z65" s="180"/>
      <c r="AA65" s="180"/>
      <c r="AB65" s="180"/>
    </row>
    <row r="66" ht="15.85" customHeight="1">
      <c r="A66" s="181"/>
      <c r="B66" s="177"/>
      <c r="C66" s="181"/>
      <c r="D66" s="178"/>
      <c r="E66" s="181"/>
      <c r="F66" s="177"/>
      <c r="G66" s="182"/>
      <c r="H66" s="180"/>
      <c r="I66" s="181"/>
      <c r="J66" s="177"/>
      <c r="K66" s="181"/>
      <c r="L66" s="178"/>
      <c r="M66" s="181"/>
      <c r="N66" s="177"/>
      <c r="O66" s="181"/>
      <c r="P66" s="178"/>
      <c r="Q66" s="181"/>
      <c r="R66" s="177"/>
      <c r="S66" s="181"/>
      <c r="T66" s="178"/>
      <c r="U66" s="181"/>
      <c r="V66" s="177"/>
      <c r="W66" s="181"/>
      <c r="X66" s="178"/>
      <c r="Y66" s="180"/>
      <c r="Z66" s="180"/>
      <c r="AA66" s="180"/>
      <c r="AB66" s="180"/>
    </row>
    <row r="67" ht="15.85" customHeight="1">
      <c r="A67" s="181"/>
      <c r="B67" s="177"/>
      <c r="C67" s="181"/>
      <c r="D67" s="178"/>
      <c r="E67" s="181"/>
      <c r="F67" s="177"/>
      <c r="G67" s="182"/>
      <c r="H67" s="180"/>
      <c r="I67" s="181"/>
      <c r="J67" s="177"/>
      <c r="K67" s="181"/>
      <c r="L67" s="178"/>
      <c r="M67" s="181"/>
      <c r="N67" s="177"/>
      <c r="O67" s="181"/>
      <c r="P67" s="178"/>
      <c r="Q67" s="181"/>
      <c r="R67" s="177"/>
      <c r="S67" s="181"/>
      <c r="T67" s="178"/>
      <c r="U67" s="181"/>
      <c r="V67" s="177"/>
      <c r="W67" s="181"/>
      <c r="X67" s="178"/>
      <c r="Y67" s="180"/>
      <c r="Z67" s="180"/>
      <c r="AA67" s="180"/>
      <c r="AB67" s="180"/>
    </row>
    <row r="68" ht="15.85" customHeight="1">
      <c r="A68" s="181"/>
      <c r="B68" s="177"/>
      <c r="C68" s="181"/>
      <c r="D68" s="178"/>
      <c r="E68" s="181"/>
      <c r="F68" s="177"/>
      <c r="G68" s="182"/>
      <c r="H68" s="180"/>
      <c r="I68" s="181"/>
      <c r="J68" s="177"/>
      <c r="K68" s="181"/>
      <c r="L68" s="178"/>
      <c r="M68" s="181"/>
      <c r="N68" s="177"/>
      <c r="O68" s="181"/>
      <c r="P68" s="178"/>
      <c r="Q68" s="181"/>
      <c r="R68" s="177"/>
      <c r="S68" s="181"/>
      <c r="T68" s="178"/>
      <c r="U68" s="181"/>
      <c r="V68" s="177"/>
      <c r="W68" s="181"/>
      <c r="X68" s="178"/>
      <c r="Y68" s="180"/>
      <c r="Z68" s="180"/>
      <c r="AA68" s="180"/>
      <c r="AB68" s="180"/>
    </row>
    <row r="69" ht="15.85" customHeight="1">
      <c r="A69" s="181"/>
      <c r="B69" s="177"/>
      <c r="C69" s="181"/>
      <c r="D69" s="178"/>
      <c r="E69" s="181"/>
      <c r="F69" s="177"/>
      <c r="G69" s="182"/>
      <c r="H69" s="180"/>
      <c r="I69" s="181"/>
      <c r="J69" s="177"/>
      <c r="K69" s="181"/>
      <c r="L69" s="178"/>
      <c r="M69" s="181"/>
      <c r="N69" s="177"/>
      <c r="O69" s="181"/>
      <c r="P69" s="178"/>
      <c r="Q69" s="181"/>
      <c r="R69" s="177"/>
      <c r="S69" s="181"/>
      <c r="T69" s="178"/>
      <c r="U69" s="181"/>
      <c r="V69" s="177"/>
      <c r="W69" s="181"/>
      <c r="X69" s="178"/>
      <c r="Y69" s="180"/>
      <c r="Z69" s="180"/>
      <c r="AA69" s="180"/>
      <c r="AB69" s="180"/>
    </row>
    <row r="70" ht="15.85" customHeight="1">
      <c r="A70" s="183"/>
      <c r="B70" s="184"/>
      <c r="C70" s="183"/>
      <c r="D70" s="185"/>
      <c r="E70" s="183"/>
      <c r="F70" s="184"/>
      <c r="G70" s="186"/>
      <c r="H70" s="187"/>
      <c r="I70" s="183"/>
      <c r="J70" s="184"/>
      <c r="K70" s="183"/>
      <c r="L70" s="185"/>
      <c r="M70" s="183"/>
      <c r="N70" s="184"/>
      <c r="O70" s="183"/>
      <c r="P70" s="185"/>
      <c r="Q70" s="183"/>
      <c r="R70" s="184"/>
      <c r="S70" s="183"/>
      <c r="T70" s="185"/>
      <c r="U70" s="183"/>
      <c r="V70" s="184"/>
      <c r="W70" s="183"/>
      <c r="X70" s="185"/>
      <c r="Y70" s="187"/>
      <c r="Z70" s="187"/>
      <c r="AA70" s="187"/>
      <c r="AB70" s="187"/>
    </row>
  </sheetData>
  <mergeCells count="13">
    <mergeCell ref="Q2:R3"/>
    <mergeCell ref="A1:X1"/>
    <mergeCell ref="I2:J3"/>
    <mergeCell ref="S2:T3"/>
    <mergeCell ref="U2:V3"/>
    <mergeCell ref="W2:X3"/>
    <mergeCell ref="A2:B3"/>
    <mergeCell ref="C2:D3"/>
    <mergeCell ref="G2:H3"/>
    <mergeCell ref="K2:L3"/>
    <mergeCell ref="M2:N3"/>
    <mergeCell ref="E2:F3"/>
    <mergeCell ref="O2:P3"/>
  </mergeCells>
  <conditionalFormatting sqref="B4 D4 F4 H4 J4 L4 N4 P4 R4 T4 V4 X4:AB4 B5 D5 F5 H5 J5 L5 N5 P5 R5 T5 V5 X5:AB5 B6 D6 F6 H6 J6 L6 N6 P6 R6 T6 V6 X6:AB6 B7 D7 F7 H7 J7 L7 N7 P7 R7 T7 V7 X7:AB7 B8 D8 F8 H8 J8 L8 N8 P8 R8 T8 V8 X8:AB8 B9 D9 F9 H9 J9 L9 N9 P9 R9 T9 V9 X9:AB9 B10 D10 F10 H10 J10 L10 N10 P10 R10 T10 V10 X10:AB10 B11 D11 F11 H11 J11 L11 N11 P11 R11 T11 V11 X11:AB11 B12 D12 F12 H12 J12 L12 N12 P12 R12 T12 V12 X12:AB12 B13 D13 F13 H13 J13 L13 N13 P13 R13 T13 V13 X13:AB13 B14 D14 F14 H14 J14 L14 N14 P14 R14 T14 V14 X14:AB14 B15 D15 F15 H15 J15 L15 N15 P15 R15 T15 V15 X15:AB15 B16 D16 F16 H16 J16 L16 N16 P16 R16 T16 V16 X16:AB16 B17 D17 F17 H17 J17 L17 N17 P17 R17 T17 V17 X17:AB17">
    <cfRule type="cellIs" dxfId="6" priority="1" operator="lessThan"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7.xml><?xml version="1.0" encoding="utf-8"?>
<worksheet xmlns:r="http://schemas.openxmlformats.org/officeDocument/2006/relationships" xmlns="http://schemas.openxmlformats.org/spreadsheetml/2006/main">
  <dimension ref="A1:Q231"/>
  <sheetViews>
    <sheetView workbookViewId="0" showGridLines="0" defaultGridColor="1"/>
  </sheetViews>
  <sheetFormatPr defaultColWidth="8.83333" defaultRowHeight="13.5" customHeight="1" outlineLevelRow="0" outlineLevelCol="0"/>
  <cols>
    <col min="1" max="1" width="8.85156" style="192" customWidth="1"/>
    <col min="2" max="2" width="8.85156" style="192" customWidth="1"/>
    <col min="3" max="3" width="8.85156" style="192" customWidth="1"/>
    <col min="4" max="4" width="8.85156" style="192" customWidth="1"/>
    <col min="5" max="5" width="8.85156" style="192" customWidth="1"/>
    <col min="6" max="6" width="8.85156" style="192" customWidth="1"/>
    <col min="7" max="7" width="8.85156" style="192" customWidth="1"/>
    <col min="8" max="8" width="8.85156" style="192" customWidth="1"/>
    <col min="9" max="9" width="10.6719" style="192" customWidth="1"/>
    <col min="10" max="10" width="10.3516" style="192" customWidth="1"/>
    <col min="11" max="11" width="8.85156" style="192" customWidth="1"/>
    <col min="12" max="12" width="8.85156" style="192" customWidth="1"/>
    <col min="13" max="13" width="8.85156" style="192" customWidth="1"/>
    <col min="14" max="14" width="8.85156" style="192" customWidth="1"/>
    <col min="15" max="15" width="8.85156" style="192" customWidth="1"/>
    <col min="16" max="16" width="8.85156" style="192" customWidth="1"/>
    <col min="17" max="17" width="12.1719" style="192" customWidth="1"/>
    <col min="18" max="256" width="8.85156" style="192" customWidth="1"/>
  </cols>
  <sheetData>
    <row r="1" ht="36" customHeight="1">
      <c r="A1" s="193"/>
      <c r="B1" s="193"/>
      <c r="C1" s="193"/>
      <c r="D1" s="193"/>
      <c r="E1" s="193"/>
      <c r="F1" s="193"/>
      <c r="G1" s="193"/>
      <c r="H1" s="193"/>
      <c r="I1" s="193"/>
      <c r="J1" s="193"/>
      <c r="K1" s="193"/>
      <c r="L1" s="193"/>
      <c r="M1" s="193"/>
      <c r="N1" s="194"/>
      <c r="O1" s="194"/>
      <c r="P1" s="194"/>
      <c r="Q1" t="s" s="195">
        <v>561</v>
      </c>
    </row>
    <row r="2" ht="16.05" customHeight="1">
      <c r="A2" s="196"/>
      <c r="B2" s="197"/>
      <c r="C2" s="197"/>
      <c r="D2" s="196"/>
      <c r="E2" s="197"/>
      <c r="F2" s="198"/>
      <c r="G2" s="197"/>
      <c r="H2" s="199"/>
      <c r="I2" s="200"/>
      <c r="J2" s="200"/>
      <c r="K2" s="198"/>
      <c r="L2" s="198"/>
      <c r="M2" s="197"/>
      <c r="N2" s="198"/>
      <c r="O2" s="198"/>
      <c r="P2" s="201"/>
      <c r="Q2" s="202">
        <f>J2-0.4*N2</f>
        <v>0</v>
      </c>
    </row>
    <row r="3" ht="16.05" customHeight="1">
      <c r="A3" s="196"/>
      <c r="B3" s="197"/>
      <c r="C3" s="197"/>
      <c r="D3" s="196"/>
      <c r="E3" s="197"/>
      <c r="F3" s="198"/>
      <c r="G3" s="197"/>
      <c r="H3" s="199"/>
      <c r="I3" s="200"/>
      <c r="J3" s="200"/>
      <c r="K3" s="198"/>
      <c r="L3" s="198"/>
      <c r="M3" s="197"/>
      <c r="N3" s="198"/>
      <c r="O3" s="198"/>
      <c r="P3" s="201"/>
      <c r="Q3" s="202">
        <f>J3-0.4*N3</f>
        <v>0</v>
      </c>
    </row>
    <row r="4" ht="16.05" customHeight="1">
      <c r="A4" s="196"/>
      <c r="B4" s="197"/>
      <c r="C4" s="197"/>
      <c r="D4" s="196"/>
      <c r="E4" s="197"/>
      <c r="F4" s="198"/>
      <c r="G4" s="197"/>
      <c r="H4" s="199"/>
      <c r="I4" s="200"/>
      <c r="J4" s="200"/>
      <c r="K4" s="198"/>
      <c r="L4" s="198"/>
      <c r="M4" s="197"/>
      <c r="N4" s="198"/>
      <c r="O4" s="198"/>
      <c r="P4" s="201"/>
      <c r="Q4" s="202">
        <f>J4-0.4*N4</f>
        <v>0</v>
      </c>
    </row>
    <row r="5" ht="16.05" customHeight="1">
      <c r="A5" s="196"/>
      <c r="B5" s="197"/>
      <c r="C5" s="197"/>
      <c r="D5" s="196"/>
      <c r="E5" s="197"/>
      <c r="F5" s="198"/>
      <c r="G5" s="197"/>
      <c r="H5" s="199"/>
      <c r="I5" s="200"/>
      <c r="J5" s="200"/>
      <c r="K5" s="198"/>
      <c r="L5" s="198"/>
      <c r="M5" s="197"/>
      <c r="N5" s="198"/>
      <c r="O5" s="198"/>
      <c r="P5" s="201"/>
      <c r="Q5" s="202">
        <f>J5-0.4*N5</f>
        <v>0</v>
      </c>
    </row>
    <row r="6" ht="16.05" customHeight="1">
      <c r="A6" s="196"/>
      <c r="B6" s="197"/>
      <c r="C6" s="197"/>
      <c r="D6" s="196"/>
      <c r="E6" s="197"/>
      <c r="F6" s="198"/>
      <c r="G6" s="197"/>
      <c r="H6" s="199"/>
      <c r="I6" s="200"/>
      <c r="J6" s="200"/>
      <c r="K6" s="198"/>
      <c r="L6" s="198"/>
      <c r="M6" s="197"/>
      <c r="N6" s="198"/>
      <c r="O6" s="198"/>
      <c r="P6" s="201"/>
      <c r="Q6" s="202">
        <f>J6-0.4*N6</f>
        <v>0</v>
      </c>
    </row>
    <row r="7" ht="16.05" customHeight="1">
      <c r="A7" s="196"/>
      <c r="B7" s="197"/>
      <c r="C7" s="197"/>
      <c r="D7" s="196"/>
      <c r="E7" s="197"/>
      <c r="F7" s="198"/>
      <c r="G7" s="197"/>
      <c r="H7" s="199"/>
      <c r="I7" s="200"/>
      <c r="J7" s="200"/>
      <c r="K7" s="198"/>
      <c r="L7" s="198"/>
      <c r="M7" s="197"/>
      <c r="N7" s="198"/>
      <c r="O7" s="198"/>
      <c r="P7" s="201"/>
      <c r="Q7" s="202">
        <f>J7-0.4*N7</f>
        <v>0</v>
      </c>
    </row>
    <row r="8" ht="16.05" customHeight="1">
      <c r="A8" s="196"/>
      <c r="B8" s="197"/>
      <c r="C8" s="197"/>
      <c r="D8" s="196"/>
      <c r="E8" s="197"/>
      <c r="F8" s="198"/>
      <c r="G8" s="197"/>
      <c r="H8" s="199"/>
      <c r="I8" s="200"/>
      <c r="J8" s="200"/>
      <c r="K8" s="198"/>
      <c r="L8" s="198"/>
      <c r="M8" s="197"/>
      <c r="N8" s="198"/>
      <c r="O8" s="198"/>
      <c r="P8" s="201"/>
      <c r="Q8" s="202">
        <f>J8-0.4*N8</f>
        <v>0</v>
      </c>
    </row>
    <row r="9" ht="16.05" customHeight="1">
      <c r="A9" s="196"/>
      <c r="B9" s="197"/>
      <c r="C9" s="197"/>
      <c r="D9" s="196"/>
      <c r="E9" s="197"/>
      <c r="F9" s="198"/>
      <c r="G9" s="197"/>
      <c r="H9" s="199"/>
      <c r="I9" s="200"/>
      <c r="J9" s="200"/>
      <c r="K9" s="198"/>
      <c r="L9" s="198"/>
      <c r="M9" s="197"/>
      <c r="N9" s="198"/>
      <c r="O9" s="198"/>
      <c r="P9" s="201"/>
      <c r="Q9" s="202">
        <f>J9-0.4*N9</f>
        <v>0</v>
      </c>
    </row>
    <row r="10" ht="16.05" customHeight="1">
      <c r="A10" s="196"/>
      <c r="B10" s="197"/>
      <c r="C10" s="197"/>
      <c r="D10" s="196"/>
      <c r="E10" s="197"/>
      <c r="F10" s="198"/>
      <c r="G10" s="197"/>
      <c r="H10" s="199"/>
      <c r="I10" s="200"/>
      <c r="J10" s="200"/>
      <c r="K10" s="198"/>
      <c r="L10" s="198"/>
      <c r="M10" s="197"/>
      <c r="N10" s="198"/>
      <c r="O10" s="198"/>
      <c r="P10" s="201"/>
      <c r="Q10" s="202">
        <f>J10-0.4*N10</f>
        <v>0</v>
      </c>
    </row>
    <row r="11" ht="16.05" customHeight="1">
      <c r="A11" s="196"/>
      <c r="B11" s="197"/>
      <c r="C11" s="197"/>
      <c r="D11" s="196"/>
      <c r="E11" s="197"/>
      <c r="F11" s="198"/>
      <c r="G11" s="197"/>
      <c r="H11" s="199"/>
      <c r="I11" s="200"/>
      <c r="J11" s="200"/>
      <c r="K11" s="198"/>
      <c r="L11" s="198"/>
      <c r="M11" s="197"/>
      <c r="N11" s="198"/>
      <c r="O11" s="198"/>
      <c r="P11" s="201"/>
      <c r="Q11" s="202">
        <f>J11-0.4*N11</f>
        <v>0</v>
      </c>
    </row>
    <row r="12" ht="16.05" customHeight="1">
      <c r="A12" s="196"/>
      <c r="B12" s="197"/>
      <c r="C12" s="197"/>
      <c r="D12" s="196"/>
      <c r="E12" s="197"/>
      <c r="F12" s="198"/>
      <c r="G12" s="197"/>
      <c r="H12" s="199"/>
      <c r="I12" s="200"/>
      <c r="J12" s="200"/>
      <c r="K12" s="198"/>
      <c r="L12" s="198"/>
      <c r="M12" s="197"/>
      <c r="N12" s="198"/>
      <c r="O12" s="198"/>
      <c r="P12" s="201"/>
      <c r="Q12" s="202">
        <f>J12-0.4*N12</f>
        <v>0</v>
      </c>
    </row>
    <row r="13" ht="16.05" customHeight="1">
      <c r="A13" s="196"/>
      <c r="B13" s="197"/>
      <c r="C13" s="197"/>
      <c r="D13" s="196"/>
      <c r="E13" s="197"/>
      <c r="F13" s="198"/>
      <c r="G13" s="197"/>
      <c r="H13" s="199"/>
      <c r="I13" s="200"/>
      <c r="J13" s="200"/>
      <c r="K13" s="198"/>
      <c r="L13" s="198"/>
      <c r="M13" s="197"/>
      <c r="N13" s="198"/>
      <c r="O13" s="198"/>
      <c r="P13" s="201"/>
      <c r="Q13" s="202">
        <f>J13-0.4*N13</f>
        <v>0</v>
      </c>
    </row>
    <row r="14" ht="16.05" customHeight="1">
      <c r="A14" s="196"/>
      <c r="B14" s="197"/>
      <c r="C14" s="197"/>
      <c r="D14" s="196"/>
      <c r="E14" s="197"/>
      <c r="F14" s="198"/>
      <c r="G14" s="197"/>
      <c r="H14" s="199"/>
      <c r="I14" s="200"/>
      <c r="J14" s="200"/>
      <c r="K14" s="198"/>
      <c r="L14" s="198"/>
      <c r="M14" s="197"/>
      <c r="N14" s="198"/>
      <c r="O14" s="198"/>
      <c r="P14" s="201"/>
      <c r="Q14" s="202">
        <f>J14-0.4*N14</f>
        <v>0</v>
      </c>
    </row>
    <row r="15" ht="16.05" customHeight="1">
      <c r="A15" s="196"/>
      <c r="B15" s="197"/>
      <c r="C15" s="197"/>
      <c r="D15" s="196"/>
      <c r="E15" s="197"/>
      <c r="F15" s="198"/>
      <c r="G15" s="197"/>
      <c r="H15" s="199"/>
      <c r="I15" s="200"/>
      <c r="J15" s="200"/>
      <c r="K15" s="198"/>
      <c r="L15" s="198"/>
      <c r="M15" s="197"/>
      <c r="N15" s="198"/>
      <c r="O15" s="198"/>
      <c r="P15" s="201"/>
      <c r="Q15" s="202">
        <f>J15-0.4*N15</f>
        <v>0</v>
      </c>
    </row>
    <row r="16" ht="16.05" customHeight="1">
      <c r="A16" s="196"/>
      <c r="B16" s="197"/>
      <c r="C16" s="197"/>
      <c r="D16" s="196"/>
      <c r="E16" s="197"/>
      <c r="F16" s="198"/>
      <c r="G16" s="197"/>
      <c r="H16" s="199"/>
      <c r="I16" s="200"/>
      <c r="J16" s="200"/>
      <c r="K16" s="198"/>
      <c r="L16" s="198"/>
      <c r="M16" s="197"/>
      <c r="N16" s="198"/>
      <c r="O16" s="198"/>
      <c r="P16" s="201"/>
      <c r="Q16" s="202">
        <f>J16-0.4*N16</f>
        <v>0</v>
      </c>
    </row>
    <row r="17" ht="16.05" customHeight="1">
      <c r="A17" s="196"/>
      <c r="B17" s="197"/>
      <c r="C17" s="197"/>
      <c r="D17" s="196"/>
      <c r="E17" s="197"/>
      <c r="F17" s="198"/>
      <c r="G17" s="197"/>
      <c r="H17" s="199"/>
      <c r="I17" s="200"/>
      <c r="J17" s="200"/>
      <c r="K17" s="198"/>
      <c r="L17" s="198"/>
      <c r="M17" s="197"/>
      <c r="N17" s="198"/>
      <c r="O17" s="198"/>
      <c r="P17" s="201"/>
      <c r="Q17" s="202">
        <f>J17-0.4*N17</f>
        <v>0</v>
      </c>
    </row>
    <row r="18" ht="16.05" customHeight="1">
      <c r="A18" s="196"/>
      <c r="B18" s="197"/>
      <c r="C18" s="197"/>
      <c r="D18" s="196"/>
      <c r="E18" s="197"/>
      <c r="F18" s="198"/>
      <c r="G18" s="197"/>
      <c r="H18" s="199"/>
      <c r="I18" s="200"/>
      <c r="J18" s="200"/>
      <c r="K18" s="198"/>
      <c r="L18" s="198"/>
      <c r="M18" s="197"/>
      <c r="N18" s="198"/>
      <c r="O18" s="198"/>
      <c r="P18" s="201"/>
      <c r="Q18" s="202">
        <f>J18-0.4*N18</f>
        <v>0</v>
      </c>
    </row>
    <row r="19" ht="16.05" customHeight="1">
      <c r="A19" s="196"/>
      <c r="B19" s="197"/>
      <c r="C19" s="197"/>
      <c r="D19" s="196"/>
      <c r="E19" s="197"/>
      <c r="F19" s="198"/>
      <c r="G19" s="197"/>
      <c r="H19" s="199"/>
      <c r="I19" s="200"/>
      <c r="J19" s="200"/>
      <c r="K19" s="198"/>
      <c r="L19" s="198"/>
      <c r="M19" s="197"/>
      <c r="N19" s="198"/>
      <c r="O19" s="198"/>
      <c r="P19" s="201"/>
      <c r="Q19" s="202">
        <f>J19-0.4*N19</f>
        <v>0</v>
      </c>
    </row>
    <row r="20" ht="16.05" customHeight="1">
      <c r="A20" s="196"/>
      <c r="B20" s="197"/>
      <c r="C20" s="197"/>
      <c r="D20" s="196"/>
      <c r="E20" s="197"/>
      <c r="F20" s="198"/>
      <c r="G20" s="197"/>
      <c r="H20" s="199"/>
      <c r="I20" s="200"/>
      <c r="J20" s="200"/>
      <c r="K20" s="198"/>
      <c r="L20" s="198"/>
      <c r="M20" s="197"/>
      <c r="N20" s="198"/>
      <c r="O20" s="198"/>
      <c r="P20" s="201"/>
      <c r="Q20" s="202">
        <f>J20-0.4*N20</f>
        <v>0</v>
      </c>
    </row>
    <row r="21" ht="16.05" customHeight="1">
      <c r="A21" s="196"/>
      <c r="B21" s="197"/>
      <c r="C21" s="197"/>
      <c r="D21" s="196"/>
      <c r="E21" s="197"/>
      <c r="F21" s="198"/>
      <c r="G21" s="197"/>
      <c r="H21" s="199"/>
      <c r="I21" s="200"/>
      <c r="J21" s="200"/>
      <c r="K21" s="198"/>
      <c r="L21" s="198"/>
      <c r="M21" s="197"/>
      <c r="N21" s="198"/>
      <c r="O21" s="198"/>
      <c r="P21" s="201"/>
      <c r="Q21" s="202">
        <f>J21-0.4*N21</f>
        <v>0</v>
      </c>
    </row>
    <row r="22" ht="16.05" customHeight="1">
      <c r="A22" s="196"/>
      <c r="B22" s="197"/>
      <c r="C22" s="197"/>
      <c r="D22" s="196"/>
      <c r="E22" s="197"/>
      <c r="F22" s="198"/>
      <c r="G22" s="197"/>
      <c r="H22" s="199"/>
      <c r="I22" s="200"/>
      <c r="J22" s="200"/>
      <c r="K22" s="198"/>
      <c r="L22" s="198"/>
      <c r="M22" s="197"/>
      <c r="N22" s="198"/>
      <c r="O22" s="198"/>
      <c r="P22" s="201"/>
      <c r="Q22" s="202">
        <f>J22-0.4*N22</f>
        <v>0</v>
      </c>
    </row>
    <row r="23" ht="16.05" customHeight="1">
      <c r="A23" s="196"/>
      <c r="B23" s="197"/>
      <c r="C23" s="197"/>
      <c r="D23" s="196"/>
      <c r="E23" s="197"/>
      <c r="F23" s="198"/>
      <c r="G23" s="197"/>
      <c r="H23" s="199"/>
      <c r="I23" s="200"/>
      <c r="J23" s="200"/>
      <c r="K23" s="198"/>
      <c r="L23" s="198"/>
      <c r="M23" s="197"/>
      <c r="N23" s="198"/>
      <c r="O23" s="198"/>
      <c r="P23" s="201"/>
      <c r="Q23" s="202">
        <f>J23-0.4*N23</f>
        <v>0</v>
      </c>
    </row>
    <row r="24" ht="16.05" customHeight="1">
      <c r="A24" s="196"/>
      <c r="B24" s="197"/>
      <c r="C24" s="197"/>
      <c r="D24" s="196"/>
      <c r="E24" s="197"/>
      <c r="F24" s="198"/>
      <c r="G24" s="197"/>
      <c r="H24" s="199"/>
      <c r="I24" s="200"/>
      <c r="J24" s="200"/>
      <c r="K24" s="198"/>
      <c r="L24" s="198"/>
      <c r="M24" s="197"/>
      <c r="N24" s="198"/>
      <c r="O24" s="198"/>
      <c r="P24" s="201"/>
      <c r="Q24" s="202">
        <f>J24-0.4*N24</f>
        <v>0</v>
      </c>
    </row>
    <row r="25" ht="16.05" customHeight="1">
      <c r="A25" s="196"/>
      <c r="B25" s="197"/>
      <c r="C25" s="197"/>
      <c r="D25" s="196"/>
      <c r="E25" s="197"/>
      <c r="F25" s="198"/>
      <c r="G25" s="197"/>
      <c r="H25" s="199"/>
      <c r="I25" s="200"/>
      <c r="J25" s="200"/>
      <c r="K25" s="198"/>
      <c r="L25" s="198"/>
      <c r="M25" s="197"/>
      <c r="N25" s="198"/>
      <c r="O25" s="198"/>
      <c r="P25" s="201"/>
      <c r="Q25" s="202">
        <f>J25-0.4*N25</f>
        <v>0</v>
      </c>
    </row>
    <row r="26" ht="16.05" customHeight="1">
      <c r="A26" s="196"/>
      <c r="B26" s="197"/>
      <c r="C26" s="197"/>
      <c r="D26" s="196"/>
      <c r="E26" s="197"/>
      <c r="F26" s="198"/>
      <c r="G26" s="197"/>
      <c r="H26" s="199"/>
      <c r="I26" s="200"/>
      <c r="J26" s="200"/>
      <c r="K26" s="198"/>
      <c r="L26" s="198"/>
      <c r="M26" s="197"/>
      <c r="N26" s="198"/>
      <c r="O26" s="198"/>
      <c r="P26" s="201"/>
      <c r="Q26" s="202">
        <f>J26-0.4*N26</f>
        <v>0</v>
      </c>
    </row>
    <row r="27" ht="16.05" customHeight="1">
      <c r="A27" s="196"/>
      <c r="B27" s="197"/>
      <c r="C27" s="197"/>
      <c r="D27" s="196"/>
      <c r="E27" s="197"/>
      <c r="F27" s="198"/>
      <c r="G27" s="197"/>
      <c r="H27" s="199"/>
      <c r="I27" s="200"/>
      <c r="J27" s="200"/>
      <c r="K27" s="198"/>
      <c r="L27" s="198"/>
      <c r="M27" s="197"/>
      <c r="N27" s="198"/>
      <c r="O27" s="198"/>
      <c r="P27" s="201"/>
      <c r="Q27" s="202">
        <f>J27-0.4*N27</f>
        <v>0</v>
      </c>
    </row>
    <row r="28" ht="16.05" customHeight="1">
      <c r="A28" s="196"/>
      <c r="B28" s="197"/>
      <c r="C28" s="197"/>
      <c r="D28" s="196"/>
      <c r="E28" s="197"/>
      <c r="F28" s="198"/>
      <c r="G28" s="197"/>
      <c r="H28" s="199"/>
      <c r="I28" s="200"/>
      <c r="J28" s="200"/>
      <c r="K28" s="198"/>
      <c r="L28" s="198"/>
      <c r="M28" s="197"/>
      <c r="N28" s="198"/>
      <c r="O28" s="198"/>
      <c r="P28" s="201"/>
      <c r="Q28" s="202">
        <f>J28-0.4*N28</f>
        <v>0</v>
      </c>
    </row>
    <row r="29" ht="16.05" customHeight="1">
      <c r="A29" s="196"/>
      <c r="B29" s="197"/>
      <c r="C29" s="197"/>
      <c r="D29" s="196"/>
      <c r="E29" s="197"/>
      <c r="F29" s="198"/>
      <c r="G29" s="197"/>
      <c r="H29" s="199"/>
      <c r="I29" s="200"/>
      <c r="J29" s="200"/>
      <c r="K29" s="198"/>
      <c r="L29" s="198"/>
      <c r="M29" s="197"/>
      <c r="N29" s="198"/>
      <c r="O29" s="198"/>
      <c r="P29" s="201"/>
      <c r="Q29" s="202">
        <f>J29-0.4*N29</f>
        <v>0</v>
      </c>
    </row>
    <row r="30" ht="16.05" customHeight="1">
      <c r="A30" s="196"/>
      <c r="B30" s="197"/>
      <c r="C30" s="197"/>
      <c r="D30" s="196"/>
      <c r="E30" s="197"/>
      <c r="F30" s="198"/>
      <c r="G30" s="197"/>
      <c r="H30" s="199"/>
      <c r="I30" s="200"/>
      <c r="J30" s="200"/>
      <c r="K30" s="198"/>
      <c r="L30" s="198"/>
      <c r="M30" s="197"/>
      <c r="N30" s="198"/>
      <c r="O30" s="198"/>
      <c r="P30" s="201"/>
      <c r="Q30" s="202">
        <f>J30-0.4*N30</f>
        <v>0</v>
      </c>
    </row>
    <row r="31" ht="16.05" customHeight="1">
      <c r="A31" s="196"/>
      <c r="B31" s="197"/>
      <c r="C31" s="197"/>
      <c r="D31" s="196"/>
      <c r="E31" s="197"/>
      <c r="F31" s="198"/>
      <c r="G31" s="197"/>
      <c r="H31" s="199"/>
      <c r="I31" s="200"/>
      <c r="J31" s="200"/>
      <c r="K31" s="198"/>
      <c r="L31" s="198"/>
      <c r="M31" s="197"/>
      <c r="N31" s="198"/>
      <c r="O31" s="198"/>
      <c r="P31" s="201"/>
      <c r="Q31" s="202">
        <f>J31-0.4*N31</f>
        <v>0</v>
      </c>
    </row>
    <row r="32" ht="16.05" customHeight="1">
      <c r="A32" s="196"/>
      <c r="B32" s="197"/>
      <c r="C32" s="197"/>
      <c r="D32" s="196"/>
      <c r="E32" s="197"/>
      <c r="F32" s="198"/>
      <c r="G32" s="197"/>
      <c r="H32" s="199"/>
      <c r="I32" s="200"/>
      <c r="J32" s="200"/>
      <c r="K32" s="198"/>
      <c r="L32" s="198"/>
      <c r="M32" s="197"/>
      <c r="N32" s="198"/>
      <c r="O32" s="198"/>
      <c r="P32" s="201"/>
      <c r="Q32" s="202">
        <f>J32-0.4*N32</f>
        <v>0</v>
      </c>
    </row>
    <row r="33" ht="16.05" customHeight="1">
      <c r="A33" s="196"/>
      <c r="B33" s="197"/>
      <c r="C33" s="197"/>
      <c r="D33" s="196"/>
      <c r="E33" s="197"/>
      <c r="F33" s="198"/>
      <c r="G33" s="197"/>
      <c r="H33" s="199"/>
      <c r="I33" s="200"/>
      <c r="J33" s="200"/>
      <c r="K33" s="198"/>
      <c r="L33" s="198"/>
      <c r="M33" s="197"/>
      <c r="N33" s="198"/>
      <c r="O33" s="198"/>
      <c r="P33" s="201"/>
      <c r="Q33" s="202">
        <f>J33-0.4*N33</f>
        <v>0</v>
      </c>
    </row>
    <row r="34" ht="16.05" customHeight="1">
      <c r="A34" s="196"/>
      <c r="B34" s="197"/>
      <c r="C34" s="197"/>
      <c r="D34" s="196"/>
      <c r="E34" s="197"/>
      <c r="F34" s="198"/>
      <c r="G34" s="197"/>
      <c r="H34" s="199"/>
      <c r="I34" s="200"/>
      <c r="J34" s="200"/>
      <c r="K34" s="198"/>
      <c r="L34" s="198"/>
      <c r="M34" s="197"/>
      <c r="N34" s="198"/>
      <c r="O34" s="198"/>
      <c r="P34" s="201"/>
      <c r="Q34" s="202">
        <f>J34-0.4*N34</f>
        <v>0</v>
      </c>
    </row>
    <row r="35" ht="16.05" customHeight="1">
      <c r="A35" s="196"/>
      <c r="B35" s="197"/>
      <c r="C35" s="197"/>
      <c r="D35" s="196"/>
      <c r="E35" s="197"/>
      <c r="F35" s="198"/>
      <c r="G35" s="197"/>
      <c r="H35" s="199"/>
      <c r="I35" s="200"/>
      <c r="J35" s="200"/>
      <c r="K35" s="198"/>
      <c r="L35" s="198"/>
      <c r="M35" s="197"/>
      <c r="N35" s="198"/>
      <c r="O35" s="198"/>
      <c r="P35" s="201"/>
      <c r="Q35" s="202">
        <f>J35-0.4*N35</f>
        <v>0</v>
      </c>
    </row>
    <row r="36" ht="16.05" customHeight="1">
      <c r="A36" s="196"/>
      <c r="B36" s="197"/>
      <c r="C36" s="197"/>
      <c r="D36" s="196"/>
      <c r="E36" s="197"/>
      <c r="F36" s="198"/>
      <c r="G36" s="197"/>
      <c r="H36" s="199"/>
      <c r="I36" s="200"/>
      <c r="J36" s="200"/>
      <c r="K36" s="198"/>
      <c r="L36" s="198"/>
      <c r="M36" s="197"/>
      <c r="N36" s="198"/>
      <c r="O36" s="198"/>
      <c r="P36" s="201"/>
      <c r="Q36" s="202">
        <f>J36-0.4*N36</f>
        <v>0</v>
      </c>
    </row>
    <row r="37" ht="16.05" customHeight="1">
      <c r="A37" s="196"/>
      <c r="B37" s="197"/>
      <c r="C37" s="197"/>
      <c r="D37" s="196"/>
      <c r="E37" s="197"/>
      <c r="F37" s="198"/>
      <c r="G37" s="197"/>
      <c r="H37" s="199"/>
      <c r="I37" s="200"/>
      <c r="J37" s="200"/>
      <c r="K37" s="198"/>
      <c r="L37" s="198"/>
      <c r="M37" s="197"/>
      <c r="N37" s="198"/>
      <c r="O37" s="198"/>
      <c r="P37" s="201"/>
      <c r="Q37" s="202">
        <f>J37-0.4*N37</f>
        <v>0</v>
      </c>
    </row>
    <row r="38" ht="16.05" customHeight="1">
      <c r="A38" s="196"/>
      <c r="B38" s="197"/>
      <c r="C38" s="197"/>
      <c r="D38" s="196"/>
      <c r="E38" s="197"/>
      <c r="F38" s="198"/>
      <c r="G38" s="197"/>
      <c r="H38" s="199"/>
      <c r="I38" s="200"/>
      <c r="J38" s="200"/>
      <c r="K38" s="198"/>
      <c r="L38" s="198"/>
      <c r="M38" s="197"/>
      <c r="N38" s="198"/>
      <c r="O38" s="198"/>
      <c r="P38" s="201"/>
      <c r="Q38" s="202">
        <f>J38-0.4*N38</f>
        <v>0</v>
      </c>
    </row>
    <row r="39" ht="16.05" customHeight="1">
      <c r="A39" s="196"/>
      <c r="B39" s="197"/>
      <c r="C39" s="197"/>
      <c r="D39" s="196"/>
      <c r="E39" s="197"/>
      <c r="F39" s="198"/>
      <c r="G39" s="197"/>
      <c r="H39" s="199"/>
      <c r="I39" s="200"/>
      <c r="J39" s="200"/>
      <c r="K39" s="198"/>
      <c r="L39" s="198"/>
      <c r="M39" s="197"/>
      <c r="N39" s="198"/>
      <c r="O39" s="198"/>
      <c r="P39" s="201"/>
      <c r="Q39" s="202">
        <f>J39-0.4*N39</f>
        <v>0</v>
      </c>
    </row>
    <row r="40" ht="16.05" customHeight="1">
      <c r="A40" s="196"/>
      <c r="B40" s="197"/>
      <c r="C40" s="197"/>
      <c r="D40" s="196"/>
      <c r="E40" s="197"/>
      <c r="F40" s="198"/>
      <c r="G40" s="197"/>
      <c r="H40" s="199"/>
      <c r="I40" s="200"/>
      <c r="J40" s="200"/>
      <c r="K40" s="198"/>
      <c r="L40" s="198"/>
      <c r="M40" s="197"/>
      <c r="N40" s="198"/>
      <c r="O40" s="198"/>
      <c r="P40" s="201"/>
      <c r="Q40" s="202">
        <f>J40-0.4*N40</f>
        <v>0</v>
      </c>
    </row>
    <row r="41" ht="16.05" customHeight="1">
      <c r="A41" s="196"/>
      <c r="B41" s="197"/>
      <c r="C41" s="197"/>
      <c r="D41" s="196"/>
      <c r="E41" s="197"/>
      <c r="F41" s="198"/>
      <c r="G41" s="197"/>
      <c r="H41" s="199"/>
      <c r="I41" s="200"/>
      <c r="J41" s="200"/>
      <c r="K41" s="198"/>
      <c r="L41" s="198"/>
      <c r="M41" s="197"/>
      <c r="N41" s="198"/>
      <c r="O41" s="198"/>
      <c r="P41" s="201"/>
      <c r="Q41" s="202">
        <f>J41-0.4*N41</f>
        <v>0</v>
      </c>
    </row>
    <row r="42" ht="16.05" customHeight="1">
      <c r="A42" s="196"/>
      <c r="B42" s="197"/>
      <c r="C42" s="197"/>
      <c r="D42" s="196"/>
      <c r="E42" s="197"/>
      <c r="F42" s="198"/>
      <c r="G42" s="197"/>
      <c r="H42" s="199"/>
      <c r="I42" s="200"/>
      <c r="J42" s="200"/>
      <c r="K42" s="198"/>
      <c r="L42" s="198"/>
      <c r="M42" s="197"/>
      <c r="N42" s="198"/>
      <c r="O42" s="198"/>
      <c r="P42" s="201"/>
      <c r="Q42" s="202">
        <f>J42-0.4*N42</f>
        <v>0</v>
      </c>
    </row>
    <row r="43" ht="16.05" customHeight="1">
      <c r="A43" s="196"/>
      <c r="B43" s="197"/>
      <c r="C43" s="197"/>
      <c r="D43" s="196"/>
      <c r="E43" s="197"/>
      <c r="F43" s="198"/>
      <c r="G43" s="197"/>
      <c r="H43" s="199"/>
      <c r="I43" s="200"/>
      <c r="J43" s="200"/>
      <c r="K43" s="198"/>
      <c r="L43" s="198"/>
      <c r="M43" s="197"/>
      <c r="N43" s="198"/>
      <c r="O43" s="198"/>
      <c r="P43" s="201"/>
      <c r="Q43" s="202">
        <f>J43-0.4*N43</f>
        <v>0</v>
      </c>
    </row>
    <row r="44" ht="16.05" customHeight="1">
      <c r="A44" s="196"/>
      <c r="B44" s="197"/>
      <c r="C44" s="197"/>
      <c r="D44" s="196"/>
      <c r="E44" s="197"/>
      <c r="F44" s="198"/>
      <c r="G44" s="197"/>
      <c r="H44" s="199"/>
      <c r="I44" s="200"/>
      <c r="J44" s="200"/>
      <c r="K44" s="198"/>
      <c r="L44" s="198"/>
      <c r="M44" s="197"/>
      <c r="N44" s="198"/>
      <c r="O44" s="198"/>
      <c r="P44" s="201"/>
      <c r="Q44" s="202">
        <f>J44-0.4*N44</f>
        <v>0</v>
      </c>
    </row>
    <row r="45" ht="16.05" customHeight="1">
      <c r="A45" s="196"/>
      <c r="B45" s="197"/>
      <c r="C45" s="197"/>
      <c r="D45" s="196"/>
      <c r="E45" s="197"/>
      <c r="F45" s="198"/>
      <c r="G45" s="197"/>
      <c r="H45" s="199"/>
      <c r="I45" s="200"/>
      <c r="J45" s="200"/>
      <c r="K45" s="198"/>
      <c r="L45" s="198"/>
      <c r="M45" s="197"/>
      <c r="N45" s="198"/>
      <c r="O45" s="198"/>
      <c r="P45" s="201"/>
      <c r="Q45" s="202">
        <f>J45-0.4*N45</f>
        <v>0</v>
      </c>
    </row>
    <row r="46" ht="16.05" customHeight="1">
      <c r="A46" s="196"/>
      <c r="B46" s="197"/>
      <c r="C46" s="197"/>
      <c r="D46" s="196"/>
      <c r="E46" s="197"/>
      <c r="F46" s="198"/>
      <c r="G46" s="197"/>
      <c r="H46" s="199"/>
      <c r="I46" s="200"/>
      <c r="J46" s="200"/>
      <c r="K46" s="198"/>
      <c r="L46" s="198"/>
      <c r="M46" s="197"/>
      <c r="N46" s="198"/>
      <c r="O46" s="198"/>
      <c r="P46" s="201"/>
      <c r="Q46" s="202">
        <f>J46-0.4*N46</f>
        <v>0</v>
      </c>
    </row>
    <row r="47" ht="16.05" customHeight="1">
      <c r="A47" s="196"/>
      <c r="B47" s="197"/>
      <c r="C47" s="197"/>
      <c r="D47" s="196"/>
      <c r="E47" s="197"/>
      <c r="F47" s="198"/>
      <c r="G47" s="197"/>
      <c r="H47" s="199"/>
      <c r="I47" s="200"/>
      <c r="J47" s="200"/>
      <c r="K47" s="198"/>
      <c r="L47" s="198"/>
      <c r="M47" s="197"/>
      <c r="N47" s="198"/>
      <c r="O47" s="198"/>
      <c r="P47" s="201"/>
      <c r="Q47" s="202">
        <f>J47-0.4*N47</f>
        <v>0</v>
      </c>
    </row>
    <row r="48" ht="16.05" customHeight="1">
      <c r="A48" s="196"/>
      <c r="B48" s="197"/>
      <c r="C48" s="197"/>
      <c r="D48" s="196"/>
      <c r="E48" s="197"/>
      <c r="F48" s="198"/>
      <c r="G48" s="197"/>
      <c r="H48" s="199"/>
      <c r="I48" s="200"/>
      <c r="J48" s="200"/>
      <c r="K48" s="198"/>
      <c r="L48" s="198"/>
      <c r="M48" s="197"/>
      <c r="N48" s="198"/>
      <c r="O48" s="198"/>
      <c r="P48" s="201"/>
      <c r="Q48" s="202">
        <f>J48-0.4*N48</f>
        <v>0</v>
      </c>
    </row>
    <row r="49" ht="16.05" customHeight="1">
      <c r="A49" s="196"/>
      <c r="B49" s="197"/>
      <c r="C49" s="197"/>
      <c r="D49" s="196"/>
      <c r="E49" s="197"/>
      <c r="F49" s="198"/>
      <c r="G49" s="197"/>
      <c r="H49" s="199"/>
      <c r="I49" s="200"/>
      <c r="J49" s="200"/>
      <c r="K49" s="198"/>
      <c r="L49" s="198"/>
      <c r="M49" s="197"/>
      <c r="N49" s="198"/>
      <c r="O49" s="198"/>
      <c r="P49" s="201"/>
      <c r="Q49" s="202">
        <f>J49-0.4*N49</f>
        <v>0</v>
      </c>
    </row>
    <row r="50" ht="16.05" customHeight="1">
      <c r="A50" s="196"/>
      <c r="B50" s="197"/>
      <c r="C50" s="197"/>
      <c r="D50" s="196"/>
      <c r="E50" s="197"/>
      <c r="F50" s="198"/>
      <c r="G50" s="197"/>
      <c r="H50" s="199"/>
      <c r="I50" s="200"/>
      <c r="J50" s="200"/>
      <c r="K50" s="198"/>
      <c r="L50" s="198"/>
      <c r="M50" s="197"/>
      <c r="N50" s="198"/>
      <c r="O50" s="198"/>
      <c r="P50" s="201"/>
      <c r="Q50" s="202">
        <f>J50-0.4*N50</f>
        <v>0</v>
      </c>
    </row>
    <row r="51" ht="16.05" customHeight="1">
      <c r="A51" s="196"/>
      <c r="B51" s="197"/>
      <c r="C51" s="197"/>
      <c r="D51" s="196"/>
      <c r="E51" s="197"/>
      <c r="F51" s="198"/>
      <c r="G51" s="197"/>
      <c r="H51" s="199"/>
      <c r="I51" s="200"/>
      <c r="J51" s="200"/>
      <c r="K51" s="198"/>
      <c r="L51" s="198"/>
      <c r="M51" s="197"/>
      <c r="N51" s="198"/>
      <c r="O51" s="198"/>
      <c r="P51" s="201"/>
      <c r="Q51" s="202">
        <f>J51-0.4*N51</f>
        <v>0</v>
      </c>
    </row>
    <row r="52" ht="16.05" customHeight="1">
      <c r="A52" s="196"/>
      <c r="B52" s="197"/>
      <c r="C52" s="197"/>
      <c r="D52" s="196"/>
      <c r="E52" s="197"/>
      <c r="F52" s="198"/>
      <c r="G52" s="197"/>
      <c r="H52" s="199"/>
      <c r="I52" s="200"/>
      <c r="J52" s="200"/>
      <c r="K52" s="198"/>
      <c r="L52" s="198"/>
      <c r="M52" s="197"/>
      <c r="N52" s="198"/>
      <c r="O52" s="198"/>
      <c r="P52" s="201"/>
      <c r="Q52" s="202">
        <f>J52-0.4*N52</f>
        <v>0</v>
      </c>
    </row>
    <row r="53" ht="16.05" customHeight="1">
      <c r="A53" s="196"/>
      <c r="B53" s="197"/>
      <c r="C53" s="197"/>
      <c r="D53" s="196"/>
      <c r="E53" s="197"/>
      <c r="F53" s="198"/>
      <c r="G53" s="197"/>
      <c r="H53" s="199"/>
      <c r="I53" s="200"/>
      <c r="J53" s="200"/>
      <c r="K53" s="198"/>
      <c r="L53" s="198"/>
      <c r="M53" s="197"/>
      <c r="N53" s="198"/>
      <c r="O53" s="198"/>
      <c r="P53" s="201"/>
      <c r="Q53" s="202">
        <f>J53-0.4*N53</f>
        <v>0</v>
      </c>
    </row>
    <row r="54" ht="16.05" customHeight="1">
      <c r="A54" s="196"/>
      <c r="B54" s="197"/>
      <c r="C54" s="197"/>
      <c r="D54" s="196"/>
      <c r="E54" s="197"/>
      <c r="F54" s="198"/>
      <c r="G54" s="197"/>
      <c r="H54" s="199"/>
      <c r="I54" s="200"/>
      <c r="J54" s="200"/>
      <c r="K54" s="198"/>
      <c r="L54" s="198"/>
      <c r="M54" s="197"/>
      <c r="N54" s="198"/>
      <c r="O54" s="198"/>
      <c r="P54" s="201"/>
      <c r="Q54" s="202">
        <f>J54-0.4*N54</f>
        <v>0</v>
      </c>
    </row>
    <row r="55" ht="16.05" customHeight="1">
      <c r="A55" s="196"/>
      <c r="B55" s="197"/>
      <c r="C55" s="197"/>
      <c r="D55" s="196"/>
      <c r="E55" s="197"/>
      <c r="F55" s="198"/>
      <c r="G55" s="197"/>
      <c r="H55" s="199"/>
      <c r="I55" s="200"/>
      <c r="J55" s="200"/>
      <c r="K55" s="198"/>
      <c r="L55" s="198"/>
      <c r="M55" s="197"/>
      <c r="N55" s="198"/>
      <c r="O55" s="198"/>
      <c r="P55" s="201"/>
      <c r="Q55" s="202">
        <f>J55-0.4*N55</f>
        <v>0</v>
      </c>
    </row>
    <row r="56" ht="16.05" customHeight="1">
      <c r="A56" s="196"/>
      <c r="B56" s="197"/>
      <c r="C56" s="197"/>
      <c r="D56" s="196"/>
      <c r="E56" s="197"/>
      <c r="F56" s="198"/>
      <c r="G56" s="197"/>
      <c r="H56" s="199"/>
      <c r="I56" s="200"/>
      <c r="J56" s="200"/>
      <c r="K56" s="198"/>
      <c r="L56" s="198"/>
      <c r="M56" s="197"/>
      <c r="N56" s="198"/>
      <c r="O56" s="198"/>
      <c r="P56" s="201"/>
      <c r="Q56" s="202">
        <f>J56-0.4*N56</f>
        <v>0</v>
      </c>
    </row>
    <row r="57" ht="16.05" customHeight="1">
      <c r="A57" s="196"/>
      <c r="B57" s="197"/>
      <c r="C57" s="197"/>
      <c r="D57" s="196"/>
      <c r="E57" s="197"/>
      <c r="F57" s="198"/>
      <c r="G57" s="197"/>
      <c r="H57" s="199"/>
      <c r="I57" s="200"/>
      <c r="J57" s="200"/>
      <c r="K57" s="198"/>
      <c r="L57" s="198"/>
      <c r="M57" s="197"/>
      <c r="N57" s="198"/>
      <c r="O57" s="198"/>
      <c r="P57" s="201"/>
      <c r="Q57" s="202">
        <f>J57-0.4*N57</f>
        <v>0</v>
      </c>
    </row>
    <row r="58" ht="16.05" customHeight="1">
      <c r="A58" s="196"/>
      <c r="B58" s="197"/>
      <c r="C58" s="197"/>
      <c r="D58" s="196"/>
      <c r="E58" s="197"/>
      <c r="F58" s="198"/>
      <c r="G58" s="197"/>
      <c r="H58" s="199"/>
      <c r="I58" s="200"/>
      <c r="J58" s="200"/>
      <c r="K58" s="198"/>
      <c r="L58" s="198"/>
      <c r="M58" s="197"/>
      <c r="N58" s="198"/>
      <c r="O58" s="198"/>
      <c r="P58" s="201"/>
      <c r="Q58" s="202">
        <f>J58-0.4*N58</f>
        <v>0</v>
      </c>
    </row>
    <row r="59" ht="16.05" customHeight="1">
      <c r="A59" s="196"/>
      <c r="B59" s="197"/>
      <c r="C59" s="197"/>
      <c r="D59" s="196"/>
      <c r="E59" s="197"/>
      <c r="F59" s="198"/>
      <c r="G59" s="197"/>
      <c r="H59" s="199"/>
      <c r="I59" s="200"/>
      <c r="J59" s="200"/>
      <c r="K59" s="198"/>
      <c r="L59" s="198"/>
      <c r="M59" s="197"/>
      <c r="N59" s="198"/>
      <c r="O59" s="198"/>
      <c r="P59" s="201"/>
      <c r="Q59" s="202">
        <f>J59-0.4*N59</f>
        <v>0</v>
      </c>
    </row>
    <row r="60" ht="16.05" customHeight="1">
      <c r="A60" s="196"/>
      <c r="B60" s="197"/>
      <c r="C60" s="197"/>
      <c r="D60" s="196"/>
      <c r="E60" s="197"/>
      <c r="F60" s="198"/>
      <c r="G60" s="197"/>
      <c r="H60" s="199"/>
      <c r="I60" s="200"/>
      <c r="J60" s="200"/>
      <c r="K60" s="198"/>
      <c r="L60" s="198"/>
      <c r="M60" s="197"/>
      <c r="N60" s="198"/>
      <c r="O60" s="198"/>
      <c r="P60" s="201"/>
      <c r="Q60" s="202">
        <f>J60-0.4*N60</f>
        <v>0</v>
      </c>
    </row>
    <row r="61" ht="16.05" customHeight="1">
      <c r="A61" s="196"/>
      <c r="B61" s="197"/>
      <c r="C61" s="197"/>
      <c r="D61" s="196"/>
      <c r="E61" s="197"/>
      <c r="F61" s="198"/>
      <c r="G61" s="197"/>
      <c r="H61" s="199"/>
      <c r="I61" s="200"/>
      <c r="J61" s="200"/>
      <c r="K61" s="198"/>
      <c r="L61" s="198"/>
      <c r="M61" s="197"/>
      <c r="N61" s="198"/>
      <c r="O61" s="198"/>
      <c r="P61" s="201"/>
      <c r="Q61" s="202">
        <f>J61-0.4*N61</f>
        <v>0</v>
      </c>
    </row>
    <row r="62" ht="16.05" customHeight="1">
      <c r="A62" s="196"/>
      <c r="B62" s="197"/>
      <c r="C62" s="197"/>
      <c r="D62" s="196"/>
      <c r="E62" s="197"/>
      <c r="F62" s="198"/>
      <c r="G62" s="197"/>
      <c r="H62" s="199"/>
      <c r="I62" s="200"/>
      <c r="J62" s="200"/>
      <c r="K62" s="198"/>
      <c r="L62" s="198"/>
      <c r="M62" s="197"/>
      <c r="N62" s="198"/>
      <c r="O62" s="198"/>
      <c r="P62" s="201"/>
      <c r="Q62" s="202">
        <f>J62-0.4*N62</f>
        <v>0</v>
      </c>
    </row>
    <row r="63" ht="16.05" customHeight="1">
      <c r="A63" s="196"/>
      <c r="B63" s="197"/>
      <c r="C63" s="197"/>
      <c r="D63" s="196"/>
      <c r="E63" s="197"/>
      <c r="F63" s="198"/>
      <c r="G63" s="197"/>
      <c r="H63" s="199"/>
      <c r="I63" s="200"/>
      <c r="J63" s="200"/>
      <c r="K63" s="198"/>
      <c r="L63" s="198"/>
      <c r="M63" s="197"/>
      <c r="N63" s="198"/>
      <c r="O63" s="198"/>
      <c r="P63" s="201"/>
      <c r="Q63" s="202">
        <f>J63-0.4*N63</f>
        <v>0</v>
      </c>
    </row>
    <row r="64" ht="16.05" customHeight="1">
      <c r="A64" s="196"/>
      <c r="B64" s="197"/>
      <c r="C64" s="197"/>
      <c r="D64" s="196"/>
      <c r="E64" s="197"/>
      <c r="F64" s="198"/>
      <c r="G64" s="197"/>
      <c r="H64" s="199"/>
      <c r="I64" s="200"/>
      <c r="J64" s="200"/>
      <c r="K64" s="198"/>
      <c r="L64" s="198"/>
      <c r="M64" s="197"/>
      <c r="N64" s="198"/>
      <c r="O64" s="198"/>
      <c r="P64" s="201"/>
      <c r="Q64" s="202">
        <f>J64-0.4*N64</f>
        <v>0</v>
      </c>
    </row>
    <row r="65" ht="16.05" customHeight="1">
      <c r="A65" s="196"/>
      <c r="B65" s="197"/>
      <c r="C65" s="197"/>
      <c r="D65" s="196"/>
      <c r="E65" s="197"/>
      <c r="F65" s="198"/>
      <c r="G65" s="197"/>
      <c r="H65" s="199"/>
      <c r="I65" s="200"/>
      <c r="J65" s="200"/>
      <c r="K65" s="198"/>
      <c r="L65" s="198"/>
      <c r="M65" s="197"/>
      <c r="N65" s="198"/>
      <c r="O65" s="198"/>
      <c r="P65" s="201"/>
      <c r="Q65" s="202">
        <f>J65-0.4*N65</f>
        <v>0</v>
      </c>
    </row>
    <row r="66" ht="16.05" customHeight="1">
      <c r="A66" s="196"/>
      <c r="B66" s="197"/>
      <c r="C66" s="197"/>
      <c r="D66" s="196"/>
      <c r="E66" s="197"/>
      <c r="F66" s="198"/>
      <c r="G66" s="197"/>
      <c r="H66" s="199"/>
      <c r="I66" s="200"/>
      <c r="J66" s="200"/>
      <c r="K66" s="198"/>
      <c r="L66" s="198"/>
      <c r="M66" s="197"/>
      <c r="N66" s="198"/>
      <c r="O66" s="198"/>
      <c r="P66" s="201"/>
      <c r="Q66" s="202">
        <f>J66-0.4*N66</f>
        <v>0</v>
      </c>
    </row>
    <row r="67" ht="16.05" customHeight="1">
      <c r="A67" s="196"/>
      <c r="B67" s="197"/>
      <c r="C67" s="197"/>
      <c r="D67" s="196"/>
      <c r="E67" s="197"/>
      <c r="F67" s="198"/>
      <c r="G67" s="197"/>
      <c r="H67" s="199"/>
      <c r="I67" s="200"/>
      <c r="J67" s="200"/>
      <c r="K67" s="198"/>
      <c r="L67" s="198"/>
      <c r="M67" s="197"/>
      <c r="N67" s="198"/>
      <c r="O67" s="198"/>
      <c r="P67" s="201"/>
      <c r="Q67" s="202">
        <f>J67-0.4*N67</f>
        <v>0</v>
      </c>
    </row>
    <row r="68" ht="16.05" customHeight="1">
      <c r="A68" s="196"/>
      <c r="B68" s="197"/>
      <c r="C68" s="197"/>
      <c r="D68" s="196"/>
      <c r="E68" s="197"/>
      <c r="F68" s="198"/>
      <c r="G68" s="197"/>
      <c r="H68" s="199"/>
      <c r="I68" s="200"/>
      <c r="J68" s="200"/>
      <c r="K68" s="198"/>
      <c r="L68" s="198"/>
      <c r="M68" s="197"/>
      <c r="N68" s="198"/>
      <c r="O68" s="198"/>
      <c r="P68" s="201"/>
      <c r="Q68" s="202">
        <f>J68-0.4*N68</f>
        <v>0</v>
      </c>
    </row>
    <row r="69" ht="16.05" customHeight="1">
      <c r="A69" s="196"/>
      <c r="B69" s="197"/>
      <c r="C69" s="197"/>
      <c r="D69" s="196"/>
      <c r="E69" s="197"/>
      <c r="F69" s="198"/>
      <c r="G69" s="197"/>
      <c r="H69" s="199"/>
      <c r="I69" s="200"/>
      <c r="J69" s="200"/>
      <c r="K69" s="198"/>
      <c r="L69" s="198"/>
      <c r="M69" s="197"/>
      <c r="N69" s="198"/>
      <c r="O69" s="198"/>
      <c r="P69" s="201"/>
      <c r="Q69" s="202">
        <f>J69-0.4*N69</f>
        <v>0</v>
      </c>
    </row>
    <row r="70" ht="16.05" customHeight="1">
      <c r="A70" s="196"/>
      <c r="B70" s="197"/>
      <c r="C70" s="197"/>
      <c r="D70" s="196"/>
      <c r="E70" s="197"/>
      <c r="F70" s="198"/>
      <c r="G70" s="197"/>
      <c r="H70" s="199"/>
      <c r="I70" s="200"/>
      <c r="J70" s="200"/>
      <c r="K70" s="198"/>
      <c r="L70" s="198"/>
      <c r="M70" s="197"/>
      <c r="N70" s="198"/>
      <c r="O70" s="198"/>
      <c r="P70" s="201"/>
      <c r="Q70" s="202">
        <f>J70-0.4*N70</f>
        <v>0</v>
      </c>
    </row>
    <row r="71" ht="16.05" customHeight="1">
      <c r="A71" s="196"/>
      <c r="B71" s="197"/>
      <c r="C71" s="197"/>
      <c r="D71" s="196"/>
      <c r="E71" s="197"/>
      <c r="F71" s="198"/>
      <c r="G71" s="197"/>
      <c r="H71" s="199"/>
      <c r="I71" s="200"/>
      <c r="J71" s="200"/>
      <c r="K71" s="198"/>
      <c r="L71" s="198"/>
      <c r="M71" s="197"/>
      <c r="N71" s="198"/>
      <c r="O71" s="198"/>
      <c r="P71" s="201"/>
      <c r="Q71" s="202">
        <f>J71-0.4*N71</f>
        <v>0</v>
      </c>
    </row>
    <row r="72" ht="16.05" customHeight="1">
      <c r="A72" s="196"/>
      <c r="B72" s="197"/>
      <c r="C72" s="197"/>
      <c r="D72" s="196"/>
      <c r="E72" s="197"/>
      <c r="F72" s="198"/>
      <c r="G72" s="197"/>
      <c r="H72" s="199"/>
      <c r="I72" s="200"/>
      <c r="J72" s="200"/>
      <c r="K72" s="198"/>
      <c r="L72" s="198"/>
      <c r="M72" s="197"/>
      <c r="N72" s="198"/>
      <c r="O72" s="198"/>
      <c r="P72" s="201"/>
      <c r="Q72" s="202">
        <f>J72-0.4*N72</f>
        <v>0</v>
      </c>
    </row>
    <row r="73" ht="16.05" customHeight="1">
      <c r="A73" s="196"/>
      <c r="B73" s="197"/>
      <c r="C73" s="197"/>
      <c r="D73" s="196"/>
      <c r="E73" s="197"/>
      <c r="F73" s="198"/>
      <c r="G73" s="197"/>
      <c r="H73" s="199"/>
      <c r="I73" s="200"/>
      <c r="J73" s="200"/>
      <c r="K73" s="198"/>
      <c r="L73" s="198"/>
      <c r="M73" s="197"/>
      <c r="N73" s="198"/>
      <c r="O73" s="198"/>
      <c r="P73" s="201"/>
      <c r="Q73" s="202">
        <f>J73-0.4*N73</f>
        <v>0</v>
      </c>
    </row>
    <row r="74" ht="16.05" customHeight="1">
      <c r="A74" s="196"/>
      <c r="B74" s="197"/>
      <c r="C74" s="197"/>
      <c r="D74" s="196"/>
      <c r="E74" s="197"/>
      <c r="F74" s="198"/>
      <c r="G74" s="197"/>
      <c r="H74" s="199"/>
      <c r="I74" s="200"/>
      <c r="J74" s="200"/>
      <c r="K74" s="198"/>
      <c r="L74" s="198"/>
      <c r="M74" s="197"/>
      <c r="N74" s="198"/>
      <c r="O74" s="198"/>
      <c r="P74" s="201"/>
      <c r="Q74" s="202">
        <f>J74-0.4*N74</f>
        <v>0</v>
      </c>
    </row>
    <row r="75" ht="16.05" customHeight="1">
      <c r="A75" s="196"/>
      <c r="B75" s="197"/>
      <c r="C75" s="197"/>
      <c r="D75" s="196"/>
      <c r="E75" s="197"/>
      <c r="F75" s="198"/>
      <c r="G75" s="197"/>
      <c r="H75" s="199"/>
      <c r="I75" s="200"/>
      <c r="J75" s="200"/>
      <c r="K75" s="198"/>
      <c r="L75" s="198"/>
      <c r="M75" s="197"/>
      <c r="N75" s="198"/>
      <c r="O75" s="198"/>
      <c r="P75" s="201"/>
      <c r="Q75" s="202">
        <f>J75-0.4*N75</f>
        <v>0</v>
      </c>
    </row>
    <row r="76" ht="16.05" customHeight="1">
      <c r="A76" s="196"/>
      <c r="B76" s="197"/>
      <c r="C76" s="197"/>
      <c r="D76" s="196"/>
      <c r="E76" s="197"/>
      <c r="F76" s="198"/>
      <c r="G76" s="197"/>
      <c r="H76" s="199"/>
      <c r="I76" s="200"/>
      <c r="J76" s="200"/>
      <c r="K76" s="198"/>
      <c r="L76" s="198"/>
      <c r="M76" s="197"/>
      <c r="N76" s="198"/>
      <c r="O76" s="198"/>
      <c r="P76" s="201"/>
      <c r="Q76" s="202">
        <f>J76-0.4*N76</f>
        <v>0</v>
      </c>
    </row>
    <row r="77" ht="16.05" customHeight="1">
      <c r="A77" s="196"/>
      <c r="B77" s="197"/>
      <c r="C77" s="197"/>
      <c r="D77" s="196"/>
      <c r="E77" s="197"/>
      <c r="F77" s="198"/>
      <c r="G77" s="197"/>
      <c r="H77" s="199"/>
      <c r="I77" s="200"/>
      <c r="J77" s="200"/>
      <c r="K77" s="198"/>
      <c r="L77" s="198"/>
      <c r="M77" s="197"/>
      <c r="N77" s="198"/>
      <c r="O77" s="198"/>
      <c r="P77" s="201"/>
      <c r="Q77" s="202">
        <f>J77-0.4*N77</f>
        <v>0</v>
      </c>
    </row>
    <row r="78" ht="16.05" customHeight="1">
      <c r="A78" s="196"/>
      <c r="B78" s="197"/>
      <c r="C78" s="197"/>
      <c r="D78" s="196"/>
      <c r="E78" s="197"/>
      <c r="F78" s="198"/>
      <c r="G78" s="197"/>
      <c r="H78" s="199"/>
      <c r="I78" s="200"/>
      <c r="J78" s="200"/>
      <c r="K78" s="198"/>
      <c r="L78" s="198"/>
      <c r="M78" s="197"/>
      <c r="N78" s="198"/>
      <c r="O78" s="198"/>
      <c r="P78" s="201"/>
      <c r="Q78" s="202">
        <f>J78-0.4*N78</f>
        <v>0</v>
      </c>
    </row>
    <row r="79" ht="16.05" customHeight="1">
      <c r="A79" s="196"/>
      <c r="B79" s="197"/>
      <c r="C79" s="197"/>
      <c r="D79" s="196"/>
      <c r="E79" s="197"/>
      <c r="F79" s="198"/>
      <c r="G79" s="197"/>
      <c r="H79" s="199"/>
      <c r="I79" s="200"/>
      <c r="J79" s="200"/>
      <c r="K79" s="198"/>
      <c r="L79" s="198"/>
      <c r="M79" s="197"/>
      <c r="N79" s="198"/>
      <c r="O79" s="198"/>
      <c r="P79" s="201"/>
      <c r="Q79" s="202">
        <f>J79-0.4*N79</f>
        <v>0</v>
      </c>
    </row>
    <row r="80" ht="16.05" customHeight="1">
      <c r="A80" s="196"/>
      <c r="B80" s="197"/>
      <c r="C80" s="197"/>
      <c r="D80" s="196"/>
      <c r="E80" s="197"/>
      <c r="F80" s="198"/>
      <c r="G80" s="197"/>
      <c r="H80" s="199"/>
      <c r="I80" s="200"/>
      <c r="J80" s="200"/>
      <c r="K80" s="198"/>
      <c r="L80" s="198"/>
      <c r="M80" s="197"/>
      <c r="N80" s="198"/>
      <c r="O80" s="198"/>
      <c r="P80" s="201"/>
      <c r="Q80" s="202">
        <f>J80-0.4*N80</f>
        <v>0</v>
      </c>
    </row>
    <row r="81" ht="16.05" customHeight="1">
      <c r="A81" s="196"/>
      <c r="B81" s="197"/>
      <c r="C81" s="197"/>
      <c r="D81" s="196"/>
      <c r="E81" s="197"/>
      <c r="F81" s="198"/>
      <c r="G81" s="197"/>
      <c r="H81" s="199"/>
      <c r="I81" s="200"/>
      <c r="J81" s="200"/>
      <c r="K81" s="198"/>
      <c r="L81" s="198"/>
      <c r="M81" s="197"/>
      <c r="N81" s="198"/>
      <c r="O81" s="198"/>
      <c r="P81" s="201"/>
      <c r="Q81" s="202">
        <f>J81-0.4*N81</f>
        <v>0</v>
      </c>
    </row>
    <row r="82" ht="16.05" customHeight="1">
      <c r="A82" s="196"/>
      <c r="B82" s="197"/>
      <c r="C82" s="197"/>
      <c r="D82" s="196"/>
      <c r="E82" s="197"/>
      <c r="F82" s="198"/>
      <c r="G82" s="197"/>
      <c r="H82" s="199"/>
      <c r="I82" s="200"/>
      <c r="J82" s="200"/>
      <c r="K82" s="198"/>
      <c r="L82" s="198"/>
      <c r="M82" s="197"/>
      <c r="N82" s="198"/>
      <c r="O82" s="198"/>
      <c r="P82" s="201"/>
      <c r="Q82" s="202">
        <f>J82-0.4*N82</f>
        <v>0</v>
      </c>
    </row>
    <row r="83" ht="16.05" customHeight="1">
      <c r="A83" s="196"/>
      <c r="B83" s="197"/>
      <c r="C83" s="197"/>
      <c r="D83" s="196"/>
      <c r="E83" s="197"/>
      <c r="F83" s="198"/>
      <c r="G83" s="197"/>
      <c r="H83" s="199"/>
      <c r="I83" s="200"/>
      <c r="J83" s="200"/>
      <c r="K83" s="198"/>
      <c r="L83" s="198"/>
      <c r="M83" s="197"/>
      <c r="N83" s="198"/>
      <c r="O83" s="198"/>
      <c r="P83" s="201"/>
      <c r="Q83" s="202">
        <f>J83-0.4*N83</f>
        <v>0</v>
      </c>
    </row>
    <row r="84" ht="16.05" customHeight="1">
      <c r="A84" s="196"/>
      <c r="B84" s="197"/>
      <c r="C84" s="197"/>
      <c r="D84" s="196"/>
      <c r="E84" s="197"/>
      <c r="F84" s="198"/>
      <c r="G84" s="197"/>
      <c r="H84" s="199"/>
      <c r="I84" s="200"/>
      <c r="J84" s="200"/>
      <c r="K84" s="198"/>
      <c r="L84" s="198"/>
      <c r="M84" s="197"/>
      <c r="N84" s="198"/>
      <c r="O84" s="198"/>
      <c r="P84" s="201"/>
      <c r="Q84" s="202">
        <f>J84-0.4*N84</f>
        <v>0</v>
      </c>
    </row>
    <row r="85" ht="16.05" customHeight="1">
      <c r="A85" s="196"/>
      <c r="B85" s="197"/>
      <c r="C85" s="197"/>
      <c r="D85" s="196"/>
      <c r="E85" s="197"/>
      <c r="F85" s="198"/>
      <c r="G85" s="197"/>
      <c r="H85" s="199"/>
      <c r="I85" s="200"/>
      <c r="J85" s="200"/>
      <c r="K85" s="198"/>
      <c r="L85" s="198"/>
      <c r="M85" s="197"/>
      <c r="N85" s="198"/>
      <c r="O85" s="198"/>
      <c r="P85" s="201"/>
      <c r="Q85" s="202">
        <f>J85-0.4*N85</f>
        <v>0</v>
      </c>
    </row>
    <row r="86" ht="16.05" customHeight="1">
      <c r="A86" s="196"/>
      <c r="B86" s="197"/>
      <c r="C86" s="197"/>
      <c r="D86" s="196"/>
      <c r="E86" s="197"/>
      <c r="F86" s="198"/>
      <c r="G86" s="197"/>
      <c r="H86" s="199"/>
      <c r="I86" s="200"/>
      <c r="J86" s="200"/>
      <c r="K86" s="198"/>
      <c r="L86" s="198"/>
      <c r="M86" s="197"/>
      <c r="N86" s="198"/>
      <c r="O86" s="198"/>
      <c r="P86" s="201"/>
      <c r="Q86" s="202">
        <f>J86-0.4*N86</f>
        <v>0</v>
      </c>
    </row>
    <row r="87" ht="16.05" customHeight="1">
      <c r="A87" s="196"/>
      <c r="B87" s="197"/>
      <c r="C87" s="197"/>
      <c r="D87" s="196"/>
      <c r="E87" s="197"/>
      <c r="F87" s="198"/>
      <c r="G87" s="197"/>
      <c r="H87" s="199"/>
      <c r="I87" s="200"/>
      <c r="J87" s="200"/>
      <c r="K87" s="198"/>
      <c r="L87" s="198"/>
      <c r="M87" s="197"/>
      <c r="N87" s="198"/>
      <c r="O87" s="198"/>
      <c r="P87" s="201"/>
      <c r="Q87" s="202">
        <f>J87-0.4*N87</f>
        <v>0</v>
      </c>
    </row>
    <row r="88" ht="16.05" customHeight="1">
      <c r="A88" s="196"/>
      <c r="B88" s="197"/>
      <c r="C88" s="197"/>
      <c r="D88" s="196"/>
      <c r="E88" s="197"/>
      <c r="F88" s="198"/>
      <c r="G88" s="197"/>
      <c r="H88" s="199"/>
      <c r="I88" s="200"/>
      <c r="J88" s="200"/>
      <c r="K88" s="198"/>
      <c r="L88" s="198"/>
      <c r="M88" s="197"/>
      <c r="N88" s="198"/>
      <c r="O88" s="198"/>
      <c r="P88" s="201"/>
      <c r="Q88" s="202">
        <f>J88-0.4*N88</f>
        <v>0</v>
      </c>
    </row>
    <row r="89" ht="16.05" customHeight="1">
      <c r="A89" s="196"/>
      <c r="B89" s="197"/>
      <c r="C89" s="197"/>
      <c r="D89" s="196"/>
      <c r="E89" s="197"/>
      <c r="F89" s="198"/>
      <c r="G89" s="197"/>
      <c r="H89" s="199"/>
      <c r="I89" s="200"/>
      <c r="J89" s="200"/>
      <c r="K89" s="198"/>
      <c r="L89" s="198"/>
      <c r="M89" s="197"/>
      <c r="N89" s="198"/>
      <c r="O89" s="198"/>
      <c r="P89" s="201"/>
      <c r="Q89" s="202">
        <f>J89-0.4*N89</f>
        <v>0</v>
      </c>
    </row>
    <row r="90" ht="16.05" customHeight="1">
      <c r="A90" s="196"/>
      <c r="B90" s="197"/>
      <c r="C90" s="197"/>
      <c r="D90" s="196"/>
      <c r="E90" s="197"/>
      <c r="F90" s="198"/>
      <c r="G90" s="197"/>
      <c r="H90" s="199"/>
      <c r="I90" s="200"/>
      <c r="J90" s="200"/>
      <c r="K90" s="198"/>
      <c r="L90" s="198"/>
      <c r="M90" s="197"/>
      <c r="N90" s="198"/>
      <c r="O90" s="198"/>
      <c r="P90" s="201"/>
      <c r="Q90" s="202">
        <f>J90-0.4*N90</f>
        <v>0</v>
      </c>
    </row>
    <row r="91" ht="16.05" customHeight="1">
      <c r="A91" s="196"/>
      <c r="B91" s="197"/>
      <c r="C91" s="197"/>
      <c r="D91" s="196"/>
      <c r="E91" s="197"/>
      <c r="F91" s="198"/>
      <c r="G91" s="197"/>
      <c r="H91" s="199"/>
      <c r="I91" s="200"/>
      <c r="J91" s="200"/>
      <c r="K91" s="198"/>
      <c r="L91" s="198"/>
      <c r="M91" s="197"/>
      <c r="N91" s="198"/>
      <c r="O91" s="198"/>
      <c r="P91" s="201"/>
      <c r="Q91" s="202">
        <f>J91-0.4*N91</f>
        <v>0</v>
      </c>
    </row>
    <row r="92" ht="16.05" customHeight="1">
      <c r="A92" s="196"/>
      <c r="B92" s="197"/>
      <c r="C92" s="197"/>
      <c r="D92" s="196"/>
      <c r="E92" s="197"/>
      <c r="F92" s="198"/>
      <c r="G92" s="197"/>
      <c r="H92" s="199"/>
      <c r="I92" s="200"/>
      <c r="J92" s="200"/>
      <c r="K92" s="198"/>
      <c r="L92" s="198"/>
      <c r="M92" s="197"/>
      <c r="N92" s="198"/>
      <c r="O92" s="198"/>
      <c r="P92" s="201"/>
      <c r="Q92" s="202">
        <f>J92-0.4*N92</f>
        <v>0</v>
      </c>
    </row>
    <row r="93" ht="16.05" customHeight="1">
      <c r="A93" s="196"/>
      <c r="B93" s="197"/>
      <c r="C93" s="197"/>
      <c r="D93" s="196"/>
      <c r="E93" s="197"/>
      <c r="F93" s="198"/>
      <c r="G93" s="197"/>
      <c r="H93" s="199"/>
      <c r="I93" s="200"/>
      <c r="J93" s="200"/>
      <c r="K93" s="198"/>
      <c r="L93" s="198"/>
      <c r="M93" s="197"/>
      <c r="N93" s="198"/>
      <c r="O93" s="198"/>
      <c r="P93" s="201"/>
      <c r="Q93" s="202">
        <f>J93-0.4*N93</f>
        <v>0</v>
      </c>
    </row>
    <row r="94" ht="16.05" customHeight="1">
      <c r="A94" s="196"/>
      <c r="B94" s="197"/>
      <c r="C94" s="197"/>
      <c r="D94" s="196"/>
      <c r="E94" s="197"/>
      <c r="F94" s="198"/>
      <c r="G94" s="197"/>
      <c r="H94" s="199"/>
      <c r="I94" s="200"/>
      <c r="J94" s="200"/>
      <c r="K94" s="198"/>
      <c r="L94" s="198"/>
      <c r="M94" s="197"/>
      <c r="N94" s="198"/>
      <c r="O94" s="198"/>
      <c r="P94" s="201"/>
      <c r="Q94" s="202">
        <f>J94-0.4*N94</f>
        <v>0</v>
      </c>
    </row>
    <row r="95" ht="16.05" customHeight="1">
      <c r="A95" s="196"/>
      <c r="B95" s="197"/>
      <c r="C95" s="197"/>
      <c r="D95" s="196"/>
      <c r="E95" s="197"/>
      <c r="F95" s="198"/>
      <c r="G95" s="197"/>
      <c r="H95" s="199"/>
      <c r="I95" s="200"/>
      <c r="J95" s="200"/>
      <c r="K95" s="198"/>
      <c r="L95" s="198"/>
      <c r="M95" s="197"/>
      <c r="N95" s="198"/>
      <c r="O95" s="198"/>
      <c r="P95" s="201"/>
      <c r="Q95" s="202">
        <f>J95-0.4*N95</f>
        <v>0</v>
      </c>
    </row>
    <row r="96" ht="16.05" customHeight="1">
      <c r="A96" s="196"/>
      <c r="B96" s="197"/>
      <c r="C96" s="197"/>
      <c r="D96" s="196"/>
      <c r="E96" s="197"/>
      <c r="F96" s="198"/>
      <c r="G96" s="197"/>
      <c r="H96" s="199"/>
      <c r="I96" s="200"/>
      <c r="J96" s="200"/>
      <c r="K96" s="198"/>
      <c r="L96" s="198"/>
      <c r="M96" s="197"/>
      <c r="N96" s="198"/>
      <c r="O96" s="198"/>
      <c r="P96" s="201"/>
      <c r="Q96" s="202">
        <f>J96-0.4*N96</f>
        <v>0</v>
      </c>
    </row>
    <row r="97" ht="16.05" customHeight="1">
      <c r="A97" s="196"/>
      <c r="B97" s="197"/>
      <c r="C97" s="197"/>
      <c r="D97" s="196"/>
      <c r="E97" s="197"/>
      <c r="F97" s="198"/>
      <c r="G97" s="197"/>
      <c r="H97" s="199"/>
      <c r="I97" s="200"/>
      <c r="J97" s="200"/>
      <c r="K97" s="198"/>
      <c r="L97" s="198"/>
      <c r="M97" s="197"/>
      <c r="N97" s="198"/>
      <c r="O97" s="198"/>
      <c r="P97" s="201"/>
      <c r="Q97" s="202">
        <f>J97-0.4*N97</f>
        <v>0</v>
      </c>
    </row>
    <row r="98" ht="16.05" customHeight="1">
      <c r="A98" s="196"/>
      <c r="B98" s="197"/>
      <c r="C98" s="197"/>
      <c r="D98" s="196"/>
      <c r="E98" s="197"/>
      <c r="F98" s="198"/>
      <c r="G98" s="197"/>
      <c r="H98" s="199"/>
      <c r="I98" s="200"/>
      <c r="J98" s="200"/>
      <c r="K98" s="198"/>
      <c r="L98" s="198"/>
      <c r="M98" s="197"/>
      <c r="N98" s="198"/>
      <c r="O98" s="198"/>
      <c r="P98" s="201"/>
      <c r="Q98" s="202">
        <f>J98-0.4*N98</f>
        <v>0</v>
      </c>
    </row>
    <row r="99" ht="16.05" customHeight="1">
      <c r="A99" s="196"/>
      <c r="B99" s="197"/>
      <c r="C99" s="197"/>
      <c r="D99" s="196"/>
      <c r="E99" s="197"/>
      <c r="F99" s="198"/>
      <c r="G99" s="197"/>
      <c r="H99" s="199"/>
      <c r="I99" s="200"/>
      <c r="J99" s="200"/>
      <c r="K99" s="198"/>
      <c r="L99" s="198"/>
      <c r="M99" s="197"/>
      <c r="N99" s="198"/>
      <c r="O99" s="198"/>
      <c r="P99" s="201"/>
      <c r="Q99" s="202">
        <f>J99-0.4*N99</f>
        <v>0</v>
      </c>
    </row>
    <row r="100" ht="16.05" customHeight="1">
      <c r="A100" s="196"/>
      <c r="B100" s="197"/>
      <c r="C100" s="197"/>
      <c r="D100" s="196"/>
      <c r="E100" s="197"/>
      <c r="F100" s="198"/>
      <c r="G100" s="197"/>
      <c r="H100" s="199"/>
      <c r="I100" s="200"/>
      <c r="J100" s="200"/>
      <c r="K100" s="198"/>
      <c r="L100" s="198"/>
      <c r="M100" s="197"/>
      <c r="N100" s="198"/>
      <c r="O100" s="198"/>
      <c r="P100" s="201"/>
      <c r="Q100" s="202">
        <f>J100-0.4*N100</f>
        <v>0</v>
      </c>
    </row>
    <row r="101" ht="16.05" customHeight="1">
      <c r="A101" s="196"/>
      <c r="B101" s="197"/>
      <c r="C101" s="197"/>
      <c r="D101" s="196"/>
      <c r="E101" s="197"/>
      <c r="F101" s="198"/>
      <c r="G101" s="197"/>
      <c r="H101" s="199"/>
      <c r="I101" s="200"/>
      <c r="J101" s="200"/>
      <c r="K101" s="198"/>
      <c r="L101" s="198"/>
      <c r="M101" s="197"/>
      <c r="N101" s="198"/>
      <c r="O101" s="198"/>
      <c r="P101" s="201"/>
      <c r="Q101" s="202">
        <f>J101-0.4*N101</f>
        <v>0</v>
      </c>
    </row>
    <row r="102" ht="16.05" customHeight="1">
      <c r="A102" s="196"/>
      <c r="B102" s="197"/>
      <c r="C102" s="197"/>
      <c r="D102" s="196"/>
      <c r="E102" s="197"/>
      <c r="F102" s="198"/>
      <c r="G102" s="197"/>
      <c r="H102" s="199"/>
      <c r="I102" s="200"/>
      <c r="J102" s="200"/>
      <c r="K102" s="198"/>
      <c r="L102" s="198"/>
      <c r="M102" s="197"/>
      <c r="N102" s="198"/>
      <c r="O102" s="198"/>
      <c r="P102" s="201"/>
      <c r="Q102" s="202">
        <f>J102-0.4*N102</f>
        <v>0</v>
      </c>
    </row>
    <row r="103" ht="16.05" customHeight="1">
      <c r="A103" s="196"/>
      <c r="B103" s="197"/>
      <c r="C103" s="197"/>
      <c r="D103" s="196"/>
      <c r="E103" s="197"/>
      <c r="F103" s="198"/>
      <c r="G103" s="197"/>
      <c r="H103" s="199"/>
      <c r="I103" s="200"/>
      <c r="J103" s="200"/>
      <c r="K103" s="198"/>
      <c r="L103" s="198"/>
      <c r="M103" s="197"/>
      <c r="N103" s="198"/>
      <c r="O103" s="198"/>
      <c r="P103" s="201"/>
      <c r="Q103" s="202">
        <f>J103-0.4*N103</f>
        <v>0</v>
      </c>
    </row>
    <row r="104" ht="16.05" customHeight="1">
      <c r="A104" s="196"/>
      <c r="B104" s="197"/>
      <c r="C104" s="197"/>
      <c r="D104" s="196"/>
      <c r="E104" s="197"/>
      <c r="F104" s="198"/>
      <c r="G104" s="197"/>
      <c r="H104" s="199"/>
      <c r="I104" s="200"/>
      <c r="J104" s="200"/>
      <c r="K104" s="198"/>
      <c r="L104" s="198"/>
      <c r="M104" s="197"/>
      <c r="N104" s="198"/>
      <c r="O104" s="198"/>
      <c r="P104" s="201"/>
      <c r="Q104" s="202">
        <f>J104-0.4*N104</f>
        <v>0</v>
      </c>
    </row>
    <row r="105" ht="16.05" customHeight="1">
      <c r="A105" s="196"/>
      <c r="B105" s="197"/>
      <c r="C105" s="197"/>
      <c r="D105" s="196"/>
      <c r="E105" s="197"/>
      <c r="F105" s="198"/>
      <c r="G105" s="197"/>
      <c r="H105" s="199"/>
      <c r="I105" s="200"/>
      <c r="J105" s="200"/>
      <c r="K105" s="198"/>
      <c r="L105" s="198"/>
      <c r="M105" s="197"/>
      <c r="N105" s="198"/>
      <c r="O105" s="198"/>
      <c r="P105" s="201"/>
      <c r="Q105" s="202">
        <f>J105-0.4*N105</f>
        <v>0</v>
      </c>
    </row>
    <row r="106" ht="16.05" customHeight="1">
      <c r="A106" s="196"/>
      <c r="B106" s="197"/>
      <c r="C106" s="197"/>
      <c r="D106" s="196"/>
      <c r="E106" s="197"/>
      <c r="F106" s="198"/>
      <c r="G106" s="197"/>
      <c r="H106" s="199"/>
      <c r="I106" s="200"/>
      <c r="J106" s="200"/>
      <c r="K106" s="198"/>
      <c r="L106" s="198"/>
      <c r="M106" s="197"/>
      <c r="N106" s="198"/>
      <c r="O106" s="198"/>
      <c r="P106" s="201"/>
      <c r="Q106" s="202">
        <f>J106-0.4*N106</f>
        <v>0</v>
      </c>
    </row>
    <row r="107" ht="16.05" customHeight="1">
      <c r="A107" s="196"/>
      <c r="B107" s="197"/>
      <c r="C107" s="197"/>
      <c r="D107" s="196"/>
      <c r="E107" s="197"/>
      <c r="F107" s="198"/>
      <c r="G107" s="197"/>
      <c r="H107" s="199"/>
      <c r="I107" s="200"/>
      <c r="J107" s="200"/>
      <c r="K107" s="198"/>
      <c r="L107" s="198"/>
      <c r="M107" s="197"/>
      <c r="N107" s="198"/>
      <c r="O107" s="198"/>
      <c r="P107" s="201"/>
      <c r="Q107" s="202">
        <f>J107-0.4*N107</f>
        <v>0</v>
      </c>
    </row>
    <row r="108" ht="16.05" customHeight="1">
      <c r="A108" s="196"/>
      <c r="B108" s="197"/>
      <c r="C108" s="197"/>
      <c r="D108" s="196"/>
      <c r="E108" s="197"/>
      <c r="F108" s="198"/>
      <c r="G108" s="197"/>
      <c r="H108" s="199"/>
      <c r="I108" s="200"/>
      <c r="J108" s="200"/>
      <c r="K108" s="198"/>
      <c r="L108" s="198"/>
      <c r="M108" s="197"/>
      <c r="N108" s="198"/>
      <c r="O108" s="198"/>
      <c r="P108" s="201"/>
      <c r="Q108" s="202">
        <f>J108-0.4*N108</f>
        <v>0</v>
      </c>
    </row>
    <row r="109" ht="16.05" customHeight="1">
      <c r="A109" s="196"/>
      <c r="B109" s="197"/>
      <c r="C109" s="197"/>
      <c r="D109" s="196"/>
      <c r="E109" s="197"/>
      <c r="F109" s="198"/>
      <c r="G109" s="197"/>
      <c r="H109" s="199"/>
      <c r="I109" s="200"/>
      <c r="J109" s="200"/>
      <c r="K109" s="198"/>
      <c r="L109" s="198"/>
      <c r="M109" s="197"/>
      <c r="N109" s="198"/>
      <c r="O109" s="198"/>
      <c r="P109" s="201"/>
      <c r="Q109" s="202">
        <f>J109-0.4*N109</f>
        <v>0</v>
      </c>
    </row>
    <row r="110" ht="16.05" customHeight="1">
      <c r="A110" s="196"/>
      <c r="B110" s="197"/>
      <c r="C110" s="197"/>
      <c r="D110" s="196"/>
      <c r="E110" s="197"/>
      <c r="F110" s="198"/>
      <c r="G110" s="197"/>
      <c r="H110" s="199"/>
      <c r="I110" s="200"/>
      <c r="J110" s="200"/>
      <c r="K110" s="198"/>
      <c r="L110" s="198"/>
      <c r="M110" s="197"/>
      <c r="N110" s="198"/>
      <c r="O110" s="198"/>
      <c r="P110" s="201"/>
      <c r="Q110" s="202">
        <f>J110-0.4*N110</f>
        <v>0</v>
      </c>
    </row>
    <row r="111" ht="16.05" customHeight="1">
      <c r="A111" s="196"/>
      <c r="B111" s="197"/>
      <c r="C111" s="197"/>
      <c r="D111" s="196"/>
      <c r="E111" s="197"/>
      <c r="F111" s="198"/>
      <c r="G111" s="197"/>
      <c r="H111" s="199"/>
      <c r="I111" s="200"/>
      <c r="J111" s="200"/>
      <c r="K111" s="198"/>
      <c r="L111" s="198"/>
      <c r="M111" s="197"/>
      <c r="N111" s="198"/>
      <c r="O111" s="198"/>
      <c r="P111" s="201"/>
      <c r="Q111" s="202">
        <f>J111-0.4*N111</f>
        <v>0</v>
      </c>
    </row>
    <row r="112" ht="16.05" customHeight="1">
      <c r="A112" s="196"/>
      <c r="B112" s="197"/>
      <c r="C112" s="197"/>
      <c r="D112" s="196"/>
      <c r="E112" s="197"/>
      <c r="F112" s="198"/>
      <c r="G112" s="197"/>
      <c r="H112" s="199"/>
      <c r="I112" s="200"/>
      <c r="J112" s="200"/>
      <c r="K112" s="198"/>
      <c r="L112" s="198"/>
      <c r="M112" s="197"/>
      <c r="N112" s="198"/>
      <c r="O112" s="198"/>
      <c r="P112" s="201"/>
      <c r="Q112" s="202">
        <f>J112-0.4*N112</f>
        <v>0</v>
      </c>
    </row>
    <row r="113" ht="16.05" customHeight="1">
      <c r="A113" s="196"/>
      <c r="B113" s="197"/>
      <c r="C113" s="197"/>
      <c r="D113" s="196"/>
      <c r="E113" s="197"/>
      <c r="F113" s="198"/>
      <c r="G113" s="197"/>
      <c r="H113" s="199"/>
      <c r="I113" s="200"/>
      <c r="J113" s="200"/>
      <c r="K113" s="198"/>
      <c r="L113" s="198"/>
      <c r="M113" s="197"/>
      <c r="N113" s="198"/>
      <c r="O113" s="198"/>
      <c r="P113" s="201"/>
      <c r="Q113" s="202">
        <f>J113-0.4*N113</f>
        <v>0</v>
      </c>
    </row>
    <row r="114" ht="16.05" customHeight="1">
      <c r="A114" s="196"/>
      <c r="B114" s="197"/>
      <c r="C114" s="197"/>
      <c r="D114" s="196"/>
      <c r="E114" s="197"/>
      <c r="F114" s="198"/>
      <c r="G114" s="197"/>
      <c r="H114" s="199"/>
      <c r="I114" s="200"/>
      <c r="J114" s="200"/>
      <c r="K114" s="198"/>
      <c r="L114" s="198"/>
      <c r="M114" s="197"/>
      <c r="N114" s="198"/>
      <c r="O114" s="198"/>
      <c r="P114" s="201"/>
      <c r="Q114" s="202">
        <f>J114-0.4*N114</f>
        <v>0</v>
      </c>
    </row>
    <row r="115" ht="16.05" customHeight="1">
      <c r="A115" s="196"/>
      <c r="B115" s="197"/>
      <c r="C115" s="197"/>
      <c r="D115" s="196"/>
      <c r="E115" s="197"/>
      <c r="F115" s="198"/>
      <c r="G115" s="197"/>
      <c r="H115" s="199"/>
      <c r="I115" s="200"/>
      <c r="J115" s="200"/>
      <c r="K115" s="198"/>
      <c r="L115" s="198"/>
      <c r="M115" s="197"/>
      <c r="N115" s="198"/>
      <c r="O115" s="198"/>
      <c r="P115" s="201"/>
      <c r="Q115" s="202">
        <f>J115-0.4*N115</f>
        <v>0</v>
      </c>
    </row>
    <row r="116" ht="16.05" customHeight="1">
      <c r="A116" s="196"/>
      <c r="B116" s="197"/>
      <c r="C116" s="197"/>
      <c r="D116" s="196"/>
      <c r="E116" s="197"/>
      <c r="F116" s="198"/>
      <c r="G116" s="197"/>
      <c r="H116" s="199"/>
      <c r="I116" s="200"/>
      <c r="J116" s="200"/>
      <c r="K116" s="198"/>
      <c r="L116" s="198"/>
      <c r="M116" s="197"/>
      <c r="N116" s="198"/>
      <c r="O116" s="198"/>
      <c r="P116" s="201"/>
      <c r="Q116" s="202">
        <f>J116-0.4*N116</f>
        <v>0</v>
      </c>
    </row>
    <row r="117" ht="16.05" customHeight="1">
      <c r="A117" s="196"/>
      <c r="B117" s="197"/>
      <c r="C117" s="197"/>
      <c r="D117" s="196"/>
      <c r="E117" s="197"/>
      <c r="F117" s="198"/>
      <c r="G117" s="197"/>
      <c r="H117" s="199"/>
      <c r="I117" s="200"/>
      <c r="J117" s="200"/>
      <c r="K117" s="198"/>
      <c r="L117" s="198"/>
      <c r="M117" s="197"/>
      <c r="N117" s="198"/>
      <c r="O117" s="198"/>
      <c r="P117" s="201"/>
      <c r="Q117" s="202">
        <f>J117-0.4*N117</f>
        <v>0</v>
      </c>
    </row>
    <row r="118" ht="16.05" customHeight="1">
      <c r="A118" s="196"/>
      <c r="B118" s="197"/>
      <c r="C118" s="197"/>
      <c r="D118" s="196"/>
      <c r="E118" s="197"/>
      <c r="F118" s="198"/>
      <c r="G118" s="197"/>
      <c r="H118" s="199"/>
      <c r="I118" s="200"/>
      <c r="J118" s="200"/>
      <c r="K118" s="198"/>
      <c r="L118" s="198"/>
      <c r="M118" s="197"/>
      <c r="N118" s="198"/>
      <c r="O118" s="198"/>
      <c r="P118" s="201"/>
      <c r="Q118" s="202">
        <f>J118-0.4*N118</f>
        <v>0</v>
      </c>
    </row>
    <row r="119" ht="16.05" customHeight="1">
      <c r="A119" s="196"/>
      <c r="B119" s="197"/>
      <c r="C119" s="197"/>
      <c r="D119" s="196"/>
      <c r="E119" s="197"/>
      <c r="F119" s="198"/>
      <c r="G119" s="197"/>
      <c r="H119" s="199"/>
      <c r="I119" s="200"/>
      <c r="J119" s="200"/>
      <c r="K119" s="198"/>
      <c r="L119" s="198"/>
      <c r="M119" s="197"/>
      <c r="N119" s="198"/>
      <c r="O119" s="198"/>
      <c r="P119" s="201"/>
      <c r="Q119" s="202">
        <f>J119-0.4*N119</f>
        <v>0</v>
      </c>
    </row>
    <row r="120" ht="16.05" customHeight="1">
      <c r="A120" s="196"/>
      <c r="B120" s="197"/>
      <c r="C120" s="197"/>
      <c r="D120" s="196"/>
      <c r="E120" s="197"/>
      <c r="F120" s="198"/>
      <c r="G120" s="197"/>
      <c r="H120" s="199"/>
      <c r="I120" s="200"/>
      <c r="J120" s="200"/>
      <c r="K120" s="198"/>
      <c r="L120" s="198"/>
      <c r="M120" s="197"/>
      <c r="N120" s="198"/>
      <c r="O120" s="198"/>
      <c r="P120" s="201"/>
      <c r="Q120" s="202">
        <f>J120-0.4*N120</f>
        <v>0</v>
      </c>
    </row>
    <row r="121" ht="16.05" customHeight="1">
      <c r="A121" s="196"/>
      <c r="B121" s="197"/>
      <c r="C121" s="197"/>
      <c r="D121" s="196"/>
      <c r="E121" s="197"/>
      <c r="F121" s="198"/>
      <c r="G121" s="197"/>
      <c r="H121" s="199"/>
      <c r="I121" s="200"/>
      <c r="J121" s="200"/>
      <c r="K121" s="198"/>
      <c r="L121" s="198"/>
      <c r="M121" s="197"/>
      <c r="N121" s="198"/>
      <c r="O121" s="198"/>
      <c r="P121" s="201"/>
      <c r="Q121" s="202">
        <f>J121-0.4*N121</f>
        <v>0</v>
      </c>
    </row>
    <row r="122" ht="16.05" customHeight="1">
      <c r="A122" s="196"/>
      <c r="B122" s="197"/>
      <c r="C122" s="197"/>
      <c r="D122" s="196"/>
      <c r="E122" s="197"/>
      <c r="F122" s="198"/>
      <c r="G122" s="197"/>
      <c r="H122" s="199"/>
      <c r="I122" s="200"/>
      <c r="J122" s="200"/>
      <c r="K122" s="198"/>
      <c r="L122" s="198"/>
      <c r="M122" s="197"/>
      <c r="N122" s="198"/>
      <c r="O122" s="198"/>
      <c r="P122" s="201"/>
      <c r="Q122" s="202">
        <f>J122-0.4*N122</f>
        <v>0</v>
      </c>
    </row>
    <row r="123" ht="16.05" customHeight="1">
      <c r="A123" s="196"/>
      <c r="B123" s="197"/>
      <c r="C123" s="197"/>
      <c r="D123" s="196"/>
      <c r="E123" s="197"/>
      <c r="F123" s="198"/>
      <c r="G123" s="197"/>
      <c r="H123" s="199"/>
      <c r="I123" s="200"/>
      <c r="J123" s="200"/>
      <c r="K123" s="198"/>
      <c r="L123" s="198"/>
      <c r="M123" s="197"/>
      <c r="N123" s="198"/>
      <c r="O123" s="198"/>
      <c r="P123" s="201"/>
      <c r="Q123" s="202">
        <f>J123-0.4*N123</f>
        <v>0</v>
      </c>
    </row>
    <row r="124" ht="16.05" customHeight="1">
      <c r="A124" s="196"/>
      <c r="B124" s="197"/>
      <c r="C124" s="197"/>
      <c r="D124" s="196"/>
      <c r="E124" s="197"/>
      <c r="F124" s="198"/>
      <c r="G124" s="197"/>
      <c r="H124" s="199"/>
      <c r="I124" s="200"/>
      <c r="J124" s="200"/>
      <c r="K124" s="198"/>
      <c r="L124" s="198"/>
      <c r="M124" s="197"/>
      <c r="N124" s="198"/>
      <c r="O124" s="198"/>
      <c r="P124" s="201"/>
      <c r="Q124" s="202">
        <f>J124-0.4*N124</f>
        <v>0</v>
      </c>
    </row>
    <row r="125" ht="16.05" customHeight="1">
      <c r="A125" s="196"/>
      <c r="B125" s="197"/>
      <c r="C125" s="197"/>
      <c r="D125" s="196"/>
      <c r="E125" s="197"/>
      <c r="F125" s="198"/>
      <c r="G125" s="197"/>
      <c r="H125" s="199"/>
      <c r="I125" s="200"/>
      <c r="J125" s="200"/>
      <c r="K125" s="198"/>
      <c r="L125" s="198"/>
      <c r="M125" s="197"/>
      <c r="N125" s="198"/>
      <c r="O125" s="198"/>
      <c r="P125" s="201"/>
      <c r="Q125" s="202">
        <f>J125-0.4*N125</f>
        <v>0</v>
      </c>
    </row>
    <row r="126" ht="16.05" customHeight="1">
      <c r="A126" s="196"/>
      <c r="B126" s="197"/>
      <c r="C126" s="197"/>
      <c r="D126" s="196"/>
      <c r="E126" s="197"/>
      <c r="F126" s="198"/>
      <c r="G126" s="197"/>
      <c r="H126" s="199"/>
      <c r="I126" s="200"/>
      <c r="J126" s="200"/>
      <c r="K126" s="198"/>
      <c r="L126" s="198"/>
      <c r="M126" s="197"/>
      <c r="N126" s="198"/>
      <c r="O126" s="198"/>
      <c r="P126" s="201"/>
      <c r="Q126" s="202">
        <f>J126-0.4*N126</f>
        <v>0</v>
      </c>
    </row>
    <row r="127" ht="16.05" customHeight="1">
      <c r="A127" s="196"/>
      <c r="B127" s="197"/>
      <c r="C127" s="197"/>
      <c r="D127" s="196"/>
      <c r="E127" s="197"/>
      <c r="F127" s="198"/>
      <c r="G127" s="197"/>
      <c r="H127" s="199"/>
      <c r="I127" s="200"/>
      <c r="J127" s="200"/>
      <c r="K127" s="198"/>
      <c r="L127" s="198"/>
      <c r="M127" s="197"/>
      <c r="N127" s="198"/>
      <c r="O127" s="198"/>
      <c r="P127" s="201"/>
      <c r="Q127" s="202">
        <f>J127-0.4*N127</f>
        <v>0</v>
      </c>
    </row>
    <row r="128" ht="16.05" customHeight="1">
      <c r="A128" s="196"/>
      <c r="B128" s="197"/>
      <c r="C128" s="197"/>
      <c r="D128" s="196"/>
      <c r="E128" s="197"/>
      <c r="F128" s="198"/>
      <c r="G128" s="197"/>
      <c r="H128" s="199"/>
      <c r="I128" s="200"/>
      <c r="J128" s="200"/>
      <c r="K128" s="198"/>
      <c r="L128" s="198"/>
      <c r="M128" s="197"/>
      <c r="N128" s="198"/>
      <c r="O128" s="198"/>
      <c r="P128" s="201"/>
      <c r="Q128" s="202">
        <f>J128-0.4*N128</f>
        <v>0</v>
      </c>
    </row>
    <row r="129" ht="16.05" customHeight="1">
      <c r="A129" s="196"/>
      <c r="B129" s="197"/>
      <c r="C129" s="197"/>
      <c r="D129" s="196"/>
      <c r="E129" s="197"/>
      <c r="F129" s="198"/>
      <c r="G129" s="197"/>
      <c r="H129" s="199"/>
      <c r="I129" s="200"/>
      <c r="J129" s="200"/>
      <c r="K129" s="198"/>
      <c r="L129" s="198"/>
      <c r="M129" s="197"/>
      <c r="N129" s="198"/>
      <c r="O129" s="198"/>
      <c r="P129" s="201"/>
      <c r="Q129" s="202">
        <f>J129-0.4*N129</f>
        <v>0</v>
      </c>
    </row>
    <row r="130" ht="16.05" customHeight="1">
      <c r="A130" s="196"/>
      <c r="B130" s="197"/>
      <c r="C130" s="197"/>
      <c r="D130" s="196"/>
      <c r="E130" s="197"/>
      <c r="F130" s="198"/>
      <c r="G130" s="197"/>
      <c r="H130" s="199"/>
      <c r="I130" s="200"/>
      <c r="J130" s="200"/>
      <c r="K130" s="198"/>
      <c r="L130" s="198"/>
      <c r="M130" s="197"/>
      <c r="N130" s="198"/>
      <c r="O130" s="198"/>
      <c r="P130" s="201"/>
      <c r="Q130" s="202">
        <f>J130-0.4*N130</f>
        <v>0</v>
      </c>
    </row>
    <row r="131" ht="16.05" customHeight="1">
      <c r="A131" s="196"/>
      <c r="B131" s="197"/>
      <c r="C131" s="197"/>
      <c r="D131" s="196"/>
      <c r="E131" s="197"/>
      <c r="F131" s="198"/>
      <c r="G131" s="197"/>
      <c r="H131" s="199"/>
      <c r="I131" s="200"/>
      <c r="J131" s="200"/>
      <c r="K131" s="198"/>
      <c r="L131" s="198"/>
      <c r="M131" s="197"/>
      <c r="N131" s="198"/>
      <c r="O131" s="198"/>
      <c r="P131" s="201"/>
      <c r="Q131" s="202">
        <f>J131-0.4*N131</f>
        <v>0</v>
      </c>
    </row>
    <row r="132" ht="16.05" customHeight="1">
      <c r="A132" s="196"/>
      <c r="B132" s="197"/>
      <c r="C132" s="197"/>
      <c r="D132" s="196"/>
      <c r="E132" s="197"/>
      <c r="F132" s="198"/>
      <c r="G132" s="197"/>
      <c r="H132" s="199"/>
      <c r="I132" s="200"/>
      <c r="J132" s="200"/>
      <c r="K132" s="198"/>
      <c r="L132" s="198"/>
      <c r="M132" s="197"/>
      <c r="N132" s="198"/>
      <c r="O132" s="198"/>
      <c r="P132" s="201"/>
      <c r="Q132" s="202">
        <f>J132-0.4*N132</f>
        <v>0</v>
      </c>
    </row>
    <row r="133" ht="16.05" customHeight="1">
      <c r="A133" s="196"/>
      <c r="B133" s="197"/>
      <c r="C133" s="197"/>
      <c r="D133" s="196"/>
      <c r="E133" s="197"/>
      <c r="F133" s="198"/>
      <c r="G133" s="197"/>
      <c r="H133" s="199"/>
      <c r="I133" s="200"/>
      <c r="J133" s="200"/>
      <c r="K133" s="198"/>
      <c r="L133" s="198"/>
      <c r="M133" s="197"/>
      <c r="N133" s="198"/>
      <c r="O133" s="198"/>
      <c r="P133" s="201"/>
      <c r="Q133" s="202">
        <f>J133-0.4*N133</f>
        <v>0</v>
      </c>
    </row>
    <row r="134" ht="16.05" customHeight="1">
      <c r="A134" s="196"/>
      <c r="B134" s="197"/>
      <c r="C134" s="197"/>
      <c r="D134" s="196"/>
      <c r="E134" s="197"/>
      <c r="F134" s="198"/>
      <c r="G134" s="197"/>
      <c r="H134" s="199"/>
      <c r="I134" s="200"/>
      <c r="J134" s="200"/>
      <c r="K134" s="198"/>
      <c r="L134" s="198"/>
      <c r="M134" s="197"/>
      <c r="N134" s="198"/>
      <c r="O134" s="198"/>
      <c r="P134" s="201"/>
      <c r="Q134" s="202">
        <f>J134-0.4*N134</f>
        <v>0</v>
      </c>
    </row>
    <row r="135" ht="16.05" customHeight="1">
      <c r="A135" s="196"/>
      <c r="B135" s="197"/>
      <c r="C135" s="197"/>
      <c r="D135" s="196"/>
      <c r="E135" s="197"/>
      <c r="F135" s="198"/>
      <c r="G135" s="197"/>
      <c r="H135" s="199"/>
      <c r="I135" s="200"/>
      <c r="J135" s="200"/>
      <c r="K135" s="198"/>
      <c r="L135" s="198"/>
      <c r="M135" s="197"/>
      <c r="N135" s="198"/>
      <c r="O135" s="198"/>
      <c r="P135" s="201"/>
      <c r="Q135" s="202">
        <f>J135-0.4*N135</f>
        <v>0</v>
      </c>
    </row>
    <row r="136" ht="16.05" customHeight="1">
      <c r="A136" s="196"/>
      <c r="B136" s="197"/>
      <c r="C136" s="197"/>
      <c r="D136" s="196"/>
      <c r="E136" s="197"/>
      <c r="F136" s="198"/>
      <c r="G136" s="197"/>
      <c r="H136" s="199"/>
      <c r="I136" s="200"/>
      <c r="J136" s="200"/>
      <c r="K136" s="198"/>
      <c r="L136" s="198"/>
      <c r="M136" s="197"/>
      <c r="N136" s="198"/>
      <c r="O136" s="198"/>
      <c r="P136" s="201"/>
      <c r="Q136" s="202">
        <f>J136-0.4*N136</f>
        <v>0</v>
      </c>
    </row>
    <row r="137" ht="16.05" customHeight="1">
      <c r="A137" s="196"/>
      <c r="B137" s="197"/>
      <c r="C137" s="197"/>
      <c r="D137" s="196"/>
      <c r="E137" s="197"/>
      <c r="F137" s="198"/>
      <c r="G137" s="197"/>
      <c r="H137" s="199"/>
      <c r="I137" s="200"/>
      <c r="J137" s="200"/>
      <c r="K137" s="198"/>
      <c r="L137" s="198"/>
      <c r="M137" s="197"/>
      <c r="N137" s="198"/>
      <c r="O137" s="198"/>
      <c r="P137" s="201"/>
      <c r="Q137" s="202">
        <f>J137-0.4*N137</f>
        <v>0</v>
      </c>
    </row>
    <row r="138" ht="16.05" customHeight="1">
      <c r="A138" s="196"/>
      <c r="B138" s="197"/>
      <c r="C138" s="197"/>
      <c r="D138" s="196"/>
      <c r="E138" s="197"/>
      <c r="F138" s="198"/>
      <c r="G138" s="197"/>
      <c r="H138" s="199"/>
      <c r="I138" s="200"/>
      <c r="J138" s="200"/>
      <c r="K138" s="198"/>
      <c r="L138" s="198"/>
      <c r="M138" s="197"/>
      <c r="N138" s="198"/>
      <c r="O138" s="198"/>
      <c r="P138" s="201"/>
      <c r="Q138" s="202">
        <f>J138-0.4*N138</f>
        <v>0</v>
      </c>
    </row>
    <row r="139" ht="16.05" customHeight="1">
      <c r="A139" s="196"/>
      <c r="B139" s="197"/>
      <c r="C139" s="197"/>
      <c r="D139" s="196"/>
      <c r="E139" s="197"/>
      <c r="F139" s="198"/>
      <c r="G139" s="197"/>
      <c r="H139" s="199"/>
      <c r="I139" s="200"/>
      <c r="J139" s="200"/>
      <c r="K139" s="198"/>
      <c r="L139" s="198"/>
      <c r="M139" s="197"/>
      <c r="N139" s="198"/>
      <c r="O139" s="198"/>
      <c r="P139" s="201"/>
      <c r="Q139" s="202">
        <f>J139-0.4*N139</f>
        <v>0</v>
      </c>
    </row>
    <row r="140" ht="16.05" customHeight="1">
      <c r="A140" s="196"/>
      <c r="B140" s="197"/>
      <c r="C140" s="197"/>
      <c r="D140" s="196"/>
      <c r="E140" s="197"/>
      <c r="F140" s="198"/>
      <c r="G140" s="197"/>
      <c r="H140" s="199"/>
      <c r="I140" s="200"/>
      <c r="J140" s="200"/>
      <c r="K140" s="198"/>
      <c r="L140" s="198"/>
      <c r="M140" s="197"/>
      <c r="N140" s="198"/>
      <c r="O140" s="198"/>
      <c r="P140" s="201"/>
      <c r="Q140" s="202">
        <f>J140-0.4*N140</f>
        <v>0</v>
      </c>
    </row>
    <row r="141" ht="16.05" customHeight="1">
      <c r="A141" s="196"/>
      <c r="B141" s="197"/>
      <c r="C141" s="197"/>
      <c r="D141" s="196"/>
      <c r="E141" s="197"/>
      <c r="F141" s="198"/>
      <c r="G141" s="197"/>
      <c r="H141" s="199"/>
      <c r="I141" s="200"/>
      <c r="J141" s="200"/>
      <c r="K141" s="198"/>
      <c r="L141" s="198"/>
      <c r="M141" s="197"/>
      <c r="N141" s="198"/>
      <c r="O141" s="198"/>
      <c r="P141" s="201"/>
      <c r="Q141" s="202">
        <f>J141-0.4*N141</f>
        <v>0</v>
      </c>
    </row>
    <row r="142" ht="16.05" customHeight="1">
      <c r="A142" s="196"/>
      <c r="B142" s="197"/>
      <c r="C142" s="197"/>
      <c r="D142" s="196"/>
      <c r="E142" s="197"/>
      <c r="F142" s="198"/>
      <c r="G142" s="197"/>
      <c r="H142" s="199"/>
      <c r="I142" s="200"/>
      <c r="J142" s="200"/>
      <c r="K142" s="198"/>
      <c r="L142" s="198"/>
      <c r="M142" s="197"/>
      <c r="N142" s="198"/>
      <c r="O142" s="198"/>
      <c r="P142" s="201"/>
      <c r="Q142" s="202">
        <f>J142-0.4*N142</f>
        <v>0</v>
      </c>
    </row>
    <row r="143" ht="16.05" customHeight="1">
      <c r="A143" s="196"/>
      <c r="B143" s="197"/>
      <c r="C143" s="197"/>
      <c r="D143" s="196"/>
      <c r="E143" s="197"/>
      <c r="F143" s="198"/>
      <c r="G143" s="197"/>
      <c r="H143" s="199"/>
      <c r="I143" s="200"/>
      <c r="J143" s="200"/>
      <c r="K143" s="198"/>
      <c r="L143" s="198"/>
      <c r="M143" s="197"/>
      <c r="N143" s="198"/>
      <c r="O143" s="198"/>
      <c r="P143" s="201"/>
      <c r="Q143" s="202">
        <f>J143-0.4*N143</f>
        <v>0</v>
      </c>
    </row>
    <row r="144" ht="16.05" customHeight="1">
      <c r="A144" s="196"/>
      <c r="B144" s="197"/>
      <c r="C144" s="197"/>
      <c r="D144" s="196"/>
      <c r="E144" s="197"/>
      <c r="F144" s="198"/>
      <c r="G144" s="197"/>
      <c r="H144" s="199"/>
      <c r="I144" s="200"/>
      <c r="J144" s="200"/>
      <c r="K144" s="198"/>
      <c r="L144" s="198"/>
      <c r="M144" s="197"/>
      <c r="N144" s="198"/>
      <c r="O144" s="198"/>
      <c r="P144" s="201"/>
      <c r="Q144" s="202">
        <f>J144-0.4*N144</f>
        <v>0</v>
      </c>
    </row>
    <row r="145" ht="16.05" customHeight="1">
      <c r="A145" s="196"/>
      <c r="B145" s="197"/>
      <c r="C145" s="197"/>
      <c r="D145" s="196"/>
      <c r="E145" s="197"/>
      <c r="F145" s="198"/>
      <c r="G145" s="197"/>
      <c r="H145" s="199"/>
      <c r="I145" s="200"/>
      <c r="J145" s="200"/>
      <c r="K145" s="198"/>
      <c r="L145" s="198"/>
      <c r="M145" s="197"/>
      <c r="N145" s="198"/>
      <c r="O145" s="198"/>
      <c r="P145" s="201"/>
      <c r="Q145" s="202">
        <f>J145-0.4*N145</f>
        <v>0</v>
      </c>
    </row>
    <row r="146" ht="16.05" customHeight="1">
      <c r="A146" s="196"/>
      <c r="B146" s="197"/>
      <c r="C146" s="197"/>
      <c r="D146" s="196"/>
      <c r="E146" s="197"/>
      <c r="F146" s="198"/>
      <c r="G146" s="197"/>
      <c r="H146" s="199"/>
      <c r="I146" s="200"/>
      <c r="J146" s="200"/>
      <c r="K146" s="198"/>
      <c r="L146" s="198"/>
      <c r="M146" s="197"/>
      <c r="N146" s="198"/>
      <c r="O146" s="198"/>
      <c r="P146" s="201"/>
      <c r="Q146" s="202">
        <f>J146-0.4*N146</f>
        <v>0</v>
      </c>
    </row>
    <row r="147" ht="16.05" customHeight="1">
      <c r="A147" s="196"/>
      <c r="B147" s="197"/>
      <c r="C147" s="197"/>
      <c r="D147" s="196"/>
      <c r="E147" s="197"/>
      <c r="F147" s="198"/>
      <c r="G147" s="197"/>
      <c r="H147" s="199"/>
      <c r="I147" s="200"/>
      <c r="J147" s="200"/>
      <c r="K147" s="198"/>
      <c r="L147" s="198"/>
      <c r="M147" s="197"/>
      <c r="N147" s="198"/>
      <c r="O147" s="198"/>
      <c r="P147" s="201"/>
      <c r="Q147" s="202">
        <f>J147-0.4*N147</f>
        <v>0</v>
      </c>
    </row>
    <row r="148" ht="16.05" customHeight="1">
      <c r="A148" s="196"/>
      <c r="B148" s="197"/>
      <c r="C148" s="197"/>
      <c r="D148" s="196"/>
      <c r="E148" s="197"/>
      <c r="F148" s="198"/>
      <c r="G148" s="197"/>
      <c r="H148" s="199"/>
      <c r="I148" s="200"/>
      <c r="J148" s="200"/>
      <c r="K148" s="198"/>
      <c r="L148" s="198"/>
      <c r="M148" s="197"/>
      <c r="N148" s="198"/>
      <c r="O148" s="198"/>
      <c r="P148" s="201"/>
      <c r="Q148" s="202">
        <f>J148-0.4*N148</f>
        <v>0</v>
      </c>
    </row>
    <row r="149" ht="16.05" customHeight="1">
      <c r="A149" s="196"/>
      <c r="B149" s="197"/>
      <c r="C149" s="197"/>
      <c r="D149" s="196"/>
      <c r="E149" s="197"/>
      <c r="F149" s="198"/>
      <c r="G149" s="197"/>
      <c r="H149" s="199"/>
      <c r="I149" s="200"/>
      <c r="J149" s="200"/>
      <c r="K149" s="198"/>
      <c r="L149" s="198"/>
      <c r="M149" s="197"/>
      <c r="N149" s="198"/>
      <c r="O149" s="198"/>
      <c r="P149" s="201"/>
      <c r="Q149" s="202">
        <f>J149-0.4*N149</f>
        <v>0</v>
      </c>
    </row>
    <row r="150" ht="16.05" customHeight="1">
      <c r="A150" s="196"/>
      <c r="B150" s="197"/>
      <c r="C150" s="197"/>
      <c r="D150" s="196"/>
      <c r="E150" s="197"/>
      <c r="F150" s="198"/>
      <c r="G150" s="197"/>
      <c r="H150" s="199"/>
      <c r="I150" s="200"/>
      <c r="J150" s="200"/>
      <c r="K150" s="198"/>
      <c r="L150" s="198"/>
      <c r="M150" s="197"/>
      <c r="N150" s="198"/>
      <c r="O150" s="198"/>
      <c r="P150" s="201"/>
      <c r="Q150" s="202">
        <f>J150-0.4*N150</f>
        <v>0</v>
      </c>
    </row>
    <row r="151" ht="16.05" customHeight="1">
      <c r="A151" s="196"/>
      <c r="B151" s="197"/>
      <c r="C151" s="197"/>
      <c r="D151" s="196"/>
      <c r="E151" s="197"/>
      <c r="F151" s="198"/>
      <c r="G151" s="197"/>
      <c r="H151" s="199"/>
      <c r="I151" s="200"/>
      <c r="J151" s="200"/>
      <c r="K151" s="198"/>
      <c r="L151" s="198"/>
      <c r="M151" s="197"/>
      <c r="N151" s="198"/>
      <c r="O151" s="198"/>
      <c r="P151" s="201"/>
      <c r="Q151" s="202">
        <f>J151-0.4*N151</f>
        <v>0</v>
      </c>
    </row>
    <row r="152" ht="16.05" customHeight="1">
      <c r="A152" s="196"/>
      <c r="B152" s="197"/>
      <c r="C152" s="197"/>
      <c r="D152" s="196"/>
      <c r="E152" s="197"/>
      <c r="F152" s="198"/>
      <c r="G152" s="197"/>
      <c r="H152" s="199"/>
      <c r="I152" s="200"/>
      <c r="J152" s="200"/>
      <c r="K152" s="198"/>
      <c r="L152" s="198"/>
      <c r="M152" s="197"/>
      <c r="N152" s="198"/>
      <c r="O152" s="198"/>
      <c r="P152" s="201"/>
      <c r="Q152" s="202">
        <f>J152-0.4*N152</f>
        <v>0</v>
      </c>
    </row>
    <row r="153" ht="16.05" customHeight="1">
      <c r="A153" s="196"/>
      <c r="B153" s="197"/>
      <c r="C153" s="197"/>
      <c r="D153" s="196"/>
      <c r="E153" s="197"/>
      <c r="F153" s="198"/>
      <c r="G153" s="197"/>
      <c r="H153" s="199"/>
      <c r="I153" s="200"/>
      <c r="J153" s="200"/>
      <c r="K153" s="198"/>
      <c r="L153" s="198"/>
      <c r="M153" s="197"/>
      <c r="N153" s="198"/>
      <c r="O153" s="198"/>
      <c r="P153" s="201"/>
      <c r="Q153" s="202">
        <f>J153-0.4*N153</f>
        <v>0</v>
      </c>
    </row>
    <row r="154" ht="16.05" customHeight="1">
      <c r="A154" s="196"/>
      <c r="B154" s="197"/>
      <c r="C154" s="197"/>
      <c r="D154" s="196"/>
      <c r="E154" s="197"/>
      <c r="F154" s="198"/>
      <c r="G154" s="197"/>
      <c r="H154" s="199"/>
      <c r="I154" s="200"/>
      <c r="J154" s="200"/>
      <c r="K154" s="198"/>
      <c r="L154" s="198"/>
      <c r="M154" s="197"/>
      <c r="N154" s="198"/>
      <c r="O154" s="198"/>
      <c r="P154" s="201"/>
      <c r="Q154" s="202">
        <f>J154-0.4*N154</f>
        <v>0</v>
      </c>
    </row>
    <row r="155" ht="16.05" customHeight="1">
      <c r="A155" s="196"/>
      <c r="B155" s="197"/>
      <c r="C155" s="197"/>
      <c r="D155" s="196"/>
      <c r="E155" s="197"/>
      <c r="F155" s="198"/>
      <c r="G155" s="197"/>
      <c r="H155" s="199"/>
      <c r="I155" s="200"/>
      <c r="J155" s="200"/>
      <c r="K155" s="198"/>
      <c r="L155" s="198"/>
      <c r="M155" s="197"/>
      <c r="N155" s="198"/>
      <c r="O155" s="198"/>
      <c r="P155" s="201"/>
      <c r="Q155" s="202">
        <f>J155-0.4*N155</f>
        <v>0</v>
      </c>
    </row>
    <row r="156" ht="16.05" customHeight="1">
      <c r="A156" s="196"/>
      <c r="B156" s="197"/>
      <c r="C156" s="197"/>
      <c r="D156" s="196"/>
      <c r="E156" s="197"/>
      <c r="F156" s="198"/>
      <c r="G156" s="197"/>
      <c r="H156" s="199"/>
      <c r="I156" s="200"/>
      <c r="J156" s="200"/>
      <c r="K156" s="198"/>
      <c r="L156" s="198"/>
      <c r="M156" s="197"/>
      <c r="N156" s="198"/>
      <c r="O156" s="198"/>
      <c r="P156" s="201"/>
      <c r="Q156" s="202">
        <f>J156-0.4*N156</f>
        <v>0</v>
      </c>
    </row>
    <row r="157" ht="16.05" customHeight="1">
      <c r="A157" s="196"/>
      <c r="B157" s="197"/>
      <c r="C157" s="197"/>
      <c r="D157" s="196"/>
      <c r="E157" s="197"/>
      <c r="F157" s="198"/>
      <c r="G157" s="197"/>
      <c r="H157" s="199"/>
      <c r="I157" s="200"/>
      <c r="J157" s="200"/>
      <c r="K157" s="198"/>
      <c r="L157" s="198"/>
      <c r="M157" s="197"/>
      <c r="N157" s="198"/>
      <c r="O157" s="198"/>
      <c r="P157" s="201"/>
      <c r="Q157" s="202">
        <f>J157-0.4*N157</f>
        <v>0</v>
      </c>
    </row>
    <row r="158" ht="16.05" customHeight="1">
      <c r="A158" s="196"/>
      <c r="B158" s="197"/>
      <c r="C158" s="197"/>
      <c r="D158" s="196"/>
      <c r="E158" s="197"/>
      <c r="F158" s="198"/>
      <c r="G158" s="197"/>
      <c r="H158" s="199"/>
      <c r="I158" s="200"/>
      <c r="J158" s="200"/>
      <c r="K158" s="198"/>
      <c r="L158" s="198"/>
      <c r="M158" s="197"/>
      <c r="N158" s="198"/>
      <c r="O158" s="198"/>
      <c r="P158" s="201"/>
      <c r="Q158" s="202">
        <f>J158-0.4*N158</f>
        <v>0</v>
      </c>
    </row>
    <row r="159" ht="16.05" customHeight="1">
      <c r="A159" s="196"/>
      <c r="B159" s="197"/>
      <c r="C159" s="197"/>
      <c r="D159" s="196"/>
      <c r="E159" s="197"/>
      <c r="F159" s="198"/>
      <c r="G159" s="197"/>
      <c r="H159" s="199"/>
      <c r="I159" s="200"/>
      <c r="J159" s="200"/>
      <c r="K159" s="198"/>
      <c r="L159" s="198"/>
      <c r="M159" s="197"/>
      <c r="N159" s="198"/>
      <c r="O159" s="198"/>
      <c r="P159" s="201"/>
      <c r="Q159" s="202">
        <f>J159-0.4*N159</f>
        <v>0</v>
      </c>
    </row>
    <row r="160" ht="16.05" customHeight="1">
      <c r="A160" s="196"/>
      <c r="B160" s="197"/>
      <c r="C160" s="197"/>
      <c r="D160" s="196"/>
      <c r="E160" s="197"/>
      <c r="F160" s="198"/>
      <c r="G160" s="197"/>
      <c r="H160" s="199"/>
      <c r="I160" s="200"/>
      <c r="J160" s="200"/>
      <c r="K160" s="198"/>
      <c r="L160" s="198"/>
      <c r="M160" s="197"/>
      <c r="N160" s="198"/>
      <c r="O160" s="198"/>
      <c r="P160" s="201"/>
      <c r="Q160" s="202">
        <f>J160-0.4*N160</f>
        <v>0</v>
      </c>
    </row>
    <row r="161" ht="16.05" customHeight="1">
      <c r="A161" s="196"/>
      <c r="B161" s="197"/>
      <c r="C161" s="197"/>
      <c r="D161" s="196"/>
      <c r="E161" s="197"/>
      <c r="F161" s="198"/>
      <c r="G161" s="197"/>
      <c r="H161" s="199"/>
      <c r="I161" s="200"/>
      <c r="J161" s="200"/>
      <c r="K161" s="198"/>
      <c r="L161" s="198"/>
      <c r="M161" s="197"/>
      <c r="N161" s="198"/>
      <c r="O161" s="198"/>
      <c r="P161" s="201"/>
      <c r="Q161" s="202">
        <f>J161-0.4*N161</f>
        <v>0</v>
      </c>
    </row>
    <row r="162" ht="16.05" customHeight="1">
      <c r="A162" s="196"/>
      <c r="B162" s="197"/>
      <c r="C162" s="197"/>
      <c r="D162" s="196"/>
      <c r="E162" s="197"/>
      <c r="F162" s="198"/>
      <c r="G162" s="197"/>
      <c r="H162" s="199"/>
      <c r="I162" s="200"/>
      <c r="J162" s="200"/>
      <c r="K162" s="198"/>
      <c r="L162" s="198"/>
      <c r="M162" s="197"/>
      <c r="N162" s="198"/>
      <c r="O162" s="198"/>
      <c r="P162" s="201"/>
      <c r="Q162" s="202">
        <f>J162-0.4*N162</f>
        <v>0</v>
      </c>
    </row>
    <row r="163" ht="16.05" customHeight="1">
      <c r="A163" s="196"/>
      <c r="B163" s="197"/>
      <c r="C163" s="197"/>
      <c r="D163" s="196"/>
      <c r="E163" s="197"/>
      <c r="F163" s="198"/>
      <c r="G163" s="197"/>
      <c r="H163" s="199"/>
      <c r="I163" s="200"/>
      <c r="J163" s="200"/>
      <c r="K163" s="198"/>
      <c r="L163" s="198"/>
      <c r="M163" s="197"/>
      <c r="N163" s="198"/>
      <c r="O163" s="198"/>
      <c r="P163" s="201"/>
      <c r="Q163" s="202">
        <f>J163-0.4*N163</f>
        <v>0</v>
      </c>
    </row>
    <row r="164" ht="16.05" customHeight="1">
      <c r="A164" s="196"/>
      <c r="B164" s="197"/>
      <c r="C164" s="197"/>
      <c r="D164" s="196"/>
      <c r="E164" s="197"/>
      <c r="F164" s="198"/>
      <c r="G164" s="197"/>
      <c r="H164" s="199"/>
      <c r="I164" s="200"/>
      <c r="J164" s="200"/>
      <c r="K164" s="198"/>
      <c r="L164" s="198"/>
      <c r="M164" s="197"/>
      <c r="N164" s="198"/>
      <c r="O164" s="198"/>
      <c r="P164" s="201"/>
      <c r="Q164" s="202">
        <f>J164-0.4*N164</f>
        <v>0</v>
      </c>
    </row>
    <row r="165" ht="16.05" customHeight="1">
      <c r="A165" s="196"/>
      <c r="B165" s="197"/>
      <c r="C165" s="197"/>
      <c r="D165" s="196"/>
      <c r="E165" s="197"/>
      <c r="F165" s="198"/>
      <c r="G165" s="197"/>
      <c r="H165" s="199"/>
      <c r="I165" s="200"/>
      <c r="J165" s="200"/>
      <c r="K165" s="198"/>
      <c r="L165" s="198"/>
      <c r="M165" s="197"/>
      <c r="N165" s="198"/>
      <c r="O165" s="198"/>
      <c r="P165" s="201"/>
      <c r="Q165" s="202">
        <f>J165-0.4*N165</f>
        <v>0</v>
      </c>
    </row>
    <row r="166" ht="16.05" customHeight="1">
      <c r="A166" s="196"/>
      <c r="B166" s="197"/>
      <c r="C166" s="197"/>
      <c r="D166" s="196"/>
      <c r="E166" s="197"/>
      <c r="F166" s="198"/>
      <c r="G166" s="197"/>
      <c r="H166" s="199"/>
      <c r="I166" s="200"/>
      <c r="J166" s="200"/>
      <c r="K166" s="198"/>
      <c r="L166" s="198"/>
      <c r="M166" s="197"/>
      <c r="N166" s="198"/>
      <c r="O166" s="198"/>
      <c r="P166" s="201"/>
      <c r="Q166" s="202">
        <f>J166-0.4*N166</f>
        <v>0</v>
      </c>
    </row>
    <row r="167" ht="16.05" customHeight="1">
      <c r="A167" s="196"/>
      <c r="B167" s="197"/>
      <c r="C167" s="197"/>
      <c r="D167" s="196"/>
      <c r="E167" s="197"/>
      <c r="F167" s="198"/>
      <c r="G167" s="197"/>
      <c r="H167" s="199"/>
      <c r="I167" s="200"/>
      <c r="J167" s="200"/>
      <c r="K167" s="198"/>
      <c r="L167" s="198"/>
      <c r="M167" s="197"/>
      <c r="N167" s="198"/>
      <c r="O167" s="198"/>
      <c r="P167" s="201"/>
      <c r="Q167" s="202">
        <f>J167-0.4*N167</f>
        <v>0</v>
      </c>
    </row>
    <row r="168" ht="16.05" customHeight="1">
      <c r="A168" s="196"/>
      <c r="B168" s="197"/>
      <c r="C168" s="197"/>
      <c r="D168" s="196"/>
      <c r="E168" s="197"/>
      <c r="F168" s="198"/>
      <c r="G168" s="197"/>
      <c r="H168" s="199"/>
      <c r="I168" s="200"/>
      <c r="J168" s="200"/>
      <c r="K168" s="198"/>
      <c r="L168" s="198"/>
      <c r="M168" s="197"/>
      <c r="N168" s="198"/>
      <c r="O168" s="198"/>
      <c r="P168" s="201"/>
      <c r="Q168" s="202">
        <f>J168-0.4*N168</f>
        <v>0</v>
      </c>
    </row>
    <row r="169" ht="16.05" customHeight="1">
      <c r="A169" s="196"/>
      <c r="B169" s="197"/>
      <c r="C169" s="197"/>
      <c r="D169" s="196"/>
      <c r="E169" s="197"/>
      <c r="F169" s="198"/>
      <c r="G169" s="197"/>
      <c r="H169" s="199"/>
      <c r="I169" s="200"/>
      <c r="J169" s="200"/>
      <c r="K169" s="198"/>
      <c r="L169" s="198"/>
      <c r="M169" s="197"/>
      <c r="N169" s="198"/>
      <c r="O169" s="198"/>
      <c r="P169" s="201"/>
      <c r="Q169" s="202">
        <f>J169-0.4*N169</f>
        <v>0</v>
      </c>
    </row>
    <row r="170" ht="16.05" customHeight="1">
      <c r="A170" s="196"/>
      <c r="B170" s="197"/>
      <c r="C170" s="197"/>
      <c r="D170" s="196"/>
      <c r="E170" s="197"/>
      <c r="F170" s="198"/>
      <c r="G170" s="197"/>
      <c r="H170" s="199"/>
      <c r="I170" s="200"/>
      <c r="J170" s="200"/>
      <c r="K170" s="198"/>
      <c r="L170" s="198"/>
      <c r="M170" s="197"/>
      <c r="N170" s="198"/>
      <c r="O170" s="198"/>
      <c r="P170" s="201"/>
      <c r="Q170" s="202">
        <f>J170-0.4*N170</f>
        <v>0</v>
      </c>
    </row>
    <row r="171" ht="16.05" customHeight="1">
      <c r="A171" s="196"/>
      <c r="B171" s="197"/>
      <c r="C171" s="197"/>
      <c r="D171" s="196"/>
      <c r="E171" s="197"/>
      <c r="F171" s="198"/>
      <c r="G171" s="197"/>
      <c r="H171" s="199"/>
      <c r="I171" s="200"/>
      <c r="J171" s="200"/>
      <c r="K171" s="198"/>
      <c r="L171" s="198"/>
      <c r="M171" s="197"/>
      <c r="N171" s="198"/>
      <c r="O171" s="198"/>
      <c r="P171" s="201"/>
      <c r="Q171" s="202">
        <f>J171-0.4*N171</f>
        <v>0</v>
      </c>
    </row>
    <row r="172" ht="16.05" customHeight="1">
      <c r="A172" s="196"/>
      <c r="B172" s="197"/>
      <c r="C172" s="197"/>
      <c r="D172" s="196"/>
      <c r="E172" s="197"/>
      <c r="F172" s="198"/>
      <c r="G172" s="197"/>
      <c r="H172" s="199"/>
      <c r="I172" s="200"/>
      <c r="J172" s="200"/>
      <c r="K172" s="198"/>
      <c r="L172" s="198"/>
      <c r="M172" s="197"/>
      <c r="N172" s="198"/>
      <c r="O172" s="198"/>
      <c r="P172" s="201"/>
      <c r="Q172" s="202">
        <f>J172-0.4*N172</f>
        <v>0</v>
      </c>
    </row>
    <row r="173" ht="16.05" customHeight="1">
      <c r="A173" s="196"/>
      <c r="B173" s="197"/>
      <c r="C173" s="197"/>
      <c r="D173" s="196"/>
      <c r="E173" s="197"/>
      <c r="F173" s="198"/>
      <c r="G173" s="197"/>
      <c r="H173" s="199"/>
      <c r="I173" s="200"/>
      <c r="J173" s="200"/>
      <c r="K173" s="198"/>
      <c r="L173" s="198"/>
      <c r="M173" s="197"/>
      <c r="N173" s="198"/>
      <c r="O173" s="198"/>
      <c r="P173" s="201"/>
      <c r="Q173" s="202">
        <f>J173-0.4*N173</f>
        <v>0</v>
      </c>
    </row>
    <row r="174" ht="16.05" customHeight="1">
      <c r="A174" s="196"/>
      <c r="B174" s="197"/>
      <c r="C174" s="197"/>
      <c r="D174" s="196"/>
      <c r="E174" s="197"/>
      <c r="F174" s="198"/>
      <c r="G174" s="197"/>
      <c r="H174" s="199"/>
      <c r="I174" s="200"/>
      <c r="J174" s="200"/>
      <c r="K174" s="198"/>
      <c r="L174" s="198"/>
      <c r="M174" s="197"/>
      <c r="N174" s="198"/>
      <c r="O174" s="198"/>
      <c r="P174" s="201"/>
      <c r="Q174" s="202">
        <f>J174-0.4*N174</f>
        <v>0</v>
      </c>
    </row>
    <row r="175" ht="16.05" customHeight="1">
      <c r="A175" s="196"/>
      <c r="B175" s="197"/>
      <c r="C175" s="197"/>
      <c r="D175" s="196"/>
      <c r="E175" s="197"/>
      <c r="F175" s="198"/>
      <c r="G175" s="197"/>
      <c r="H175" s="199"/>
      <c r="I175" s="200"/>
      <c r="J175" s="200"/>
      <c r="K175" s="198"/>
      <c r="L175" s="198"/>
      <c r="M175" s="197"/>
      <c r="N175" s="198"/>
      <c r="O175" s="198"/>
      <c r="P175" s="201"/>
      <c r="Q175" s="202">
        <f>J175-0.4*N175</f>
        <v>0</v>
      </c>
    </row>
    <row r="176" ht="16.05" customHeight="1">
      <c r="A176" s="196"/>
      <c r="B176" s="197"/>
      <c r="C176" s="197"/>
      <c r="D176" s="196"/>
      <c r="E176" s="197"/>
      <c r="F176" s="198"/>
      <c r="G176" s="197"/>
      <c r="H176" s="199"/>
      <c r="I176" s="200"/>
      <c r="J176" s="200"/>
      <c r="K176" s="198"/>
      <c r="L176" s="198"/>
      <c r="M176" s="197"/>
      <c r="N176" s="198"/>
      <c r="O176" s="198"/>
      <c r="P176" s="201"/>
      <c r="Q176" s="202">
        <f>J176-0.4*N176</f>
        <v>0</v>
      </c>
    </row>
    <row r="177" ht="16.05" customHeight="1">
      <c r="A177" s="196"/>
      <c r="B177" s="197"/>
      <c r="C177" s="197"/>
      <c r="D177" s="196"/>
      <c r="E177" s="197"/>
      <c r="F177" s="198"/>
      <c r="G177" s="197"/>
      <c r="H177" s="199"/>
      <c r="I177" s="200"/>
      <c r="J177" s="200"/>
      <c r="K177" s="198"/>
      <c r="L177" s="198"/>
      <c r="M177" s="197"/>
      <c r="N177" s="198"/>
      <c r="O177" s="198"/>
      <c r="P177" s="201"/>
      <c r="Q177" s="202">
        <f>J177-0.4*N177</f>
        <v>0</v>
      </c>
    </row>
    <row r="178" ht="16.05" customHeight="1">
      <c r="A178" s="196"/>
      <c r="B178" s="197"/>
      <c r="C178" s="197"/>
      <c r="D178" s="196"/>
      <c r="E178" s="197"/>
      <c r="F178" s="198"/>
      <c r="G178" s="197"/>
      <c r="H178" s="199"/>
      <c r="I178" s="200"/>
      <c r="J178" s="200"/>
      <c r="K178" s="198"/>
      <c r="L178" s="198"/>
      <c r="M178" s="197"/>
      <c r="N178" s="198"/>
      <c r="O178" s="198"/>
      <c r="P178" s="201"/>
      <c r="Q178" s="202">
        <f>J178-0.4*N178</f>
        <v>0</v>
      </c>
    </row>
    <row r="179" ht="16.05" customHeight="1">
      <c r="A179" s="196"/>
      <c r="B179" s="197"/>
      <c r="C179" s="197"/>
      <c r="D179" s="196"/>
      <c r="E179" s="197"/>
      <c r="F179" s="198"/>
      <c r="G179" s="197"/>
      <c r="H179" s="199"/>
      <c r="I179" s="200"/>
      <c r="J179" s="200"/>
      <c r="K179" s="198"/>
      <c r="L179" s="198"/>
      <c r="M179" s="197"/>
      <c r="N179" s="198"/>
      <c r="O179" s="198"/>
      <c r="P179" s="201"/>
      <c r="Q179" s="202">
        <f>J179-0.4*N179</f>
        <v>0</v>
      </c>
    </row>
    <row r="180" ht="16.05" customHeight="1">
      <c r="A180" s="196"/>
      <c r="B180" s="197"/>
      <c r="C180" s="197"/>
      <c r="D180" s="196"/>
      <c r="E180" s="197"/>
      <c r="F180" s="198"/>
      <c r="G180" s="197"/>
      <c r="H180" s="199"/>
      <c r="I180" s="200"/>
      <c r="J180" s="200"/>
      <c r="K180" s="198"/>
      <c r="L180" s="198"/>
      <c r="M180" s="197"/>
      <c r="N180" s="198"/>
      <c r="O180" s="198"/>
      <c r="P180" s="201"/>
      <c r="Q180" s="202">
        <f>J180-0.4*N180</f>
        <v>0</v>
      </c>
    </row>
    <row r="181" ht="16.05" customHeight="1">
      <c r="A181" s="196"/>
      <c r="B181" s="197"/>
      <c r="C181" s="197"/>
      <c r="D181" s="196"/>
      <c r="E181" s="197"/>
      <c r="F181" s="198"/>
      <c r="G181" s="197"/>
      <c r="H181" s="199"/>
      <c r="I181" s="200"/>
      <c r="J181" s="200"/>
      <c r="K181" s="198"/>
      <c r="L181" s="198"/>
      <c r="M181" s="197"/>
      <c r="N181" s="198"/>
      <c r="O181" s="198"/>
      <c r="P181" s="201"/>
      <c r="Q181" s="202">
        <f>J181-0.4*N181</f>
        <v>0</v>
      </c>
    </row>
    <row r="182" ht="16.05" customHeight="1">
      <c r="A182" s="196"/>
      <c r="B182" s="197"/>
      <c r="C182" s="197"/>
      <c r="D182" s="196"/>
      <c r="E182" s="197"/>
      <c r="F182" s="198"/>
      <c r="G182" s="197"/>
      <c r="H182" s="199"/>
      <c r="I182" s="200"/>
      <c r="J182" s="200"/>
      <c r="K182" s="198"/>
      <c r="L182" s="198"/>
      <c r="M182" s="197"/>
      <c r="N182" s="198"/>
      <c r="O182" s="198"/>
      <c r="P182" s="201"/>
      <c r="Q182" s="202">
        <f>J182-0.4*N182</f>
        <v>0</v>
      </c>
    </row>
    <row r="183" ht="16.05" customHeight="1">
      <c r="A183" s="196"/>
      <c r="B183" s="197"/>
      <c r="C183" s="197"/>
      <c r="D183" s="196"/>
      <c r="E183" s="197"/>
      <c r="F183" s="198"/>
      <c r="G183" s="197"/>
      <c r="H183" s="199"/>
      <c r="I183" s="200"/>
      <c r="J183" s="200"/>
      <c r="K183" s="198"/>
      <c r="L183" s="198"/>
      <c r="M183" s="197"/>
      <c r="N183" s="198"/>
      <c r="O183" s="198"/>
      <c r="P183" s="201"/>
      <c r="Q183" s="202">
        <f>J183-0.4*N183</f>
        <v>0</v>
      </c>
    </row>
    <row r="184" ht="16.05" customHeight="1">
      <c r="A184" s="196"/>
      <c r="B184" s="197"/>
      <c r="C184" s="197"/>
      <c r="D184" s="196"/>
      <c r="E184" s="197"/>
      <c r="F184" s="198"/>
      <c r="G184" s="197"/>
      <c r="H184" s="199"/>
      <c r="I184" s="200"/>
      <c r="J184" s="200"/>
      <c r="K184" s="198"/>
      <c r="L184" s="198"/>
      <c r="M184" s="197"/>
      <c r="N184" s="198"/>
      <c r="O184" s="198"/>
      <c r="P184" s="201"/>
      <c r="Q184" s="202">
        <f>J184-0.4*N184</f>
        <v>0</v>
      </c>
    </row>
    <row r="185" ht="16.05" customHeight="1">
      <c r="A185" s="196"/>
      <c r="B185" s="197"/>
      <c r="C185" s="197"/>
      <c r="D185" s="196"/>
      <c r="E185" s="197"/>
      <c r="F185" s="198"/>
      <c r="G185" s="197"/>
      <c r="H185" s="199"/>
      <c r="I185" s="200"/>
      <c r="J185" s="200"/>
      <c r="K185" s="198"/>
      <c r="L185" s="198"/>
      <c r="M185" s="197"/>
      <c r="N185" s="198"/>
      <c r="O185" s="198"/>
      <c r="P185" s="201"/>
      <c r="Q185" s="202">
        <f>J185-0.4*N185</f>
        <v>0</v>
      </c>
    </row>
    <row r="186" ht="16.05" customHeight="1">
      <c r="A186" s="196"/>
      <c r="B186" s="197"/>
      <c r="C186" s="197"/>
      <c r="D186" s="196"/>
      <c r="E186" s="197"/>
      <c r="F186" s="198"/>
      <c r="G186" s="197"/>
      <c r="H186" s="199"/>
      <c r="I186" s="200"/>
      <c r="J186" s="200"/>
      <c r="K186" s="198"/>
      <c r="L186" s="198"/>
      <c r="M186" s="197"/>
      <c r="N186" s="198"/>
      <c r="O186" s="198"/>
      <c r="P186" s="201"/>
      <c r="Q186" s="202">
        <f>J186-0.4*N186</f>
        <v>0</v>
      </c>
    </row>
    <row r="187" ht="16.05" customHeight="1">
      <c r="A187" s="196"/>
      <c r="B187" s="197"/>
      <c r="C187" s="197"/>
      <c r="D187" s="196"/>
      <c r="E187" s="197"/>
      <c r="F187" s="198"/>
      <c r="G187" s="197"/>
      <c r="H187" s="199"/>
      <c r="I187" s="200"/>
      <c r="J187" s="200"/>
      <c r="K187" s="198"/>
      <c r="L187" s="198"/>
      <c r="M187" s="197"/>
      <c r="N187" s="198"/>
      <c r="O187" s="198"/>
      <c r="P187" s="201"/>
      <c r="Q187" s="202">
        <f>J187-0.4*N187</f>
        <v>0</v>
      </c>
    </row>
    <row r="188" ht="16.05" customHeight="1">
      <c r="A188" s="196"/>
      <c r="B188" s="197"/>
      <c r="C188" s="197"/>
      <c r="D188" s="196"/>
      <c r="E188" s="197"/>
      <c r="F188" s="198"/>
      <c r="G188" s="197"/>
      <c r="H188" s="199"/>
      <c r="I188" s="200"/>
      <c r="J188" s="200"/>
      <c r="K188" s="198"/>
      <c r="L188" s="198"/>
      <c r="M188" s="197"/>
      <c r="N188" s="198"/>
      <c r="O188" s="198"/>
      <c r="P188" s="201"/>
      <c r="Q188" s="202">
        <f>J188-0.4*N188</f>
        <v>0</v>
      </c>
    </row>
    <row r="189" ht="16.05" customHeight="1">
      <c r="A189" s="196"/>
      <c r="B189" s="197"/>
      <c r="C189" s="197"/>
      <c r="D189" s="196"/>
      <c r="E189" s="197"/>
      <c r="F189" s="198"/>
      <c r="G189" s="197"/>
      <c r="H189" s="199"/>
      <c r="I189" s="200"/>
      <c r="J189" s="200"/>
      <c r="K189" s="198"/>
      <c r="L189" s="198"/>
      <c r="M189" s="197"/>
      <c r="N189" s="198"/>
      <c r="O189" s="198"/>
      <c r="P189" s="201"/>
      <c r="Q189" s="202">
        <f>J189-0.4*N189</f>
        <v>0</v>
      </c>
    </row>
    <row r="190" ht="16.05" customHeight="1">
      <c r="A190" s="196"/>
      <c r="B190" s="197"/>
      <c r="C190" s="197"/>
      <c r="D190" s="196"/>
      <c r="E190" s="197"/>
      <c r="F190" s="198"/>
      <c r="G190" s="197"/>
      <c r="H190" s="199"/>
      <c r="I190" s="200"/>
      <c r="J190" s="200"/>
      <c r="K190" s="198"/>
      <c r="L190" s="198"/>
      <c r="M190" s="197"/>
      <c r="N190" s="198"/>
      <c r="O190" s="198"/>
      <c r="P190" s="201"/>
      <c r="Q190" s="202">
        <f>J190-0.4*N190</f>
        <v>0</v>
      </c>
    </row>
    <row r="191" ht="16.05" customHeight="1">
      <c r="A191" s="196"/>
      <c r="B191" s="197"/>
      <c r="C191" s="197"/>
      <c r="D191" s="196"/>
      <c r="E191" s="197"/>
      <c r="F191" s="198"/>
      <c r="G191" s="197"/>
      <c r="H191" s="199"/>
      <c r="I191" s="200"/>
      <c r="J191" s="200"/>
      <c r="K191" s="198"/>
      <c r="L191" s="198"/>
      <c r="M191" s="197"/>
      <c r="N191" s="198"/>
      <c r="O191" s="198"/>
      <c r="P191" s="201"/>
      <c r="Q191" s="202">
        <f>J191-0.4*N191</f>
        <v>0</v>
      </c>
    </row>
    <row r="192" ht="16.05" customHeight="1">
      <c r="A192" s="196"/>
      <c r="B192" s="197"/>
      <c r="C192" s="197"/>
      <c r="D192" s="196"/>
      <c r="E192" s="197"/>
      <c r="F192" s="198"/>
      <c r="G192" s="197"/>
      <c r="H192" s="199"/>
      <c r="I192" s="200"/>
      <c r="J192" s="200"/>
      <c r="K192" s="198"/>
      <c r="L192" s="198"/>
      <c r="M192" s="197"/>
      <c r="N192" s="198"/>
      <c r="O192" s="198"/>
      <c r="P192" s="201"/>
      <c r="Q192" s="202">
        <f>J192-0.4*N192</f>
        <v>0</v>
      </c>
    </row>
    <row r="193" ht="16.05" customHeight="1">
      <c r="A193" s="196"/>
      <c r="B193" s="197"/>
      <c r="C193" s="197"/>
      <c r="D193" s="196"/>
      <c r="E193" s="197"/>
      <c r="F193" s="198"/>
      <c r="G193" s="197"/>
      <c r="H193" s="199"/>
      <c r="I193" s="200"/>
      <c r="J193" s="200"/>
      <c r="K193" s="198"/>
      <c r="L193" s="198"/>
      <c r="M193" s="197"/>
      <c r="N193" s="198"/>
      <c r="O193" s="198"/>
      <c r="P193" s="201"/>
      <c r="Q193" s="202">
        <f>J193-0.4*N193</f>
        <v>0</v>
      </c>
    </row>
    <row r="194" ht="16.05" customHeight="1">
      <c r="A194" s="196"/>
      <c r="B194" s="197"/>
      <c r="C194" s="197"/>
      <c r="D194" s="196"/>
      <c r="E194" s="197"/>
      <c r="F194" s="198"/>
      <c r="G194" s="197"/>
      <c r="H194" s="199"/>
      <c r="I194" s="200"/>
      <c r="J194" s="200"/>
      <c r="K194" s="198"/>
      <c r="L194" s="198"/>
      <c r="M194" s="197"/>
      <c r="N194" s="198"/>
      <c r="O194" s="198"/>
      <c r="P194" s="201"/>
      <c r="Q194" s="202">
        <f>J194-0.4*N194</f>
        <v>0</v>
      </c>
    </row>
    <row r="195" ht="16.05" customHeight="1">
      <c r="A195" s="196"/>
      <c r="B195" s="197"/>
      <c r="C195" s="197"/>
      <c r="D195" s="196"/>
      <c r="E195" s="197"/>
      <c r="F195" s="198"/>
      <c r="G195" s="197"/>
      <c r="H195" s="199"/>
      <c r="I195" s="200"/>
      <c r="J195" s="200"/>
      <c r="K195" s="198"/>
      <c r="L195" s="198"/>
      <c r="M195" s="197"/>
      <c r="N195" s="198"/>
      <c r="O195" s="198"/>
      <c r="P195" s="201"/>
      <c r="Q195" s="202">
        <f>J195-0.4*N195</f>
        <v>0</v>
      </c>
    </row>
    <row r="196" ht="16.05" customHeight="1">
      <c r="A196" s="196"/>
      <c r="B196" s="197"/>
      <c r="C196" s="197"/>
      <c r="D196" s="196"/>
      <c r="E196" s="197"/>
      <c r="F196" s="198"/>
      <c r="G196" s="197"/>
      <c r="H196" s="199"/>
      <c r="I196" s="200"/>
      <c r="J196" s="200"/>
      <c r="K196" s="198"/>
      <c r="L196" s="198"/>
      <c r="M196" s="197"/>
      <c r="N196" s="198"/>
      <c r="O196" s="198"/>
      <c r="P196" s="201"/>
      <c r="Q196" s="202">
        <f>J196-0.4*N196</f>
        <v>0</v>
      </c>
    </row>
    <row r="197" ht="16.05" customHeight="1">
      <c r="A197" s="196"/>
      <c r="B197" s="197"/>
      <c r="C197" s="197"/>
      <c r="D197" s="196"/>
      <c r="E197" s="197"/>
      <c r="F197" s="198"/>
      <c r="G197" s="197"/>
      <c r="H197" s="199"/>
      <c r="I197" s="200"/>
      <c r="J197" s="200"/>
      <c r="K197" s="198"/>
      <c r="L197" s="198"/>
      <c r="M197" s="197"/>
      <c r="N197" s="198"/>
      <c r="O197" s="198"/>
      <c r="P197" s="201"/>
      <c r="Q197" s="202">
        <f>J197-0.4*N197</f>
        <v>0</v>
      </c>
    </row>
    <row r="198" ht="16.05" customHeight="1">
      <c r="A198" s="196"/>
      <c r="B198" s="197"/>
      <c r="C198" s="197"/>
      <c r="D198" s="196"/>
      <c r="E198" s="197"/>
      <c r="F198" s="198"/>
      <c r="G198" s="197"/>
      <c r="H198" s="199"/>
      <c r="I198" s="200"/>
      <c r="J198" s="200"/>
      <c r="K198" s="198"/>
      <c r="L198" s="198"/>
      <c r="M198" s="197"/>
      <c r="N198" s="198"/>
      <c r="O198" s="198"/>
      <c r="P198" s="201"/>
      <c r="Q198" s="202">
        <f>J198-0.4*N198</f>
        <v>0</v>
      </c>
    </row>
    <row r="199" ht="16.05" customHeight="1">
      <c r="A199" s="196"/>
      <c r="B199" s="197"/>
      <c r="C199" s="197"/>
      <c r="D199" s="196"/>
      <c r="E199" s="197"/>
      <c r="F199" s="198"/>
      <c r="G199" s="197"/>
      <c r="H199" s="199"/>
      <c r="I199" s="200"/>
      <c r="J199" s="200"/>
      <c r="K199" s="198"/>
      <c r="L199" s="198"/>
      <c r="M199" s="197"/>
      <c r="N199" s="198"/>
      <c r="O199" s="198"/>
      <c r="P199" s="201"/>
      <c r="Q199" s="202">
        <f>J199-0.4*N199</f>
        <v>0</v>
      </c>
    </row>
    <row r="200" ht="16.05" customHeight="1">
      <c r="A200" s="196"/>
      <c r="B200" s="197"/>
      <c r="C200" s="197"/>
      <c r="D200" s="196"/>
      <c r="E200" s="197"/>
      <c r="F200" s="198"/>
      <c r="G200" s="197"/>
      <c r="H200" s="199"/>
      <c r="I200" s="200"/>
      <c r="J200" s="200"/>
      <c r="K200" s="198"/>
      <c r="L200" s="198"/>
      <c r="M200" s="197"/>
      <c r="N200" s="198"/>
      <c r="O200" s="198"/>
      <c r="P200" s="201"/>
      <c r="Q200" s="202">
        <f>J200-0.4*N200</f>
        <v>0</v>
      </c>
    </row>
    <row r="201" ht="16.05" customHeight="1">
      <c r="A201" s="196"/>
      <c r="B201" s="197"/>
      <c r="C201" s="197"/>
      <c r="D201" s="196"/>
      <c r="E201" s="197"/>
      <c r="F201" s="198"/>
      <c r="G201" s="197"/>
      <c r="H201" s="199"/>
      <c r="I201" s="200"/>
      <c r="J201" s="200"/>
      <c r="K201" s="198"/>
      <c r="L201" s="198"/>
      <c r="M201" s="197"/>
      <c r="N201" s="198"/>
      <c r="O201" s="198"/>
      <c r="P201" s="201"/>
      <c r="Q201" s="202">
        <f>J201-0.4*N201</f>
        <v>0</v>
      </c>
    </row>
    <row r="202" ht="16.05" customHeight="1">
      <c r="A202" s="196"/>
      <c r="B202" s="197"/>
      <c r="C202" s="197"/>
      <c r="D202" s="196"/>
      <c r="E202" s="197"/>
      <c r="F202" s="198"/>
      <c r="G202" s="197"/>
      <c r="H202" s="199"/>
      <c r="I202" s="200"/>
      <c r="J202" s="200"/>
      <c r="K202" s="198"/>
      <c r="L202" s="198"/>
      <c r="M202" s="197"/>
      <c r="N202" s="198"/>
      <c r="O202" s="198"/>
      <c r="P202" s="201"/>
      <c r="Q202" s="202">
        <f>J202-0.4*N202</f>
        <v>0</v>
      </c>
    </row>
    <row r="203" ht="16.05" customHeight="1">
      <c r="A203" s="196"/>
      <c r="B203" s="197"/>
      <c r="C203" s="197"/>
      <c r="D203" s="196"/>
      <c r="E203" s="197"/>
      <c r="F203" s="198"/>
      <c r="G203" s="197"/>
      <c r="H203" s="199"/>
      <c r="I203" s="200"/>
      <c r="J203" s="200"/>
      <c r="K203" s="198"/>
      <c r="L203" s="198"/>
      <c r="M203" s="197"/>
      <c r="N203" s="198"/>
      <c r="O203" s="198"/>
      <c r="P203" s="201"/>
      <c r="Q203" s="202">
        <f>J203-0.4*N203</f>
        <v>0</v>
      </c>
    </row>
    <row r="204" ht="16.05" customHeight="1">
      <c r="A204" s="196"/>
      <c r="B204" s="197"/>
      <c r="C204" s="197"/>
      <c r="D204" s="196"/>
      <c r="E204" s="197"/>
      <c r="F204" s="198"/>
      <c r="G204" s="197"/>
      <c r="H204" s="199"/>
      <c r="I204" s="200"/>
      <c r="J204" s="200"/>
      <c r="K204" s="198"/>
      <c r="L204" s="198"/>
      <c r="M204" s="197"/>
      <c r="N204" s="198"/>
      <c r="O204" s="198"/>
      <c r="P204" s="201"/>
      <c r="Q204" s="202">
        <f>J204-0.4*N204</f>
        <v>0</v>
      </c>
    </row>
    <row r="205" ht="16.05" customHeight="1">
      <c r="A205" s="196"/>
      <c r="B205" s="197"/>
      <c r="C205" s="197"/>
      <c r="D205" s="196"/>
      <c r="E205" s="197"/>
      <c r="F205" s="198"/>
      <c r="G205" s="197"/>
      <c r="H205" s="199"/>
      <c r="I205" s="200"/>
      <c r="J205" s="200"/>
      <c r="K205" s="198"/>
      <c r="L205" s="198"/>
      <c r="M205" s="197"/>
      <c r="N205" s="198"/>
      <c r="O205" s="198"/>
      <c r="P205" s="201"/>
      <c r="Q205" s="202">
        <f>J205-0.4*N205</f>
        <v>0</v>
      </c>
    </row>
    <row r="206" ht="16.05" customHeight="1">
      <c r="A206" s="196"/>
      <c r="B206" s="197"/>
      <c r="C206" s="197"/>
      <c r="D206" s="196"/>
      <c r="E206" s="197"/>
      <c r="F206" s="198"/>
      <c r="G206" s="197"/>
      <c r="H206" s="199"/>
      <c r="I206" s="200"/>
      <c r="J206" s="200"/>
      <c r="K206" s="198"/>
      <c r="L206" s="198"/>
      <c r="M206" s="197"/>
      <c r="N206" s="198"/>
      <c r="O206" s="198"/>
      <c r="P206" s="201"/>
      <c r="Q206" s="202">
        <f>J206-0.4*N206</f>
        <v>0</v>
      </c>
    </row>
    <row r="207" ht="16.05" customHeight="1">
      <c r="A207" s="196"/>
      <c r="B207" s="197"/>
      <c r="C207" s="197"/>
      <c r="D207" s="196"/>
      <c r="E207" s="197"/>
      <c r="F207" s="198"/>
      <c r="G207" s="197"/>
      <c r="H207" s="199"/>
      <c r="I207" s="200"/>
      <c r="J207" s="200"/>
      <c r="K207" s="198"/>
      <c r="L207" s="198"/>
      <c r="M207" s="197"/>
      <c r="N207" s="198"/>
      <c r="O207" s="198"/>
      <c r="P207" s="201"/>
      <c r="Q207" s="202">
        <f>J207-0.4*N207</f>
        <v>0</v>
      </c>
    </row>
    <row r="208" ht="16.05" customHeight="1">
      <c r="A208" s="196"/>
      <c r="B208" s="197"/>
      <c r="C208" s="197"/>
      <c r="D208" s="196"/>
      <c r="E208" s="197"/>
      <c r="F208" s="198"/>
      <c r="G208" s="197"/>
      <c r="H208" s="199"/>
      <c r="I208" s="200"/>
      <c r="J208" s="200"/>
      <c r="K208" s="198"/>
      <c r="L208" s="198"/>
      <c r="M208" s="197"/>
      <c r="N208" s="198"/>
      <c r="O208" s="198"/>
      <c r="P208" s="201"/>
      <c r="Q208" s="202">
        <f>J208-0.4*N208</f>
        <v>0</v>
      </c>
    </row>
    <row r="209" ht="16.05" customHeight="1">
      <c r="A209" s="196"/>
      <c r="B209" s="197"/>
      <c r="C209" s="197"/>
      <c r="D209" s="196"/>
      <c r="E209" s="197"/>
      <c r="F209" s="198"/>
      <c r="G209" s="197"/>
      <c r="H209" s="199"/>
      <c r="I209" s="200"/>
      <c r="J209" s="200"/>
      <c r="K209" s="198"/>
      <c r="L209" s="198"/>
      <c r="M209" s="197"/>
      <c r="N209" s="198"/>
      <c r="O209" s="198"/>
      <c r="P209" s="201"/>
      <c r="Q209" s="202">
        <f>J209-0.4*N209</f>
        <v>0</v>
      </c>
    </row>
    <row r="210" ht="16.05" customHeight="1">
      <c r="A210" s="196"/>
      <c r="B210" s="197"/>
      <c r="C210" s="197"/>
      <c r="D210" s="196"/>
      <c r="E210" s="197"/>
      <c r="F210" s="198"/>
      <c r="G210" s="197"/>
      <c r="H210" s="199"/>
      <c r="I210" s="200"/>
      <c r="J210" s="200"/>
      <c r="K210" s="198"/>
      <c r="L210" s="198"/>
      <c r="M210" s="197"/>
      <c r="N210" s="198"/>
      <c r="O210" s="198"/>
      <c r="P210" s="201"/>
      <c r="Q210" s="202">
        <f>J210-0.4*N210</f>
        <v>0</v>
      </c>
    </row>
    <row r="211" ht="16.05" customHeight="1">
      <c r="A211" s="196"/>
      <c r="B211" s="197"/>
      <c r="C211" s="197"/>
      <c r="D211" s="196"/>
      <c r="E211" s="197"/>
      <c r="F211" s="198"/>
      <c r="G211" s="197"/>
      <c r="H211" s="199"/>
      <c r="I211" s="200"/>
      <c r="J211" s="200"/>
      <c r="K211" s="198"/>
      <c r="L211" s="198"/>
      <c r="M211" s="197"/>
      <c r="N211" s="198"/>
      <c r="O211" s="198"/>
      <c r="P211" s="201"/>
      <c r="Q211" s="202">
        <f>J211-0.4*N211</f>
        <v>0</v>
      </c>
    </row>
    <row r="212" ht="16.05" customHeight="1">
      <c r="A212" s="196"/>
      <c r="B212" s="197"/>
      <c r="C212" s="197"/>
      <c r="D212" s="196"/>
      <c r="E212" s="197"/>
      <c r="F212" s="198"/>
      <c r="G212" s="197"/>
      <c r="H212" s="199"/>
      <c r="I212" s="200"/>
      <c r="J212" s="200"/>
      <c r="K212" s="198"/>
      <c r="L212" s="198"/>
      <c r="M212" s="197"/>
      <c r="N212" s="198"/>
      <c r="O212" s="198"/>
      <c r="P212" s="201"/>
      <c r="Q212" s="202">
        <f>J212-0.4*N212</f>
        <v>0</v>
      </c>
    </row>
    <row r="213" ht="16.05" customHeight="1">
      <c r="A213" s="196"/>
      <c r="B213" s="197"/>
      <c r="C213" s="197"/>
      <c r="D213" s="196"/>
      <c r="E213" s="197"/>
      <c r="F213" s="198"/>
      <c r="G213" s="197"/>
      <c r="H213" s="199"/>
      <c r="I213" s="200"/>
      <c r="J213" s="200"/>
      <c r="K213" s="198"/>
      <c r="L213" s="198"/>
      <c r="M213" s="197"/>
      <c r="N213" s="198"/>
      <c r="O213" s="198"/>
      <c r="P213" s="201"/>
      <c r="Q213" s="202">
        <f>J213-0.4*N213</f>
        <v>0</v>
      </c>
    </row>
    <row r="214" ht="16.05" customHeight="1">
      <c r="A214" s="196"/>
      <c r="B214" s="197"/>
      <c r="C214" s="197"/>
      <c r="D214" s="196"/>
      <c r="E214" s="197"/>
      <c r="F214" s="198"/>
      <c r="G214" s="197"/>
      <c r="H214" s="199"/>
      <c r="I214" s="200"/>
      <c r="J214" s="200"/>
      <c r="K214" s="198"/>
      <c r="L214" s="198"/>
      <c r="M214" s="197"/>
      <c r="N214" s="198"/>
      <c r="O214" s="198"/>
      <c r="P214" s="201"/>
      <c r="Q214" s="202">
        <f>J214-0.4*N214</f>
        <v>0</v>
      </c>
    </row>
    <row r="215" ht="16.05" customHeight="1">
      <c r="A215" s="196"/>
      <c r="B215" s="197"/>
      <c r="C215" s="197"/>
      <c r="D215" s="196"/>
      <c r="E215" s="197"/>
      <c r="F215" s="198"/>
      <c r="G215" s="197"/>
      <c r="H215" s="199"/>
      <c r="I215" s="200"/>
      <c r="J215" s="200"/>
      <c r="K215" s="198"/>
      <c r="L215" s="198"/>
      <c r="M215" s="197"/>
      <c r="N215" s="198"/>
      <c r="O215" s="198"/>
      <c r="P215" s="201"/>
      <c r="Q215" s="202">
        <f>J215-0.4*N215</f>
        <v>0</v>
      </c>
    </row>
    <row r="216" ht="16.05" customHeight="1">
      <c r="A216" s="196"/>
      <c r="B216" s="197"/>
      <c r="C216" s="197"/>
      <c r="D216" s="196"/>
      <c r="E216" s="197"/>
      <c r="F216" s="198"/>
      <c r="G216" s="197"/>
      <c r="H216" s="199"/>
      <c r="I216" s="200"/>
      <c r="J216" s="200"/>
      <c r="K216" s="198"/>
      <c r="L216" s="198"/>
      <c r="M216" s="197"/>
      <c r="N216" s="198"/>
      <c r="O216" s="198"/>
      <c r="P216" s="201"/>
      <c r="Q216" s="202">
        <f>J216-0.4*N216</f>
        <v>0</v>
      </c>
    </row>
    <row r="217" ht="16.05" customHeight="1">
      <c r="A217" s="196"/>
      <c r="B217" s="197"/>
      <c r="C217" s="197"/>
      <c r="D217" s="196"/>
      <c r="E217" s="197"/>
      <c r="F217" s="198"/>
      <c r="G217" s="197"/>
      <c r="H217" s="199"/>
      <c r="I217" s="200"/>
      <c r="J217" s="200"/>
      <c r="K217" s="198"/>
      <c r="L217" s="198"/>
      <c r="M217" s="197"/>
      <c r="N217" s="198"/>
      <c r="O217" s="198"/>
      <c r="P217" s="201"/>
      <c r="Q217" s="202">
        <f>J217-0.4*N217</f>
        <v>0</v>
      </c>
    </row>
    <row r="218" ht="16.05" customHeight="1">
      <c r="A218" s="196"/>
      <c r="B218" s="197"/>
      <c r="C218" s="197"/>
      <c r="D218" s="196"/>
      <c r="E218" s="197"/>
      <c r="F218" s="198"/>
      <c r="G218" s="197"/>
      <c r="H218" s="199"/>
      <c r="I218" s="200"/>
      <c r="J218" s="200"/>
      <c r="K218" s="198"/>
      <c r="L218" s="198"/>
      <c r="M218" s="197"/>
      <c r="N218" s="198"/>
      <c r="O218" s="198"/>
      <c r="P218" s="201"/>
      <c r="Q218" s="202">
        <f>J218-0.4*N218</f>
        <v>0</v>
      </c>
    </row>
    <row r="219" ht="16.05" customHeight="1">
      <c r="A219" s="196"/>
      <c r="B219" s="197"/>
      <c r="C219" s="197"/>
      <c r="D219" s="196"/>
      <c r="E219" s="197"/>
      <c r="F219" s="198"/>
      <c r="G219" s="197"/>
      <c r="H219" s="199"/>
      <c r="I219" s="200"/>
      <c r="J219" s="200"/>
      <c r="K219" s="198"/>
      <c r="L219" s="198"/>
      <c r="M219" s="197"/>
      <c r="N219" s="198"/>
      <c r="O219" s="198"/>
      <c r="P219" s="201"/>
      <c r="Q219" s="202">
        <f>J219-0.4*N219</f>
        <v>0</v>
      </c>
    </row>
    <row r="220" ht="16.05" customHeight="1">
      <c r="A220" s="196"/>
      <c r="B220" s="197"/>
      <c r="C220" s="197"/>
      <c r="D220" s="196"/>
      <c r="E220" s="197"/>
      <c r="F220" s="198"/>
      <c r="G220" s="197"/>
      <c r="H220" s="199"/>
      <c r="I220" s="200"/>
      <c r="J220" s="200"/>
      <c r="K220" s="198"/>
      <c r="L220" s="198"/>
      <c r="M220" s="197"/>
      <c r="N220" s="198"/>
      <c r="O220" s="198"/>
      <c r="P220" s="201"/>
      <c r="Q220" s="202">
        <f>J220-0.4*N220</f>
        <v>0</v>
      </c>
    </row>
    <row r="221" ht="16.05" customHeight="1">
      <c r="A221" s="196"/>
      <c r="B221" s="197"/>
      <c r="C221" s="197"/>
      <c r="D221" s="196"/>
      <c r="E221" s="197"/>
      <c r="F221" s="198"/>
      <c r="G221" s="197"/>
      <c r="H221" s="199"/>
      <c r="I221" s="200"/>
      <c r="J221" s="200"/>
      <c r="K221" s="198"/>
      <c r="L221" s="198"/>
      <c r="M221" s="197"/>
      <c r="N221" s="198"/>
      <c r="O221" s="198"/>
      <c r="P221" s="201"/>
      <c r="Q221" s="202">
        <f>J221-0.4*N221</f>
        <v>0</v>
      </c>
    </row>
    <row r="222" ht="16.05" customHeight="1">
      <c r="A222" s="196"/>
      <c r="B222" s="197"/>
      <c r="C222" s="197"/>
      <c r="D222" s="196"/>
      <c r="E222" s="197"/>
      <c r="F222" s="198"/>
      <c r="G222" s="197"/>
      <c r="H222" s="199"/>
      <c r="I222" s="200"/>
      <c r="J222" s="200"/>
      <c r="K222" s="198"/>
      <c r="L222" s="198"/>
      <c r="M222" s="197"/>
      <c r="N222" s="198"/>
      <c r="O222" s="198"/>
      <c r="P222" s="201"/>
      <c r="Q222" s="202">
        <f>J222-0.4*N222</f>
        <v>0</v>
      </c>
    </row>
    <row r="223" ht="16.05" customHeight="1">
      <c r="A223" s="196"/>
      <c r="B223" s="197"/>
      <c r="C223" s="197"/>
      <c r="D223" s="196"/>
      <c r="E223" s="197"/>
      <c r="F223" s="198"/>
      <c r="G223" s="197"/>
      <c r="H223" s="199"/>
      <c r="I223" s="200"/>
      <c r="J223" s="200"/>
      <c r="K223" s="198"/>
      <c r="L223" s="198"/>
      <c r="M223" s="197"/>
      <c r="N223" s="198"/>
      <c r="O223" s="198"/>
      <c r="P223" s="201"/>
      <c r="Q223" s="202">
        <f>J223-0.4*N223</f>
        <v>0</v>
      </c>
    </row>
    <row r="224" ht="16.05" customHeight="1">
      <c r="A224" s="196"/>
      <c r="B224" s="197"/>
      <c r="C224" s="197"/>
      <c r="D224" s="196"/>
      <c r="E224" s="197"/>
      <c r="F224" s="198"/>
      <c r="G224" s="197"/>
      <c r="H224" s="199"/>
      <c r="I224" s="200"/>
      <c r="J224" s="200"/>
      <c r="K224" s="198"/>
      <c r="L224" s="198"/>
      <c r="M224" s="197"/>
      <c r="N224" s="198"/>
      <c r="O224" s="198"/>
      <c r="P224" s="201"/>
      <c r="Q224" s="202">
        <f>J224-0.4*N224</f>
        <v>0</v>
      </c>
    </row>
    <row r="225" ht="16.05" customHeight="1">
      <c r="A225" s="196"/>
      <c r="B225" s="197"/>
      <c r="C225" s="197"/>
      <c r="D225" s="196"/>
      <c r="E225" s="197"/>
      <c r="F225" s="198"/>
      <c r="G225" s="197"/>
      <c r="H225" s="199"/>
      <c r="I225" s="200"/>
      <c r="J225" s="200"/>
      <c r="K225" s="198"/>
      <c r="L225" s="198"/>
      <c r="M225" s="197"/>
      <c r="N225" s="198"/>
      <c r="O225" s="198"/>
      <c r="P225" s="201"/>
      <c r="Q225" s="202">
        <f>J225-0.4*N225</f>
        <v>0</v>
      </c>
    </row>
    <row r="226" ht="16.05" customHeight="1">
      <c r="A226" s="203"/>
      <c r="B226" s="204"/>
      <c r="C226" s="204"/>
      <c r="D226" s="196"/>
      <c r="E226" s="197"/>
      <c r="F226" s="198"/>
      <c r="G226" s="197"/>
      <c r="H226" s="199"/>
      <c r="I226" s="200"/>
      <c r="J226" s="200"/>
      <c r="K226" s="198"/>
      <c r="L226" s="198"/>
      <c r="M226" s="197"/>
      <c r="N226" s="198"/>
      <c r="O226" s="198"/>
      <c r="P226" s="201"/>
      <c r="Q226" s="202">
        <f>J226-0.4*N226</f>
        <v>0</v>
      </c>
    </row>
    <row r="227" ht="16.05" customHeight="1">
      <c r="A227" s="205"/>
      <c r="B227" s="205"/>
      <c r="C227" s="205"/>
      <c r="D227" s="206"/>
      <c r="E227" s="207"/>
      <c r="F227" s="207"/>
      <c r="G227" s="207"/>
      <c r="H227" s="207"/>
      <c r="I227" s="207"/>
      <c r="J227" s="207"/>
      <c r="K227" s="207"/>
      <c r="L227" s="207"/>
      <c r="M227" s="207"/>
      <c r="N227" s="207"/>
      <c r="O227" s="207"/>
      <c r="P227" s="207"/>
      <c r="Q227" s="208"/>
    </row>
    <row r="228" ht="16.05" customHeight="1">
      <c r="A228" s="205"/>
      <c r="B228" s="205"/>
      <c r="C228" s="205"/>
      <c r="D228" s="209"/>
      <c r="E228" s="61"/>
      <c r="F228" s="61"/>
      <c r="G228" s="61"/>
      <c r="H228" s="61"/>
      <c r="I228" s="61"/>
      <c r="J228" s="61"/>
      <c r="K228" s="61"/>
      <c r="L228" s="61"/>
      <c r="M228" s="61"/>
      <c r="N228" s="61"/>
      <c r="O228" s="61"/>
      <c r="P228" s="61"/>
      <c r="Q228" s="210"/>
    </row>
    <row r="229" ht="16.05" customHeight="1">
      <c r="A229" s="205"/>
      <c r="B229" s="205"/>
      <c r="C229" s="205"/>
      <c r="D229" s="209"/>
      <c r="E229" s="61"/>
      <c r="F229" s="61"/>
      <c r="G229" s="61"/>
      <c r="H229" s="61"/>
      <c r="I229" s="61"/>
      <c r="J229" s="61"/>
      <c r="K229" s="61"/>
      <c r="L229" s="61"/>
      <c r="M229" s="61"/>
      <c r="N229" s="61"/>
      <c r="O229" s="61"/>
      <c r="P229" s="61"/>
      <c r="Q229" s="210"/>
    </row>
    <row r="230" ht="16.05" customHeight="1">
      <c r="A230" s="205"/>
      <c r="B230" s="205"/>
      <c r="C230" s="205"/>
      <c r="D230" s="209"/>
      <c r="E230" s="61"/>
      <c r="F230" s="61"/>
      <c r="G230" s="61"/>
      <c r="H230" s="61"/>
      <c r="I230" s="61"/>
      <c r="J230" s="61"/>
      <c r="K230" s="61"/>
      <c r="L230" s="61"/>
      <c r="M230" s="61"/>
      <c r="N230" s="61"/>
      <c r="O230" s="61"/>
      <c r="P230" s="61"/>
      <c r="Q230" s="210"/>
    </row>
    <row r="231" ht="16.05" customHeight="1">
      <c r="A231" s="205"/>
      <c r="B231" s="205"/>
      <c r="C231" s="205"/>
      <c r="D231" s="211"/>
      <c r="E231" s="212"/>
      <c r="F231" s="212"/>
      <c r="G231" s="212"/>
      <c r="H231" s="212"/>
      <c r="I231" s="212"/>
      <c r="J231" s="212"/>
      <c r="K231" s="212"/>
      <c r="L231" s="212"/>
      <c r="M231" s="212"/>
      <c r="N231" s="212"/>
      <c r="O231" s="212"/>
      <c r="P231" s="212"/>
      <c r="Q231" s="213"/>
    </row>
  </sheetData>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8.xml><?xml version="1.0" encoding="utf-8"?>
<worksheet xmlns:r="http://schemas.openxmlformats.org/officeDocument/2006/relationships" xmlns="http://schemas.openxmlformats.org/spreadsheetml/2006/main">
  <dimension ref="A1:E51"/>
  <sheetViews>
    <sheetView workbookViewId="0" showGridLines="0" defaultGridColor="1"/>
  </sheetViews>
  <sheetFormatPr defaultColWidth="9" defaultRowHeight="13.5" customHeight="1" outlineLevelRow="0" outlineLevelCol="0"/>
  <cols>
    <col min="1" max="1" width="9" style="214" customWidth="1"/>
    <col min="2" max="2" width="14" style="214" customWidth="1"/>
    <col min="3" max="3" width="12.6719" style="214" customWidth="1"/>
    <col min="4" max="4" width="7.35156" style="214" customWidth="1"/>
    <col min="5" max="5" width="12.6719" style="214" customWidth="1"/>
    <col min="6" max="256" width="9" style="214" customWidth="1"/>
  </cols>
  <sheetData>
    <row r="1" ht="16" customHeight="1">
      <c r="A1" s="215"/>
      <c r="B1" s="215"/>
      <c r="C1" s="215"/>
      <c r="D1" s="215"/>
      <c r="E1" s="215"/>
    </row>
    <row r="2" ht="16" customHeight="1">
      <c r="A2" t="s" s="216">
        <v>562</v>
      </c>
      <c r="B2" t="s" s="216">
        <v>563</v>
      </c>
      <c r="C2" t="s" s="216">
        <v>545</v>
      </c>
      <c r="D2" s="215"/>
      <c r="E2" s="215"/>
    </row>
    <row r="3" ht="16" customHeight="1">
      <c r="A3" t="s" s="216">
        <v>19</v>
      </c>
      <c r="B3" s="217">
        <v>8796</v>
      </c>
      <c r="C3" s="217">
        <v>13237</v>
      </c>
      <c r="D3" s="215"/>
      <c r="E3" s="215"/>
    </row>
    <row r="4" ht="16" customHeight="1">
      <c r="A4" t="s" s="216">
        <v>42</v>
      </c>
      <c r="B4" s="217">
        <v>4090</v>
      </c>
      <c r="C4" s="217">
        <v>6001</v>
      </c>
      <c r="D4" s="215"/>
      <c r="E4" s="215"/>
    </row>
    <row r="5" ht="16" customHeight="1">
      <c r="A5" t="s" s="216">
        <v>54</v>
      </c>
      <c r="B5" s="217">
        <v>5264</v>
      </c>
      <c r="C5" s="217">
        <v>6775</v>
      </c>
      <c r="D5" s="215"/>
      <c r="E5" s="215"/>
    </row>
    <row r="6" ht="16" customHeight="1">
      <c r="A6" t="s" s="216">
        <v>66</v>
      </c>
      <c r="B6" s="217">
        <v>3578</v>
      </c>
      <c r="C6" s="217">
        <v>7235</v>
      </c>
      <c r="D6" s="215"/>
      <c r="E6" s="215"/>
    </row>
    <row r="7" ht="16" customHeight="1">
      <c r="A7" t="s" s="216">
        <v>78</v>
      </c>
      <c r="B7" s="217">
        <v>8539</v>
      </c>
      <c r="C7" s="217">
        <v>10264</v>
      </c>
      <c r="D7" s="215"/>
      <c r="E7" s="215"/>
    </row>
    <row r="8" ht="16" customHeight="1">
      <c r="A8" t="s" s="216">
        <v>90</v>
      </c>
      <c r="B8" s="217">
        <v>1080</v>
      </c>
      <c r="C8" s="217">
        <v>2903</v>
      </c>
      <c r="D8" s="215"/>
      <c r="E8" s="215"/>
    </row>
    <row r="9" ht="16" customHeight="1">
      <c r="A9" t="s" s="216">
        <v>102</v>
      </c>
      <c r="B9" s="217">
        <v>1122</v>
      </c>
      <c r="C9" s="217">
        <v>2803</v>
      </c>
      <c r="D9" s="215"/>
      <c r="E9" s="215"/>
    </row>
    <row r="10" ht="16" customHeight="1">
      <c r="A10" t="s" s="216">
        <v>114</v>
      </c>
      <c r="B10" s="217">
        <v>2030</v>
      </c>
      <c r="C10" s="217">
        <v>7160</v>
      </c>
      <c r="D10" s="215"/>
      <c r="E10" s="215"/>
    </row>
    <row r="11" ht="16" customHeight="1">
      <c r="A11" t="s" s="216">
        <v>126</v>
      </c>
      <c r="B11" s="217">
        <v>1341</v>
      </c>
      <c r="C11" s="217">
        <v>1900</v>
      </c>
      <c r="D11" s="215"/>
      <c r="E11" s="215"/>
    </row>
    <row r="12" ht="16" customHeight="1">
      <c r="A12" t="s" s="216">
        <v>138</v>
      </c>
      <c r="B12" s="217">
        <v>1415</v>
      </c>
      <c r="C12" s="217">
        <v>4000</v>
      </c>
      <c r="D12" s="215"/>
      <c r="E12" s="215"/>
    </row>
    <row r="13" ht="16" customHeight="1">
      <c r="A13" t="s" s="216">
        <v>150</v>
      </c>
      <c r="B13" s="217">
        <v>11147</v>
      </c>
      <c r="C13" s="217">
        <v>20000</v>
      </c>
      <c r="D13" s="215"/>
      <c r="E13" s="215"/>
    </row>
    <row r="14" ht="16" customHeight="1">
      <c r="A14" t="s" s="216">
        <v>162</v>
      </c>
      <c r="B14" s="217">
        <v>10259</v>
      </c>
      <c r="C14" s="217">
        <v>11876</v>
      </c>
      <c r="D14" s="215"/>
      <c r="E14" s="215"/>
    </row>
    <row r="15" ht="16" customHeight="1">
      <c r="A15" t="s" s="216">
        <v>174</v>
      </c>
      <c r="B15" s="217">
        <v>1310</v>
      </c>
      <c r="C15" s="217">
        <v>8438</v>
      </c>
      <c r="D15" s="215"/>
      <c r="E15" s="215"/>
    </row>
    <row r="16" ht="16" customHeight="1">
      <c r="A16" t="s" s="216">
        <v>211</v>
      </c>
      <c r="B16" s="217">
        <v>45</v>
      </c>
      <c r="C16" s="217">
        <v>0</v>
      </c>
      <c r="D16" s="215"/>
      <c r="E16" s="215"/>
    </row>
    <row r="17" ht="16" customHeight="1">
      <c r="A17" t="s" s="216">
        <v>223</v>
      </c>
      <c r="B17" s="217">
        <v>152</v>
      </c>
      <c r="C17" s="217">
        <v>0</v>
      </c>
      <c r="D17" s="215"/>
      <c r="E17" s="215"/>
    </row>
    <row r="18" ht="16" customHeight="1">
      <c r="A18" t="s" s="216">
        <v>235</v>
      </c>
      <c r="B18" s="217">
        <v>410</v>
      </c>
      <c r="C18" s="217">
        <v>0</v>
      </c>
      <c r="D18" s="215"/>
      <c r="E18" s="215"/>
    </row>
    <row r="19" ht="16" customHeight="1">
      <c r="A19" t="s" s="216">
        <v>247</v>
      </c>
      <c r="B19" s="217">
        <v>319</v>
      </c>
      <c r="C19" s="217">
        <v>0</v>
      </c>
      <c r="D19" s="215"/>
      <c r="E19" s="215"/>
    </row>
    <row r="20" ht="16" customHeight="1">
      <c r="A20" t="s" s="216">
        <v>259</v>
      </c>
      <c r="B20" s="217">
        <v>6</v>
      </c>
      <c r="C20" s="217">
        <v>0</v>
      </c>
      <c r="D20" s="215"/>
      <c r="E20" s="215"/>
    </row>
    <row r="21" ht="16" customHeight="1">
      <c r="A21" t="s" s="216">
        <v>271</v>
      </c>
      <c r="B21" s="217">
        <v>16</v>
      </c>
      <c r="C21" s="217">
        <v>0</v>
      </c>
      <c r="D21" s="215"/>
      <c r="E21" s="215"/>
    </row>
    <row r="22" ht="16" customHeight="1">
      <c r="A22" t="s" s="216">
        <v>283</v>
      </c>
      <c r="B22" s="217">
        <v>70</v>
      </c>
      <c r="C22" s="217">
        <v>0</v>
      </c>
      <c r="D22" s="215"/>
      <c r="E22" s="215"/>
    </row>
    <row r="23" ht="16" customHeight="1">
      <c r="A23" t="s" s="216">
        <v>295</v>
      </c>
      <c r="B23" s="217">
        <v>184</v>
      </c>
      <c r="C23" s="217">
        <v>0</v>
      </c>
      <c r="D23" s="215"/>
      <c r="E23" s="215"/>
    </row>
    <row r="24" ht="16" customHeight="1">
      <c r="A24" t="s" s="216">
        <v>307</v>
      </c>
      <c r="B24" s="217">
        <v>168</v>
      </c>
      <c r="C24" s="217">
        <v>0</v>
      </c>
      <c r="D24" s="215"/>
      <c r="E24" s="215"/>
    </row>
    <row r="25" ht="16" customHeight="1">
      <c r="A25" t="s" s="216">
        <v>319</v>
      </c>
      <c r="B25" s="217">
        <v>156</v>
      </c>
      <c r="C25" s="217">
        <v>0</v>
      </c>
      <c r="D25" s="215"/>
      <c r="E25" s="215"/>
    </row>
    <row r="26" ht="16" customHeight="1">
      <c r="A26" t="s" s="216">
        <v>331</v>
      </c>
      <c r="B26" s="217">
        <v>28</v>
      </c>
      <c r="C26" s="217">
        <v>1440</v>
      </c>
      <c r="D26" s="215"/>
      <c r="E26" s="215"/>
    </row>
    <row r="27" ht="16" customHeight="1">
      <c r="A27" t="s" s="216">
        <v>564</v>
      </c>
      <c r="B27" s="217">
        <v>80</v>
      </c>
      <c r="C27" s="217">
        <v>0</v>
      </c>
      <c r="D27" s="215"/>
      <c r="E27" s="215"/>
    </row>
    <row r="28" ht="16" customHeight="1">
      <c r="A28" t="s" s="216">
        <v>343</v>
      </c>
      <c r="B28" s="217">
        <v>11</v>
      </c>
      <c r="C28" s="217">
        <v>0</v>
      </c>
      <c r="D28" s="215"/>
      <c r="E28" s="215"/>
    </row>
    <row r="29" ht="16" customHeight="1">
      <c r="A29" t="s" s="216">
        <v>565</v>
      </c>
      <c r="B29" s="217">
        <v>31</v>
      </c>
      <c r="C29" s="217">
        <v>0</v>
      </c>
      <c r="D29" s="215"/>
      <c r="E29" s="215"/>
    </row>
    <row r="30" ht="16" customHeight="1">
      <c r="A30" t="s" s="216">
        <v>566</v>
      </c>
      <c r="B30" s="217">
        <v>141</v>
      </c>
      <c r="C30" s="217">
        <v>0</v>
      </c>
      <c r="D30" s="215"/>
      <c r="E30" s="215"/>
    </row>
    <row r="31" ht="16" customHeight="1">
      <c r="A31" t="s" s="216">
        <v>567</v>
      </c>
      <c r="B31" s="217">
        <v>18</v>
      </c>
      <c r="C31" s="217">
        <v>0</v>
      </c>
      <c r="D31" s="215"/>
      <c r="E31" s="215"/>
    </row>
    <row r="32" ht="16" customHeight="1">
      <c r="A32" t="s" s="216">
        <v>367</v>
      </c>
      <c r="B32" s="217">
        <v>-1</v>
      </c>
      <c r="C32" s="217">
        <v>0</v>
      </c>
      <c r="D32" s="215"/>
      <c r="E32" s="215"/>
    </row>
    <row r="33" ht="16" customHeight="1">
      <c r="A33" t="s" s="216">
        <v>379</v>
      </c>
      <c r="B33" s="217">
        <v>19</v>
      </c>
      <c r="C33" s="217">
        <v>0</v>
      </c>
      <c r="D33" s="215"/>
      <c r="E33" s="215"/>
    </row>
    <row r="34" ht="16" customHeight="1">
      <c r="A34" t="s" s="216">
        <v>391</v>
      </c>
      <c r="B34" s="217">
        <v>8</v>
      </c>
      <c r="C34" s="217">
        <v>0</v>
      </c>
      <c r="D34" s="215"/>
      <c r="E34" s="215"/>
    </row>
    <row r="35" ht="16" customHeight="1">
      <c r="A35" t="s" s="216">
        <v>568</v>
      </c>
      <c r="B35" s="217">
        <v>-10</v>
      </c>
      <c r="C35" s="217">
        <v>0</v>
      </c>
      <c r="D35" s="215"/>
      <c r="E35" s="215"/>
    </row>
    <row r="36" ht="16" customHeight="1">
      <c r="A36" t="s" s="216">
        <v>415</v>
      </c>
      <c r="B36" s="217">
        <v>-24</v>
      </c>
      <c r="C36" s="217">
        <v>0</v>
      </c>
      <c r="D36" s="215"/>
      <c r="E36" s="215"/>
    </row>
    <row r="37" ht="16" customHeight="1">
      <c r="A37" t="s" s="216">
        <v>427</v>
      </c>
      <c r="B37" s="217">
        <v>24</v>
      </c>
      <c r="C37" s="217">
        <v>0</v>
      </c>
      <c r="D37" s="215"/>
      <c r="E37" s="215"/>
    </row>
    <row r="38" ht="16" customHeight="1">
      <c r="A38" t="s" s="216">
        <v>439</v>
      </c>
      <c r="B38" s="217">
        <v>50</v>
      </c>
      <c r="C38" s="217">
        <v>0</v>
      </c>
      <c r="D38" s="215"/>
      <c r="E38" s="215"/>
    </row>
    <row r="39" ht="16" customHeight="1">
      <c r="A39" t="s" s="216">
        <v>451</v>
      </c>
      <c r="B39" s="217">
        <v>-5</v>
      </c>
      <c r="C39" s="217">
        <v>0</v>
      </c>
      <c r="D39" s="215"/>
      <c r="E39" s="215"/>
    </row>
    <row r="40" ht="16" customHeight="1">
      <c r="A40" t="s" s="216">
        <v>556</v>
      </c>
      <c r="B40" s="217">
        <v>1581</v>
      </c>
      <c r="C40" s="217">
        <v>0</v>
      </c>
      <c r="D40" s="215"/>
      <c r="E40" s="215"/>
    </row>
    <row r="41" ht="16" customHeight="1">
      <c r="A41" t="s" s="216">
        <v>569</v>
      </c>
      <c r="B41" s="217">
        <v>64248</v>
      </c>
      <c r="C41" s="215"/>
      <c r="D41" s="215"/>
      <c r="E41" s="215"/>
    </row>
    <row r="42" ht="16" customHeight="1">
      <c r="A42" s="215"/>
      <c r="B42" s="215"/>
      <c r="C42" s="215"/>
      <c r="D42" s="215"/>
      <c r="E42" s="215"/>
    </row>
    <row r="43" ht="16" customHeight="1">
      <c r="A43" t="s" s="216">
        <v>570</v>
      </c>
      <c r="B43" s="217">
        <v>62156</v>
      </c>
      <c r="C43" s="215"/>
      <c r="D43" s="215"/>
      <c r="E43" s="215"/>
    </row>
    <row r="44" ht="16" customHeight="1">
      <c r="A44" t="s" s="216">
        <v>439</v>
      </c>
      <c r="B44" s="217">
        <v>502</v>
      </c>
      <c r="C44" s="215"/>
      <c r="D44" s="215"/>
      <c r="E44" s="215"/>
    </row>
    <row r="45" ht="16" customHeight="1">
      <c r="A45" t="s" s="216">
        <v>451</v>
      </c>
      <c r="B45" s="217">
        <v>94</v>
      </c>
      <c r="C45" s="215"/>
      <c r="D45" s="215"/>
      <c r="E45" s="215"/>
    </row>
    <row r="46" ht="16" customHeight="1">
      <c r="A46" t="s" s="216">
        <v>546</v>
      </c>
      <c r="B46" s="217">
        <v>26</v>
      </c>
      <c r="C46" s="215"/>
      <c r="D46" s="215"/>
      <c r="E46" s="215"/>
    </row>
    <row r="47" ht="16" customHeight="1">
      <c r="A47" t="s" s="216">
        <v>547</v>
      </c>
      <c r="B47" s="217">
        <v>8</v>
      </c>
      <c r="C47" s="215"/>
      <c r="D47" s="215"/>
      <c r="E47" s="215"/>
    </row>
    <row r="48" ht="16" customHeight="1">
      <c r="A48" t="s" s="216">
        <v>555</v>
      </c>
      <c r="B48" s="217">
        <v>2</v>
      </c>
      <c r="C48" s="215"/>
      <c r="D48" s="215"/>
      <c r="E48" s="215"/>
    </row>
    <row r="49" ht="16" customHeight="1">
      <c r="A49" t="s" s="216">
        <v>556</v>
      </c>
      <c r="B49" s="217">
        <v>1616</v>
      </c>
      <c r="C49" s="215"/>
      <c r="D49" s="215"/>
      <c r="E49" s="215"/>
    </row>
    <row r="50" ht="16" customHeight="1">
      <c r="A50" t="s" s="216">
        <v>571</v>
      </c>
      <c r="B50" s="215"/>
      <c r="C50" s="215"/>
      <c r="D50" s="215"/>
      <c r="E50" s="215"/>
    </row>
    <row r="51" ht="16" customHeight="1">
      <c r="A51" t="s" s="216">
        <v>570</v>
      </c>
      <c r="B51" s="217">
        <v>207968</v>
      </c>
      <c r="C51" s="215"/>
      <c r="D51" s="215"/>
      <c r="E51" s="215"/>
    </row>
  </sheetData>
  <conditionalFormatting sqref="A2:C40 A41:B41 A43:B49 A50:A51 B51">
    <cfRule type="cellIs" dxfId="7" priority="1" operator="lessThan"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9.xml><?xml version="1.0" encoding="utf-8"?>
<worksheet xmlns:r="http://schemas.openxmlformats.org/officeDocument/2006/relationships" xmlns="http://schemas.openxmlformats.org/spreadsheetml/2006/main">
  <dimension ref="A1:AE43"/>
  <sheetViews>
    <sheetView workbookViewId="0" showGridLines="0" defaultGridColor="1"/>
  </sheetViews>
  <sheetFormatPr defaultColWidth="9" defaultRowHeight="11.65" customHeight="1" outlineLevelRow="0" outlineLevelCol="0"/>
  <cols>
    <col min="1" max="1" width="6.85156" style="218" customWidth="1"/>
    <col min="2" max="2" width="25.6719" style="218" customWidth="1"/>
    <col min="3" max="3" width="11.5" style="218" customWidth="1"/>
    <col min="4" max="4" width="11.3516" style="218" customWidth="1"/>
    <col min="5" max="5" width="22.6719" style="218" customWidth="1"/>
    <col min="6" max="6" width="6.5" style="218" customWidth="1"/>
    <col min="7" max="7" width="6.5" style="218" customWidth="1"/>
    <col min="8" max="8" width="6.5" style="218" customWidth="1"/>
    <col min="9" max="9" width="6.5" style="218" customWidth="1"/>
    <col min="10" max="10" width="6.5" style="218" customWidth="1"/>
    <col min="11" max="11" width="6.5" style="218" customWidth="1"/>
    <col min="12" max="12" width="6.5" style="218" customWidth="1"/>
    <col min="13" max="13" width="6.5" style="218" customWidth="1"/>
    <col min="14" max="14" width="6.5" style="218" customWidth="1"/>
    <col min="15" max="15" width="6.5" style="218" customWidth="1"/>
    <col min="16" max="16" width="6.5" style="218" customWidth="1"/>
    <col min="17" max="17" width="6.5" style="218" customWidth="1"/>
    <col min="18" max="18" width="6.5" style="218" customWidth="1"/>
    <col min="19" max="19" width="10.5" style="218" customWidth="1"/>
    <col min="20" max="20" width="10.5" style="218" customWidth="1"/>
    <col min="21" max="21" width="10.5" style="218" customWidth="1"/>
    <col min="22" max="22" width="10.5" style="218" customWidth="1"/>
    <col min="23" max="23" width="14" style="218" customWidth="1"/>
    <col min="24" max="24" width="10.5" style="218" customWidth="1"/>
    <col min="25" max="25" width="10.5" style="218" customWidth="1"/>
    <col min="26" max="26" width="11.6719" style="218" customWidth="1"/>
    <col min="27" max="27" width="12" style="218" customWidth="1"/>
    <col min="28" max="28" width="11.6719" style="218" customWidth="1"/>
    <col min="29" max="29" width="11.5" style="218" customWidth="1"/>
    <col min="30" max="30" width="12.6719" style="218" customWidth="1"/>
    <col min="31" max="31" width="17.3516" style="218" customWidth="1"/>
    <col min="32" max="256" width="9" style="218" customWidth="1"/>
  </cols>
  <sheetData>
    <row r="1" ht="12" customHeight="1">
      <c r="A1" t="s" s="219">
        <v>544</v>
      </c>
      <c r="B1" t="s" s="220">
        <v>6</v>
      </c>
      <c r="C1" t="s" s="221">
        <v>572</v>
      </c>
      <c r="D1" t="s" s="220">
        <v>573</v>
      </c>
      <c r="E1" t="s" s="220">
        <v>574</v>
      </c>
      <c r="F1" t="s" s="222">
        <v>8</v>
      </c>
      <c r="G1" t="s" s="222">
        <v>9</v>
      </c>
      <c r="H1" t="s" s="222">
        <v>10</v>
      </c>
      <c r="I1" t="s" s="222">
        <v>11</v>
      </c>
      <c r="J1" t="s" s="222">
        <v>1</v>
      </c>
      <c r="K1" t="s" s="222">
        <v>12</v>
      </c>
      <c r="L1" t="s" s="222">
        <v>13</v>
      </c>
      <c r="M1" t="s" s="222">
        <v>14</v>
      </c>
      <c r="N1" t="s" s="222">
        <v>15</v>
      </c>
      <c r="O1" t="s" s="222">
        <v>16</v>
      </c>
      <c r="P1" t="s" s="222">
        <v>17</v>
      </c>
      <c r="Q1" t="s" s="222">
        <v>18</v>
      </c>
      <c r="R1" t="s" s="222">
        <v>575</v>
      </c>
      <c r="S1" t="s" s="223">
        <v>8</v>
      </c>
      <c r="T1" t="s" s="223">
        <v>9</v>
      </c>
      <c r="U1" t="s" s="223">
        <v>10</v>
      </c>
      <c r="V1" t="s" s="223">
        <v>11</v>
      </c>
      <c r="W1" t="s" s="223">
        <v>1</v>
      </c>
      <c r="X1" t="s" s="223">
        <v>12</v>
      </c>
      <c r="Y1" t="s" s="223">
        <v>13</v>
      </c>
      <c r="Z1" t="s" s="223">
        <v>14</v>
      </c>
      <c r="AA1" t="s" s="223">
        <v>15</v>
      </c>
      <c r="AB1" t="s" s="223">
        <v>16</v>
      </c>
      <c r="AC1" t="s" s="223">
        <v>17</v>
      </c>
      <c r="AD1" t="s" s="223">
        <v>18</v>
      </c>
      <c r="AE1" t="s" s="224">
        <v>576</v>
      </c>
    </row>
    <row r="2" ht="13" customHeight="1">
      <c r="A2" t="s" s="225">
        <v>19</v>
      </c>
      <c r="B2" t="s" s="226">
        <v>577</v>
      </c>
      <c r="C2" s="227">
        <v>11.20778430674264</v>
      </c>
      <c r="D2" t="s" s="226">
        <v>578</v>
      </c>
      <c r="E2" t="s" s="226">
        <f>A2&amp;"Lindt actual incoming"</f>
        <v>579</v>
      </c>
      <c r="F2" s="228">
        <f>VLOOKUP($E2,'2017 tablet timeline'!$E1:$Q192,MATCH(F$1,'2017 tablet timeline'!$E$2:$Q$2,0),FALSE)</f>
        <v>7776</v>
      </c>
      <c r="G2" s="229">
        <f>VLOOKUP($E2,'2017 tablet timeline'!$E1:$Q192,MATCH(G$1,'2017 tablet timeline'!$E$2:$Q$2,0),FALSE)</f>
        <v>7488</v>
      </c>
      <c r="H2" s="229">
        <f>VLOOKUP($E2,'2017 tablet timeline'!$E1:$Q192,MATCH(H$1,'2017 tablet timeline'!$E$2:$Q$2,0),FALSE)</f>
        <v>10512</v>
      </c>
      <c r="I2" s="229">
        <f>VLOOKUP($E2,'2017 tablet timeline'!$E1:$Q192,MATCH(I$1,'2017 tablet timeline'!$E$2:$Q$2,0),FALSE)</f>
        <v>11520</v>
      </c>
      <c r="J2" s="229">
        <f>VLOOKUP($E2,'2017 tablet timeline'!$E1:$Q192,MATCH(J$1,'2017 tablet timeline'!$E$2:$Q$2,0),FALSE)</f>
        <v>10080</v>
      </c>
      <c r="K2" s="229">
        <f>VLOOKUP($E2,'2017 tablet timeline'!$E1:$Q192,MATCH(K$1,'2017 tablet timeline'!$E$2:$Q$2,0),FALSE)</f>
        <v>0</v>
      </c>
      <c r="L2" s="229">
        <f>VLOOKUP($E2,'2017 tablet timeline'!$E1:$Q192,MATCH(L$1,'2017 tablet timeline'!$E$2:$Q$2,0),FALSE)</f>
        <v>14400</v>
      </c>
      <c r="M2" s="229">
        <f>VLOOKUP($E2,'2017 tablet timeline'!$E1:$Q192,MATCH(M$1,'2017 tablet timeline'!$E$2:$Q$2,0),FALSE)</f>
        <v>0</v>
      </c>
      <c r="N2" s="229">
        <f>VLOOKUP($E2,'2017 tablet timeline'!$E1:$Q192,MATCH(N$1,'2017 tablet timeline'!$E$2:$Q$2,0),FALSE)</f>
        <v>59904</v>
      </c>
      <c r="O2" s="229">
        <f>VLOOKUP($E2,'2017 tablet timeline'!$E1:$Q192,MATCH(O$1,'2017 tablet timeline'!$E$2:$Q$2,0),FALSE)</f>
        <v>41904</v>
      </c>
      <c r="P2" s="229">
        <f>VLOOKUP($E2,'2017 tablet timeline'!$E1:$Q192,MATCH(P$1,'2017 tablet timeline'!$E$2:$Q$2,0),FALSE)</f>
        <v>14400</v>
      </c>
      <c r="Q2" s="229">
        <f>VLOOKUP($E2,'2017 tablet timeline'!$E1:$Q192,MATCH(Q$1,'2017 tablet timeline'!$E$2:$Q$2,0),FALSE)</f>
        <v>38880</v>
      </c>
      <c r="R2" s="229">
        <f>SUM(F2:Q2)</f>
        <v>216864</v>
      </c>
      <c r="S2" s="230">
        <f>F2*$C2</f>
        <v>87151.730769230766</v>
      </c>
      <c r="T2" s="230">
        <f>G2*$C2</f>
        <v>83923.888888888891</v>
      </c>
      <c r="U2" s="230">
        <f>H2*$C2</f>
        <v>117816.2286324786</v>
      </c>
      <c r="V2" s="230">
        <f>I2*$C2</f>
        <v>129113.6752136752</v>
      </c>
      <c r="W2" s="230">
        <f>J2*$C2</f>
        <v>112974.4658119658</v>
      </c>
      <c r="X2" s="230">
        <f>K2*$C2</f>
        <v>0</v>
      </c>
      <c r="Y2" s="230">
        <f>L2*$C2</f>
        <v>161392.094017094</v>
      </c>
      <c r="Z2" s="230">
        <f>M2*$C2</f>
        <v>0</v>
      </c>
      <c r="AA2" s="230">
        <f>N2*$C2</f>
        <v>671391.1111111111</v>
      </c>
      <c r="AB2" s="230">
        <f>O2*$C2</f>
        <v>469650.9935897436</v>
      </c>
      <c r="AC2" s="230">
        <f>P2*$C2</f>
        <v>161392.094017094</v>
      </c>
      <c r="AD2" s="230">
        <f>Q2*$C2</f>
        <v>435758.6538461539</v>
      </c>
      <c r="AE2" s="231">
        <f>SUM(S2:AD2)</f>
        <v>2430564.935897436</v>
      </c>
    </row>
    <row r="3" ht="13" customHeight="1">
      <c r="A3" t="s" s="225">
        <v>42</v>
      </c>
      <c r="B3" t="s" s="226">
        <v>580</v>
      </c>
      <c r="C3" s="227">
        <v>11.20778430674264</v>
      </c>
      <c r="D3" t="s" s="226">
        <v>578</v>
      </c>
      <c r="E3" t="s" s="226">
        <f>A3&amp;"Lindt actual incoming"</f>
        <v>581</v>
      </c>
      <c r="F3" s="232">
        <f>VLOOKUP($E3,'2017 tablet timeline'!$E1:$Q192,MATCH(F$1,'2017 tablet timeline'!$E$2:$Q$2,0),FALSE)</f>
        <v>6912</v>
      </c>
      <c r="G3" s="233">
        <f>VLOOKUP($E3,'2017 tablet timeline'!$E1:$Q192,MATCH(G$1,'2017 tablet timeline'!$E$2:$Q$2,0),FALSE)</f>
        <v>6912</v>
      </c>
      <c r="H3" s="233">
        <f>VLOOKUP($E3,'2017 tablet timeline'!$E1:$Q192,MATCH(H$1,'2017 tablet timeline'!$E$2:$Q$2,0),FALSE)</f>
        <v>6480</v>
      </c>
      <c r="I3" s="233">
        <f>VLOOKUP($E3,'2017 tablet timeline'!$E1:$Q192,MATCH(I$1,'2017 tablet timeline'!$E$2:$Q$2,0),FALSE)</f>
        <v>13392</v>
      </c>
      <c r="J3" s="233">
        <f>VLOOKUP($E3,'2017 tablet timeline'!$E1:$Q192,MATCH(J$1,'2017 tablet timeline'!$E$2:$Q$2,0),FALSE)</f>
        <v>6192</v>
      </c>
      <c r="K3" s="233">
        <f>VLOOKUP($E3,'2017 tablet timeline'!$E1:$Q192,MATCH(K$1,'2017 tablet timeline'!$E$2:$Q$2,0),FALSE)</f>
        <v>6192</v>
      </c>
      <c r="L3" s="233">
        <f>VLOOKUP($E3,'2017 tablet timeline'!$E1:$Q192,MATCH(L$1,'2017 tablet timeline'!$E$2:$Q$2,0),FALSE)</f>
        <v>6480</v>
      </c>
      <c r="M3" s="233">
        <f>VLOOKUP($E3,'2017 tablet timeline'!$E1:$Q192,MATCH(M$1,'2017 tablet timeline'!$E$2:$Q$2,0),FALSE)</f>
        <v>0</v>
      </c>
      <c r="N3" s="233">
        <f>VLOOKUP($E3,'2017 tablet timeline'!$E1:$Q192,MATCH(N$1,'2017 tablet timeline'!$E$2:$Q$2,0),FALSE)</f>
        <v>15984</v>
      </c>
      <c r="O3" s="233">
        <f>VLOOKUP($E3,'2017 tablet timeline'!$E1:$Q192,MATCH(O$1,'2017 tablet timeline'!$E$2:$Q$2,0),FALSE)</f>
        <v>28800</v>
      </c>
      <c r="P3" s="233">
        <f>VLOOKUP($E3,'2017 tablet timeline'!$E1:$Q192,MATCH(P$1,'2017 tablet timeline'!$E$2:$Q$2,0),FALSE)</f>
        <v>21600</v>
      </c>
      <c r="Q3" s="233">
        <f>VLOOKUP($E3,'2017 tablet timeline'!$E1:$Q192,MATCH(Q$1,'2017 tablet timeline'!$E$2:$Q$2,0),FALSE)</f>
        <v>28800</v>
      </c>
      <c r="R3" s="233">
        <f>SUM(F3:Q3)</f>
        <v>147744</v>
      </c>
      <c r="S3" s="234">
        <f>F3*$C3</f>
        <v>77468.205128205125</v>
      </c>
      <c r="T3" s="234">
        <f>G3*$C3</f>
        <v>77468.205128205125</v>
      </c>
      <c r="U3" s="234">
        <f>H3*$C3</f>
        <v>72626.442307692312</v>
      </c>
      <c r="V3" s="234">
        <f>I3*$C3</f>
        <v>150094.6474358974</v>
      </c>
      <c r="W3" s="234">
        <f>J3*$C3</f>
        <v>69398.600427350422</v>
      </c>
      <c r="X3" s="234">
        <f>K3*$C3</f>
        <v>69398.600427350422</v>
      </c>
      <c r="Y3" s="234">
        <f>L3*$C3</f>
        <v>72626.442307692312</v>
      </c>
      <c r="Z3" s="234">
        <f>M3*$C3</f>
        <v>0</v>
      </c>
      <c r="AA3" s="234">
        <f>N3*$C3</f>
        <v>179145.2243589744</v>
      </c>
      <c r="AB3" s="234">
        <f>O3*$C3</f>
        <v>322784.1880341881</v>
      </c>
      <c r="AC3" s="234">
        <f>P3*$C3</f>
        <v>242088.141025641</v>
      </c>
      <c r="AD3" s="234">
        <f>Q3*$C3</f>
        <v>322784.1880341881</v>
      </c>
      <c r="AE3" s="234">
        <f>SUM(S3:AD3)</f>
        <v>1655882.884615385</v>
      </c>
    </row>
    <row r="4" ht="13" customHeight="1">
      <c r="A4" t="s" s="225">
        <v>54</v>
      </c>
      <c r="B4" t="s" s="226">
        <v>582</v>
      </c>
      <c r="C4" s="227">
        <v>11.20778430674264</v>
      </c>
      <c r="D4" t="s" s="226">
        <v>578</v>
      </c>
      <c r="E4" t="s" s="226">
        <f>A4&amp;"Lindt actual incoming"</f>
        <v>583</v>
      </c>
      <c r="F4" s="232">
        <f>VLOOKUP($E4,'2017 tablet timeline'!$E1:$Q192,MATCH(F$1,'2017 tablet timeline'!$E$2:$Q$2,0),FALSE)</f>
        <v>7776</v>
      </c>
      <c r="G4" s="233">
        <f>VLOOKUP($E4,'2017 tablet timeline'!$E1:$Q192,MATCH(G$1,'2017 tablet timeline'!$E$2:$Q$2,0),FALSE)</f>
        <v>7776</v>
      </c>
      <c r="H4" s="233">
        <f>VLOOKUP($E4,'2017 tablet timeline'!$E1:$Q192,MATCH(H$1,'2017 tablet timeline'!$E$2:$Q$2,0),FALSE)</f>
        <v>7344</v>
      </c>
      <c r="I4" s="233">
        <f>VLOOKUP($E4,'2017 tablet timeline'!$E1:$Q192,MATCH(I$1,'2017 tablet timeline'!$E$2:$Q$2,0),FALSE)</f>
        <v>7056</v>
      </c>
      <c r="J4" s="233">
        <f>VLOOKUP($E4,'2017 tablet timeline'!$E1:$Q192,MATCH(J$1,'2017 tablet timeline'!$E$2:$Q$2,0),FALSE)</f>
        <v>7056</v>
      </c>
      <c r="K4" s="233">
        <f>VLOOKUP($E4,'2017 tablet timeline'!$E1:$Q192,MATCH(K$1,'2017 tablet timeline'!$E$2:$Q$2,0),FALSE)</f>
        <v>6912</v>
      </c>
      <c r="L4" s="233">
        <f>VLOOKUP($E4,'2017 tablet timeline'!$E1:$Q192,MATCH(L$1,'2017 tablet timeline'!$E$2:$Q$2,0),FALSE)</f>
        <v>6480</v>
      </c>
      <c r="M4" s="233">
        <f>VLOOKUP($E4,'2017 tablet timeline'!$E1:$Q192,MATCH(M$1,'2017 tablet timeline'!$E$2:$Q$2,0),FALSE)</f>
        <v>0</v>
      </c>
      <c r="N4" s="233">
        <f>VLOOKUP($E4,'2017 tablet timeline'!$E1:$Q192,MATCH(N$1,'2017 tablet timeline'!$E$2:$Q$2,0),FALSE)</f>
        <v>18432</v>
      </c>
      <c r="O4" s="233">
        <f>VLOOKUP($E4,'2017 tablet timeline'!$E1:$Q192,MATCH(O$1,'2017 tablet timeline'!$E$2:$Q$2,0),FALSE)</f>
        <v>10080</v>
      </c>
      <c r="P4" s="233">
        <f>VLOOKUP($E4,'2017 tablet timeline'!$E1:$Q192,MATCH(P$1,'2017 tablet timeline'!$E$2:$Q$2,0),FALSE)</f>
        <v>17280</v>
      </c>
      <c r="Q4" s="233">
        <f>VLOOKUP($E4,'2017 tablet timeline'!$E1:$Q192,MATCH(Q$1,'2017 tablet timeline'!$E$2:$Q$2,0),FALSE)</f>
        <v>25920</v>
      </c>
      <c r="R4" s="233">
        <f>SUM(F4:Q4)</f>
        <v>122112</v>
      </c>
      <c r="S4" s="234">
        <f>F4*$C4</f>
        <v>87151.730769230766</v>
      </c>
      <c r="T4" s="234">
        <f>G4*$C4</f>
        <v>87151.730769230766</v>
      </c>
      <c r="U4" s="234">
        <f>H4*$C4</f>
        <v>82309.967948717953</v>
      </c>
      <c r="V4" s="234">
        <f>I4*$C4</f>
        <v>79082.126068376077</v>
      </c>
      <c r="W4" s="234">
        <f>J4*$C4</f>
        <v>79082.126068376077</v>
      </c>
      <c r="X4" s="234">
        <f>K4*$C4</f>
        <v>77468.205128205125</v>
      </c>
      <c r="Y4" s="234">
        <f>L4*$C4</f>
        <v>72626.442307692312</v>
      </c>
      <c r="Z4" s="234">
        <f>M4*$C4</f>
        <v>0</v>
      </c>
      <c r="AA4" s="234">
        <f>N4*$C4</f>
        <v>206581.8803418803</v>
      </c>
      <c r="AB4" s="234">
        <f>O4*$C4</f>
        <v>112974.4658119658</v>
      </c>
      <c r="AC4" s="234">
        <f>P4*$C4</f>
        <v>193670.5128205128</v>
      </c>
      <c r="AD4" s="234">
        <f>Q4*$C4</f>
        <v>290505.7692307692</v>
      </c>
      <c r="AE4" s="234">
        <f>SUM(S4:AD4)</f>
        <v>1368604.957264957</v>
      </c>
    </row>
    <row r="5" ht="13" customHeight="1">
      <c r="A5" t="s" s="225">
        <v>66</v>
      </c>
      <c r="B5" t="s" s="226">
        <v>584</v>
      </c>
      <c r="C5" s="227">
        <v>11.20778430674264</v>
      </c>
      <c r="D5" t="s" s="226">
        <v>578</v>
      </c>
      <c r="E5" t="s" s="226">
        <f>A5&amp;"Lindt actual incoming"</f>
        <v>585</v>
      </c>
      <c r="F5" s="232">
        <f>VLOOKUP($E5,'2017 tablet timeline'!$E1:$Q192,MATCH(F$1,'2017 tablet timeline'!$E$2:$Q$2,0),FALSE)</f>
        <v>5184</v>
      </c>
      <c r="G5" s="233">
        <f>VLOOKUP($E5,'2017 tablet timeline'!$E1:$Q192,MATCH(G$1,'2017 tablet timeline'!$E$2:$Q$2,0),FALSE)</f>
        <v>5184</v>
      </c>
      <c r="H5" s="233">
        <f>VLOOKUP($E5,'2017 tablet timeline'!$E1:$Q192,MATCH(H$1,'2017 tablet timeline'!$E$2:$Q$2,0),FALSE)</f>
        <v>4752</v>
      </c>
      <c r="I5" s="233">
        <f>VLOOKUP($E5,'2017 tablet timeline'!$E1:$Q192,MATCH(I$1,'2017 tablet timeline'!$E$2:$Q$2,0),FALSE)</f>
        <v>9648</v>
      </c>
      <c r="J5" s="233">
        <f>VLOOKUP($E5,'2017 tablet timeline'!$E1:$Q192,MATCH(J$1,'2017 tablet timeline'!$E$2:$Q$2,0),FALSE)</f>
        <v>4464</v>
      </c>
      <c r="K5" s="233">
        <f>VLOOKUP($E5,'2017 tablet timeline'!$E1:$Q192,MATCH(K$1,'2017 tablet timeline'!$E$2:$Q$2,0),FALSE)</f>
        <v>9360</v>
      </c>
      <c r="L5" s="233">
        <f>VLOOKUP($E5,'2017 tablet timeline'!$E1:$Q192,MATCH(L$1,'2017 tablet timeline'!$E$2:$Q$2,0),FALSE)</f>
        <v>4608</v>
      </c>
      <c r="M5" s="233">
        <f>VLOOKUP($E5,'2017 tablet timeline'!$E1:$Q192,MATCH(M$1,'2017 tablet timeline'!$E$2:$Q$2,0),FALSE)</f>
        <v>14976</v>
      </c>
      <c r="N5" s="233">
        <f>VLOOKUP($E5,'2017 tablet timeline'!$E1:$Q192,MATCH(N$1,'2017 tablet timeline'!$E$2:$Q$2,0),FALSE)</f>
        <v>15840</v>
      </c>
      <c r="O5" s="233">
        <f>VLOOKUP($E5,'2017 tablet timeline'!$E1:$Q192,MATCH(O$1,'2017 tablet timeline'!$E$2:$Q$2,0),FALSE)</f>
        <v>18720</v>
      </c>
      <c r="P5" s="233">
        <f>VLOOKUP($E5,'2017 tablet timeline'!$E1:$Q192,MATCH(P$1,'2017 tablet timeline'!$E$2:$Q$2,0),FALSE)</f>
        <v>18720</v>
      </c>
      <c r="Q5" s="233">
        <f>VLOOKUP($E5,'2017 tablet timeline'!$E1:$Q192,MATCH(Q$1,'2017 tablet timeline'!$E$2:$Q$2,0),FALSE)</f>
        <v>20160</v>
      </c>
      <c r="R5" s="233">
        <f>SUM(F5:Q5)</f>
        <v>131616</v>
      </c>
      <c r="S5" s="234">
        <f>F5*$C5</f>
        <v>58101.153846153851</v>
      </c>
      <c r="T5" s="234">
        <f>G5*$C5</f>
        <v>58101.153846153851</v>
      </c>
      <c r="U5" s="234">
        <f>H5*$C5</f>
        <v>53259.391025641024</v>
      </c>
      <c r="V5" s="234">
        <f>I5*$C5</f>
        <v>108132.702991453</v>
      </c>
      <c r="W5" s="234">
        <f>J5*$C5</f>
        <v>50031.549145299148</v>
      </c>
      <c r="X5" s="234">
        <f>K5*$C5</f>
        <v>104904.8611111111</v>
      </c>
      <c r="Y5" s="234">
        <f>L5*$C5</f>
        <v>51645.470085470086</v>
      </c>
      <c r="Z5" s="234">
        <f>M5*$C5</f>
        <v>167847.7777777778</v>
      </c>
      <c r="AA5" s="234">
        <f>N5*$C5</f>
        <v>177531.3034188034</v>
      </c>
      <c r="AB5" s="234">
        <f>O5*$C5</f>
        <v>209809.7222222222</v>
      </c>
      <c r="AC5" s="234">
        <f>P5*$C5</f>
        <v>209809.7222222222</v>
      </c>
      <c r="AD5" s="234">
        <f>Q5*$C5</f>
        <v>225948.9316239316</v>
      </c>
      <c r="AE5" s="234">
        <f>SUM(S5:AD5)</f>
        <v>1475123.739316239</v>
      </c>
    </row>
    <row r="6" ht="13" customHeight="1">
      <c r="A6" t="s" s="225">
        <v>78</v>
      </c>
      <c r="B6" t="s" s="226">
        <v>586</v>
      </c>
      <c r="C6" s="227">
        <v>11.20778430674264</v>
      </c>
      <c r="D6" t="s" s="226">
        <v>578</v>
      </c>
      <c r="E6" t="s" s="226">
        <f>A6&amp;"Lindt actual incoming"</f>
        <v>587</v>
      </c>
      <c r="F6" s="232">
        <f>VLOOKUP($E6,'2017 tablet timeline'!$E1:$Q192,MATCH(F$1,'2017 tablet timeline'!$E$2:$Q$2,0),FALSE)</f>
        <v>7776</v>
      </c>
      <c r="G6" s="233">
        <f>VLOOKUP($E6,'2017 tablet timeline'!$E1:$Q192,MATCH(G$1,'2017 tablet timeline'!$E$2:$Q$2,0),FALSE)</f>
        <v>7632</v>
      </c>
      <c r="H6" s="233">
        <f>VLOOKUP($E6,'2017 tablet timeline'!$E1:$Q192,MATCH(H$1,'2017 tablet timeline'!$E$2:$Q$2,0),FALSE)</f>
        <v>10512</v>
      </c>
      <c r="I6" s="233">
        <f>VLOOKUP($E6,'2017 tablet timeline'!$E1:$Q192,MATCH(I$1,'2017 tablet timeline'!$E$2:$Q$2,0),FALSE)</f>
        <v>11520</v>
      </c>
      <c r="J6" s="233">
        <f>VLOOKUP($E6,'2017 tablet timeline'!$E1:$Q192,MATCH(J$1,'2017 tablet timeline'!$E$2:$Q$2,0),FALSE)</f>
        <v>12672</v>
      </c>
      <c r="K6" s="233">
        <f>VLOOKUP($E6,'2017 tablet timeline'!$E1:$Q192,MATCH(K$1,'2017 tablet timeline'!$E$2:$Q$2,0),FALSE)</f>
        <v>5760</v>
      </c>
      <c r="L6" s="233">
        <f>VLOOKUP($E6,'2017 tablet timeline'!$E1:$Q192,MATCH(L$1,'2017 tablet timeline'!$E$2:$Q$2,0),FALSE)</f>
        <v>0</v>
      </c>
      <c r="M6" s="233">
        <f>VLOOKUP($E6,'2017 tablet timeline'!$E1:$Q192,MATCH(M$1,'2017 tablet timeline'!$E$2:$Q$2,0),FALSE)</f>
        <v>0</v>
      </c>
      <c r="N6" s="233">
        <f>VLOOKUP($E6,'2017 tablet timeline'!$E1:$Q192,MATCH(N$1,'2017 tablet timeline'!$E$2:$Q$2,0),FALSE)</f>
        <v>28800</v>
      </c>
      <c r="O6" s="233">
        <f>VLOOKUP($E6,'2017 tablet timeline'!$E1:$Q192,MATCH(O$1,'2017 tablet timeline'!$E$2:$Q$2,0),FALSE)</f>
        <v>34128</v>
      </c>
      <c r="P6" s="233">
        <f>VLOOKUP($E6,'2017 tablet timeline'!$E1:$Q192,MATCH(P$1,'2017 tablet timeline'!$E$2:$Q$2,0),FALSE)</f>
        <v>24480</v>
      </c>
      <c r="Q6" s="233">
        <f>VLOOKUP($E6,'2017 tablet timeline'!$E1:$Q192,MATCH(Q$1,'2017 tablet timeline'!$E$2:$Q$2,0),FALSE)</f>
        <v>40320</v>
      </c>
      <c r="R6" s="233">
        <f>SUM(F6:Q6)</f>
        <v>183600</v>
      </c>
      <c r="S6" s="234">
        <f>F6*$C6</f>
        <v>87151.730769230766</v>
      </c>
      <c r="T6" s="234">
        <f>G6*$C6</f>
        <v>85537.809829059828</v>
      </c>
      <c r="U6" s="234">
        <f>H6*$C6</f>
        <v>117816.2286324786</v>
      </c>
      <c r="V6" s="234">
        <f>I6*$C6</f>
        <v>129113.6752136752</v>
      </c>
      <c r="W6" s="234">
        <f>J6*$C6</f>
        <v>142025.0427350427</v>
      </c>
      <c r="X6" s="234">
        <f>K6*$C6</f>
        <v>64556.837606837609</v>
      </c>
      <c r="Y6" s="234">
        <f>L6*$C6</f>
        <v>0</v>
      </c>
      <c r="Z6" s="234">
        <f>M6*$C6</f>
        <v>0</v>
      </c>
      <c r="AA6" s="234">
        <f>N6*$C6</f>
        <v>322784.1880341881</v>
      </c>
      <c r="AB6" s="234">
        <f>O6*$C6</f>
        <v>382499.2628205128</v>
      </c>
      <c r="AC6" s="234">
        <f>P6*$C6</f>
        <v>274366.5598290598</v>
      </c>
      <c r="AD6" s="234">
        <f>Q6*$C6</f>
        <v>451897.8632478632</v>
      </c>
      <c r="AE6" s="234">
        <f>SUM(S6:AD6)</f>
        <v>2057749.198717949</v>
      </c>
    </row>
    <row r="7" ht="13" customHeight="1">
      <c r="A7" t="s" s="225">
        <v>90</v>
      </c>
      <c r="B7" t="s" s="226">
        <v>588</v>
      </c>
      <c r="C7" s="227">
        <v>26.57521367521368</v>
      </c>
      <c r="D7" t="s" s="226">
        <v>589</v>
      </c>
      <c r="E7" t="s" s="226">
        <f>A7&amp;"Lindt actual incoming"</f>
        <v>590</v>
      </c>
      <c r="F7" s="232">
        <f>VLOOKUP($E7,'2017 tablet timeline'!$E1:$Q192,MATCH(F$1,'2017 tablet timeline'!$E$2:$Q$2,0),FALSE)</f>
        <v>1944</v>
      </c>
      <c r="G7" s="233">
        <f>VLOOKUP($E7,'2017 tablet timeline'!$E1:$Q192,MATCH(G$1,'2017 tablet timeline'!$E$2:$Q$2,0),FALSE)</f>
        <v>0</v>
      </c>
      <c r="H7" s="233">
        <f>VLOOKUP($E7,'2017 tablet timeline'!$E1:$Q192,MATCH(H$1,'2017 tablet timeline'!$E$2:$Q$2,0),FALSE)</f>
        <v>1584</v>
      </c>
      <c r="I7" s="233">
        <f>VLOOKUP($E7,'2017 tablet timeline'!$E1:$Q192,MATCH(I$1,'2017 tablet timeline'!$E$2:$Q$2,0),FALSE)</f>
        <v>0</v>
      </c>
      <c r="J7" s="233">
        <f>VLOOKUP($E7,'2017 tablet timeline'!$E1:$Q192,MATCH(J$1,'2017 tablet timeline'!$E$2:$Q$2,0),FALSE)</f>
        <v>1944</v>
      </c>
      <c r="K7" s="233">
        <f>VLOOKUP($E7,'2017 tablet timeline'!$E1:$Q192,MATCH(K$1,'2017 tablet timeline'!$E$2:$Q$2,0),FALSE)</f>
        <v>3888</v>
      </c>
      <c r="L7" s="233">
        <f>VLOOKUP($E7,'2017 tablet timeline'!$E1:$Q192,MATCH(L$1,'2017 tablet timeline'!$E$2:$Q$2,0),FALSE)</f>
        <v>1944</v>
      </c>
      <c r="M7" s="233">
        <f>VLOOKUP($E7,'2017 tablet timeline'!$E1:$Q192,MATCH(M$1,'2017 tablet timeline'!$E$2:$Q$2,0),FALSE)</f>
        <v>0</v>
      </c>
      <c r="N7" s="233">
        <f>VLOOKUP($E7,'2017 tablet timeline'!$E1:$Q192,MATCH(N$1,'2017 tablet timeline'!$E$2:$Q$2,0),FALSE)</f>
        <v>6336</v>
      </c>
      <c r="O7" s="233">
        <f>VLOOKUP($E7,'2017 tablet timeline'!$E1:$Q192,MATCH(O$1,'2017 tablet timeline'!$E$2:$Q$2,0),FALSE)</f>
        <v>6336</v>
      </c>
      <c r="P7" s="233">
        <f>VLOOKUP($E7,'2017 tablet timeline'!$E1:$Q192,MATCH(P$1,'2017 tablet timeline'!$E$2:$Q$2,0),FALSE)</f>
        <v>8280</v>
      </c>
      <c r="Q7" s="233">
        <f>VLOOKUP($E7,'2017 tablet timeline'!$E1:$Q192,MATCH(Q$1,'2017 tablet timeline'!$E$2:$Q$2,0),FALSE)</f>
        <v>6840</v>
      </c>
      <c r="R7" s="233">
        <f>SUM(F7:Q7)</f>
        <v>39096</v>
      </c>
      <c r="S7" s="234">
        <f>F7*$C7</f>
        <v>51662.215384615389</v>
      </c>
      <c r="T7" s="234">
        <f>G7*$C7</f>
        <v>0</v>
      </c>
      <c r="U7" s="234">
        <f>H7*$C7</f>
        <v>42095.138461538467</v>
      </c>
      <c r="V7" s="234">
        <f>I7*$C7</f>
        <v>0</v>
      </c>
      <c r="W7" s="234">
        <f>J7*$C7</f>
        <v>51662.215384615389</v>
      </c>
      <c r="X7" s="234">
        <f>K7*$C7</f>
        <v>103324.4307692308</v>
      </c>
      <c r="Y7" s="234">
        <f>L7*$C7</f>
        <v>51662.215384615389</v>
      </c>
      <c r="Z7" s="234">
        <f>M7*$C7</f>
        <v>0</v>
      </c>
      <c r="AA7" s="234">
        <f>N7*$C7</f>
        <v>168380.5538461539</v>
      </c>
      <c r="AB7" s="234">
        <f>O7*$C7</f>
        <v>168380.5538461539</v>
      </c>
      <c r="AC7" s="234">
        <f>P7*$C7</f>
        <v>220042.7692307692</v>
      </c>
      <c r="AD7" s="234">
        <f>Q7*$C7</f>
        <v>181774.4615384616</v>
      </c>
      <c r="AE7" s="234">
        <f>SUM(S7:AD7)</f>
        <v>1038984.553846154</v>
      </c>
    </row>
    <row r="8" ht="13" customHeight="1">
      <c r="A8" t="s" s="225">
        <v>102</v>
      </c>
      <c r="B8" t="s" s="226">
        <v>591</v>
      </c>
      <c r="C8" s="227">
        <v>26.57521367521368</v>
      </c>
      <c r="D8" t="s" s="226">
        <v>589</v>
      </c>
      <c r="E8" t="s" s="226">
        <f>A8&amp;"Lindt actual incoming"</f>
        <v>592</v>
      </c>
      <c r="F8" s="232">
        <f>VLOOKUP($E8,'2017 tablet timeline'!$E1:$Q192,MATCH(F$1,'2017 tablet timeline'!$E$2:$Q$2,0),FALSE)</f>
        <v>1944</v>
      </c>
      <c r="G8" s="233">
        <f>VLOOKUP($E8,'2017 tablet timeline'!$E1:$Q192,MATCH(G$1,'2017 tablet timeline'!$E$2:$Q$2,0),FALSE)</f>
        <v>0</v>
      </c>
      <c r="H8" s="233">
        <f>VLOOKUP($E8,'2017 tablet timeline'!$E1:$Q192,MATCH(H$1,'2017 tablet timeline'!$E$2:$Q$2,0),FALSE)</f>
        <v>1584</v>
      </c>
      <c r="I8" s="233">
        <f>VLOOKUP($E8,'2017 tablet timeline'!$E1:$Q192,MATCH(I$1,'2017 tablet timeline'!$E$2:$Q$2,0),FALSE)</f>
        <v>0</v>
      </c>
      <c r="J8" s="233">
        <f>VLOOKUP($E8,'2017 tablet timeline'!$E1:$Q192,MATCH(J$1,'2017 tablet timeline'!$E$2:$Q$2,0),FALSE)</f>
        <v>1944</v>
      </c>
      <c r="K8" s="233">
        <f>VLOOKUP($E8,'2017 tablet timeline'!$E1:$Q192,MATCH(K$1,'2017 tablet timeline'!$E$2:$Q$2,0),FALSE)</f>
        <v>3888</v>
      </c>
      <c r="L8" s="233">
        <f>VLOOKUP($E8,'2017 tablet timeline'!$E1:$Q192,MATCH(L$1,'2017 tablet timeline'!$E$2:$Q$2,0),FALSE)</f>
        <v>0</v>
      </c>
      <c r="M8" s="233">
        <f>VLOOKUP($E8,'2017 tablet timeline'!$E1:$Q192,MATCH(M$1,'2017 tablet timeline'!$E$2:$Q$2,0),FALSE)</f>
        <v>5472</v>
      </c>
      <c r="N8" s="233">
        <f>VLOOKUP($E8,'2017 tablet timeline'!$E1:$Q192,MATCH(N$1,'2017 tablet timeline'!$E$2:$Q$2,0),FALSE)</f>
        <v>7704</v>
      </c>
      <c r="O8" s="233">
        <f>VLOOKUP($E8,'2017 tablet timeline'!$E1:$Q192,MATCH(O$1,'2017 tablet timeline'!$E$2:$Q$2,0),FALSE)</f>
        <v>6264</v>
      </c>
      <c r="P8" s="233">
        <f>VLOOKUP($E8,'2017 tablet timeline'!$E1:$Q192,MATCH(P$1,'2017 tablet timeline'!$E$2:$Q$2,0),FALSE)</f>
        <v>11520</v>
      </c>
      <c r="Q8" s="233">
        <f>VLOOKUP($E8,'2017 tablet timeline'!$E1:$Q192,MATCH(Q$1,'2017 tablet timeline'!$E$2:$Q$2,0),FALSE)</f>
        <v>12960</v>
      </c>
      <c r="R8" s="233">
        <f>SUM(F8:Q8)</f>
        <v>53280</v>
      </c>
      <c r="S8" s="234">
        <f>F8*$C8</f>
        <v>51662.215384615389</v>
      </c>
      <c r="T8" s="234">
        <f>G8*$C8</f>
        <v>0</v>
      </c>
      <c r="U8" s="234">
        <f>H8*$C8</f>
        <v>42095.138461538467</v>
      </c>
      <c r="V8" s="234">
        <f>I8*$C8</f>
        <v>0</v>
      </c>
      <c r="W8" s="234">
        <f>J8*$C8</f>
        <v>51662.215384615389</v>
      </c>
      <c r="X8" s="234">
        <f>K8*$C8</f>
        <v>103324.4307692308</v>
      </c>
      <c r="Y8" s="234">
        <f>L8*$C8</f>
        <v>0</v>
      </c>
      <c r="Z8" s="234">
        <f>M8*$C8</f>
        <v>145419.5692307692</v>
      </c>
      <c r="AA8" s="234">
        <f>N8*$C8</f>
        <v>204735.4461538462</v>
      </c>
      <c r="AB8" s="234">
        <f>O8*$C8</f>
        <v>166467.1384615385</v>
      </c>
      <c r="AC8" s="234">
        <f>P8*$C8</f>
        <v>306146.4615384616</v>
      </c>
      <c r="AD8" s="234">
        <f>Q8*$C8</f>
        <v>344414.7692307692</v>
      </c>
      <c r="AE8" s="234">
        <f>SUM(S8:AD8)</f>
        <v>1415927.384615385</v>
      </c>
    </row>
    <row r="9" ht="13" customHeight="1">
      <c r="A9" t="s" s="225">
        <v>114</v>
      </c>
      <c r="B9" t="s" s="226">
        <v>593</v>
      </c>
      <c r="C9" s="227">
        <v>13.46777777777777</v>
      </c>
      <c r="D9" t="s" s="226">
        <v>594</v>
      </c>
      <c r="E9" t="s" s="226">
        <f>A9&amp;"Lindt actual incoming"</f>
        <v>595</v>
      </c>
      <c r="F9" s="232">
        <f>VLOOKUP($E9,'2017 tablet timeline'!$E1:$Q192,MATCH(F$1,'2017 tablet timeline'!$E$2:$Q$2,0),FALSE)</f>
        <v>3240</v>
      </c>
      <c r="G9" s="233">
        <f>VLOOKUP($E9,'2017 tablet timeline'!$E1:$Q192,MATCH(G$1,'2017 tablet timeline'!$E$2:$Q$2,0),FALSE)</f>
        <v>3720</v>
      </c>
      <c r="H9" s="233">
        <f>VLOOKUP($E9,'2017 tablet timeline'!$E1:$Q192,MATCH(H$1,'2017 tablet timeline'!$E$2:$Q$2,0),FALSE)</f>
        <v>3480</v>
      </c>
      <c r="I9" s="233">
        <f>VLOOKUP($E9,'2017 tablet timeline'!$E1:$Q192,MATCH(I$1,'2017 tablet timeline'!$E$2:$Q$2,0),FALSE)</f>
        <v>6720</v>
      </c>
      <c r="J9" s="233">
        <f>VLOOKUP($E9,'2017 tablet timeline'!$E1:$Q192,MATCH(J$1,'2017 tablet timeline'!$E$2:$Q$2,0),FALSE)</f>
        <v>6480</v>
      </c>
      <c r="K9" s="233">
        <f>VLOOKUP($E9,'2017 tablet timeline'!$E1:$Q192,MATCH(K$1,'2017 tablet timeline'!$E$2:$Q$2,0),FALSE)</f>
        <v>11040</v>
      </c>
      <c r="L9" s="233">
        <f>VLOOKUP($E9,'2017 tablet timeline'!$E1:$Q192,MATCH(L$1,'2017 tablet timeline'!$E$2:$Q$2,0),FALSE)</f>
        <v>3480</v>
      </c>
      <c r="M9" s="233">
        <f>VLOOKUP($E9,'2017 tablet timeline'!$E1:$Q192,MATCH(M$1,'2017 tablet timeline'!$E$2:$Q$2,0),FALSE)</f>
        <v>13560</v>
      </c>
      <c r="N9" s="233">
        <f>VLOOKUP($E9,'2017 tablet timeline'!$E1:$Q192,MATCH(N$1,'2017 tablet timeline'!$E$2:$Q$2,0),FALSE)</f>
        <v>26400</v>
      </c>
      <c r="O9" s="233">
        <f>VLOOKUP($E9,'2017 tablet timeline'!$E1:$Q192,MATCH(O$1,'2017 tablet timeline'!$E$2:$Q$2,0),FALSE)</f>
        <v>30840</v>
      </c>
      <c r="P9" s="233">
        <f>VLOOKUP($E9,'2017 tablet timeline'!$E1:$Q192,MATCH(P$1,'2017 tablet timeline'!$E$2:$Q$2,0),FALSE)</f>
        <v>54000</v>
      </c>
      <c r="Q9" s="233">
        <f>VLOOKUP($E9,'2017 tablet timeline'!$E1:$Q192,MATCH(Q$1,'2017 tablet timeline'!$E$2:$Q$2,0),FALSE)</f>
        <v>36000</v>
      </c>
      <c r="R9" s="233">
        <f>SUM(F9:Q9)</f>
        <v>198960</v>
      </c>
      <c r="S9" s="234">
        <f>F9*$C9</f>
        <v>43635.599999999969</v>
      </c>
      <c r="T9" s="234">
        <f>G9*$C9</f>
        <v>50100.1333333333</v>
      </c>
      <c r="U9" s="234">
        <f>H9*$C9</f>
        <v>46867.866666666640</v>
      </c>
      <c r="V9" s="234">
        <f>I9*$C9</f>
        <v>90503.466666666616</v>
      </c>
      <c r="W9" s="234">
        <f>J9*$C9</f>
        <v>87271.199999999939</v>
      </c>
      <c r="X9" s="234">
        <f>K9*$C9</f>
        <v>148684.2666666666</v>
      </c>
      <c r="Y9" s="234">
        <f>L9*$C9</f>
        <v>46867.866666666640</v>
      </c>
      <c r="Z9" s="234">
        <f>M9*$C9</f>
        <v>182623.0666666666</v>
      </c>
      <c r="AA9" s="234">
        <f>N9*$C9</f>
        <v>355549.3333333331</v>
      </c>
      <c r="AB9" s="234">
        <f>O9*$C9</f>
        <v>415346.2666666664</v>
      </c>
      <c r="AC9" s="234">
        <f>P9*$C9</f>
        <v>727259.9999999995</v>
      </c>
      <c r="AD9" s="234">
        <f>Q9*$C9</f>
        <v>484839.9999999997</v>
      </c>
      <c r="AE9" s="234">
        <f>SUM(S9:AD9)</f>
        <v>2679549.066666665</v>
      </c>
    </row>
    <row r="10" ht="13" customHeight="1">
      <c r="A10" t="s" s="225">
        <v>126</v>
      </c>
      <c r="B10" t="s" s="226">
        <v>596</v>
      </c>
      <c r="C10" s="227">
        <v>14.81905982905983</v>
      </c>
      <c r="D10" t="s" s="226">
        <v>594</v>
      </c>
      <c r="E10" t="s" s="226">
        <f>A10&amp;"Lindt actual incoming"</f>
        <v>597</v>
      </c>
      <c r="F10" s="232">
        <f>VLOOKUP($E10,'2017 tablet timeline'!$E1:$Q192,MATCH(F$1,'2017 tablet timeline'!$E$2:$Q$2,0),FALSE)</f>
        <v>0</v>
      </c>
      <c r="G10" s="233">
        <f>VLOOKUP($E10,'2017 tablet timeline'!$E1:$Q192,MATCH(G$1,'2017 tablet timeline'!$E$2:$Q$2,0),FALSE)</f>
        <v>3360</v>
      </c>
      <c r="H10" s="233">
        <f>VLOOKUP($E10,'2017 tablet timeline'!$E1:$Q192,MATCH(H$1,'2017 tablet timeline'!$E$2:$Q$2,0),FALSE)</f>
        <v>3240</v>
      </c>
      <c r="I10" s="233">
        <f>VLOOKUP($E10,'2017 tablet timeline'!$E1:$Q192,MATCH(I$1,'2017 tablet timeline'!$E$2:$Q$2,0),FALSE)</f>
        <v>6600</v>
      </c>
      <c r="J10" s="233">
        <f>VLOOKUP($E10,'2017 tablet timeline'!$E1:$Q192,MATCH(J$1,'2017 tablet timeline'!$E$2:$Q$2,0),FALSE)</f>
        <v>6600</v>
      </c>
      <c r="K10" s="233">
        <f>VLOOKUP($E10,'2017 tablet timeline'!$E1:$Q192,MATCH(K$1,'2017 tablet timeline'!$E$2:$Q$2,0),FALSE)</f>
        <v>0</v>
      </c>
      <c r="L10" s="233">
        <f>VLOOKUP($E10,'2017 tablet timeline'!$E1:$Q192,MATCH(L$1,'2017 tablet timeline'!$E$2:$Q$2,0),FALSE)</f>
        <v>3240</v>
      </c>
      <c r="M10" s="233">
        <f>VLOOKUP($E10,'2017 tablet timeline'!$E1:$Q192,MATCH(M$1,'2017 tablet timeline'!$E$2:$Q$2,0),FALSE)</f>
        <v>0</v>
      </c>
      <c r="N10" s="233">
        <f>VLOOKUP($E10,'2017 tablet timeline'!$E1:$Q192,MATCH(N$1,'2017 tablet timeline'!$E$2:$Q$2,0),FALSE)</f>
        <v>6720</v>
      </c>
      <c r="O10" s="233">
        <f>VLOOKUP($E10,'2017 tablet timeline'!$E1:$Q192,MATCH(O$1,'2017 tablet timeline'!$E$2:$Q$2,0),FALSE)</f>
        <v>9600</v>
      </c>
      <c r="P10" s="233">
        <f>VLOOKUP($E10,'2017 tablet timeline'!$E1:$Q192,MATCH(P$1,'2017 tablet timeline'!$E$2:$Q$2,0),FALSE)</f>
        <v>11400</v>
      </c>
      <c r="Q10" s="233">
        <f>VLOOKUP($E10,'2017 tablet timeline'!$E1:$Q192,MATCH(Q$1,'2017 tablet timeline'!$E$2:$Q$2,0),FALSE)</f>
        <v>13200</v>
      </c>
      <c r="R10" s="233">
        <f>SUM(F10:Q10)</f>
        <v>63960</v>
      </c>
      <c r="S10" s="234">
        <f>F10*$C10</f>
        <v>0</v>
      </c>
      <c r="T10" s="234">
        <f>G10*$C10</f>
        <v>49792.041025641025</v>
      </c>
      <c r="U10" s="234">
        <f>H10*$C10</f>
        <v>48013.753846153850</v>
      </c>
      <c r="V10" s="234">
        <f>I10*$C10</f>
        <v>97805.794871794875</v>
      </c>
      <c r="W10" s="234">
        <f>J10*$C10</f>
        <v>97805.794871794875</v>
      </c>
      <c r="X10" s="234">
        <f>K10*$C10</f>
        <v>0</v>
      </c>
      <c r="Y10" s="234">
        <f>L10*$C10</f>
        <v>48013.753846153850</v>
      </c>
      <c r="Z10" s="234">
        <f>M10*$C10</f>
        <v>0</v>
      </c>
      <c r="AA10" s="234">
        <f>N10*$C10</f>
        <v>99584.082051282050</v>
      </c>
      <c r="AB10" s="234">
        <f>O10*$C10</f>
        <v>142262.9743589744</v>
      </c>
      <c r="AC10" s="234">
        <f>P10*$C10</f>
        <v>168937.2820512821</v>
      </c>
      <c r="AD10" s="234">
        <f>Q10*$C10</f>
        <v>195611.5897435897</v>
      </c>
      <c r="AE10" s="234">
        <f>SUM(S10:AD10)</f>
        <v>947827.0666666667</v>
      </c>
    </row>
    <row r="11" ht="13" customHeight="1">
      <c r="A11" t="s" s="225">
        <v>138</v>
      </c>
      <c r="B11" t="s" s="226">
        <v>598</v>
      </c>
      <c r="C11" s="227">
        <v>14.81905982905983</v>
      </c>
      <c r="D11" t="s" s="226">
        <v>594</v>
      </c>
      <c r="E11" t="s" s="226">
        <f>A11&amp;"Lindt actual incoming"</f>
        <v>599</v>
      </c>
      <c r="F11" s="232">
        <f>VLOOKUP($E11,'2017 tablet timeline'!$E1:$Q192,MATCH(F$1,'2017 tablet timeline'!$E$2:$Q$2,0),FALSE)</f>
        <v>0</v>
      </c>
      <c r="G11" s="233">
        <f>VLOOKUP($E11,'2017 tablet timeline'!$E1:$Q192,MATCH(G$1,'2017 tablet timeline'!$E$2:$Q$2,0),FALSE)</f>
        <v>3720</v>
      </c>
      <c r="H11" s="233">
        <f>VLOOKUP($E11,'2017 tablet timeline'!$E1:$Q192,MATCH(H$1,'2017 tablet timeline'!$E$2:$Q$2,0),FALSE)</f>
        <v>3720</v>
      </c>
      <c r="I11" s="233">
        <f>VLOOKUP($E11,'2017 tablet timeline'!$E1:$Q192,MATCH(I$1,'2017 tablet timeline'!$E$2:$Q$2,0),FALSE)</f>
        <v>7560</v>
      </c>
      <c r="J11" s="233">
        <f>VLOOKUP($E11,'2017 tablet timeline'!$E1:$Q192,MATCH(J$1,'2017 tablet timeline'!$E$2:$Q$2,0),FALSE)</f>
        <v>3600</v>
      </c>
      <c r="K11" s="233">
        <f>VLOOKUP($E11,'2017 tablet timeline'!$E1:$Q192,MATCH(K$1,'2017 tablet timeline'!$E$2:$Q$2,0),FALSE)</f>
        <v>3720</v>
      </c>
      <c r="L11" s="233">
        <f>VLOOKUP($E11,'2017 tablet timeline'!$E1:$Q192,MATCH(L$1,'2017 tablet timeline'!$E$2:$Q$2,0),FALSE)</f>
        <v>0</v>
      </c>
      <c r="M11" s="233">
        <f>VLOOKUP($E11,'2017 tablet timeline'!$E1:$Q192,MATCH(M$1,'2017 tablet timeline'!$E$2:$Q$2,0),FALSE)</f>
        <v>3600</v>
      </c>
      <c r="N11" s="233">
        <f>VLOOKUP($E11,'2017 tablet timeline'!$E1:$Q192,MATCH(N$1,'2017 tablet timeline'!$E$2:$Q$2,0),FALSE)</f>
        <v>12360</v>
      </c>
      <c r="O11" s="233">
        <f>VLOOKUP($E11,'2017 tablet timeline'!$E1:$Q192,MATCH(O$1,'2017 tablet timeline'!$E$2:$Q$2,0),FALSE)</f>
        <v>19200</v>
      </c>
      <c r="P11" s="233">
        <f>VLOOKUP($E11,'2017 tablet timeline'!$E1:$Q192,MATCH(P$1,'2017 tablet timeline'!$E$2:$Q$2,0),FALSE)</f>
        <v>16200</v>
      </c>
      <c r="Q11" s="233">
        <f>VLOOKUP($E11,'2017 tablet timeline'!$E1:$Q192,MATCH(Q$1,'2017 tablet timeline'!$E$2:$Q$2,0),FALSE)</f>
        <v>19200</v>
      </c>
      <c r="R11" s="233">
        <f>SUM(F11:Q11)</f>
        <v>92880</v>
      </c>
      <c r="S11" s="234">
        <f>F11*$C11</f>
        <v>0</v>
      </c>
      <c r="T11" s="234">
        <f>G11*$C11</f>
        <v>55126.902564102566</v>
      </c>
      <c r="U11" s="234">
        <f>H11*$C11</f>
        <v>55126.902564102566</v>
      </c>
      <c r="V11" s="234">
        <f>I11*$C11</f>
        <v>112032.0923076923</v>
      </c>
      <c r="W11" s="234">
        <f>J11*$C11</f>
        <v>53348.615384615390</v>
      </c>
      <c r="X11" s="234">
        <f>K11*$C11</f>
        <v>55126.902564102566</v>
      </c>
      <c r="Y11" s="234">
        <f>L11*$C11</f>
        <v>0</v>
      </c>
      <c r="Z11" s="234">
        <f>M11*$C11</f>
        <v>53348.615384615390</v>
      </c>
      <c r="AA11" s="234">
        <f>N11*$C11</f>
        <v>183163.5794871795</v>
      </c>
      <c r="AB11" s="234">
        <f>O11*$C11</f>
        <v>284525.9487179487</v>
      </c>
      <c r="AC11" s="234">
        <f>P11*$C11</f>
        <v>240068.7692307692</v>
      </c>
      <c r="AD11" s="234">
        <f>Q11*$C11</f>
        <v>284525.9487179487</v>
      </c>
      <c r="AE11" s="234">
        <f>SUM(S11:AD11)</f>
        <v>1376394.276923077</v>
      </c>
    </row>
    <row r="12" ht="13" customHeight="1">
      <c r="A12" t="s" s="225">
        <v>150</v>
      </c>
      <c r="B12" t="s" s="226">
        <v>600</v>
      </c>
      <c r="C12" s="227">
        <v>13.46777777777778</v>
      </c>
      <c r="D12" t="s" s="226">
        <v>594</v>
      </c>
      <c r="E12" t="s" s="226">
        <f>A12&amp;"Lindt actual incoming"</f>
        <v>601</v>
      </c>
      <c r="F12" s="232">
        <f>VLOOKUP($E12,'2017 tablet timeline'!$E1:$Q192,MATCH(F$1,'2017 tablet timeline'!$E$2:$Q$2,0),FALSE)</f>
        <v>11040</v>
      </c>
      <c r="G12" s="233">
        <f>VLOOKUP($E12,'2017 tablet timeline'!$E1:$Q192,MATCH(G$1,'2017 tablet timeline'!$E$2:$Q$2,0),FALSE)</f>
        <v>2160</v>
      </c>
      <c r="H12" s="233">
        <f>VLOOKUP($E12,'2017 tablet timeline'!$E1:$Q192,MATCH(H$1,'2017 tablet timeline'!$E$2:$Q$2,0),FALSE)</f>
        <v>8880</v>
      </c>
      <c r="I12" s="233">
        <f>VLOOKUP($E12,'2017 tablet timeline'!$E1:$Q192,MATCH(I$1,'2017 tablet timeline'!$E$2:$Q$2,0),FALSE)</f>
        <v>18360</v>
      </c>
      <c r="J12" s="233">
        <f>VLOOKUP($E12,'2017 tablet timeline'!$E1:$Q192,MATCH(J$1,'2017 tablet timeline'!$E$2:$Q$2,0),FALSE)</f>
        <v>7680</v>
      </c>
      <c r="K12" s="233">
        <f>VLOOKUP($E12,'2017 tablet timeline'!$E1:$Q192,MATCH(K$1,'2017 tablet timeline'!$E$2:$Q$2,0),FALSE)</f>
        <v>10800</v>
      </c>
      <c r="L12" s="233">
        <f>VLOOKUP($E12,'2017 tablet timeline'!$E1:$Q192,MATCH(L$1,'2017 tablet timeline'!$E$2:$Q$2,0),FALSE)</f>
        <v>4920</v>
      </c>
      <c r="M12" s="233">
        <f>VLOOKUP($E12,'2017 tablet timeline'!$E1:$Q192,MATCH(M$1,'2017 tablet timeline'!$E$2:$Q$2,0),FALSE)</f>
        <v>10800</v>
      </c>
      <c r="N12" s="233">
        <f>VLOOKUP($E12,'2017 tablet timeline'!$E1:$Q192,MATCH(N$1,'2017 tablet timeline'!$E$2:$Q$2,0),FALSE)</f>
        <v>53760</v>
      </c>
      <c r="O12" s="233">
        <f>VLOOKUP($E12,'2017 tablet timeline'!$E1:$Q192,MATCH(O$1,'2017 tablet timeline'!$E$2:$Q$2,0),FALSE)</f>
        <v>50040</v>
      </c>
      <c r="P12" s="233">
        <f>VLOOKUP($E12,'2017 tablet timeline'!$E1:$Q192,MATCH(P$1,'2017 tablet timeline'!$E$2:$Q$2,0),FALSE)</f>
        <v>18000</v>
      </c>
      <c r="Q12" s="233">
        <f>VLOOKUP($E12,'2017 tablet timeline'!$E1:$Q192,MATCH(Q$1,'2017 tablet timeline'!$E$2:$Q$2,0),FALSE)</f>
        <v>36000</v>
      </c>
      <c r="R12" s="233">
        <f>SUM(F12:Q12)</f>
        <v>232440</v>
      </c>
      <c r="S12" s="234">
        <f>F12*$C12</f>
        <v>148684.2666666667</v>
      </c>
      <c r="T12" s="234">
        <f>G12*$C12</f>
        <v>29090.400000000005</v>
      </c>
      <c r="U12" s="234">
        <f>H12*$C12</f>
        <v>119593.8666666667</v>
      </c>
      <c r="V12" s="234">
        <f>I12*$C12</f>
        <v>247268.4000000001</v>
      </c>
      <c r="W12" s="234">
        <f>J12*$C12</f>
        <v>103432.5333333334</v>
      </c>
      <c r="X12" s="234">
        <f>K12*$C12</f>
        <v>145452</v>
      </c>
      <c r="Y12" s="234">
        <f>L12*$C12</f>
        <v>66261.466666666674</v>
      </c>
      <c r="Z12" s="234">
        <f>M12*$C12</f>
        <v>145452</v>
      </c>
      <c r="AA12" s="234">
        <f>N12*$C12</f>
        <v>724027.7333333334</v>
      </c>
      <c r="AB12" s="234">
        <f>O12*$C12</f>
        <v>673927.6000000001</v>
      </c>
      <c r="AC12" s="234">
        <f>P12*$C12</f>
        <v>242420</v>
      </c>
      <c r="AD12" s="234">
        <f>Q12*$C12</f>
        <v>484840.0000000001</v>
      </c>
      <c r="AE12" s="234">
        <f>SUM(S12:AD12)</f>
        <v>3130450.266666667</v>
      </c>
    </row>
    <row r="13" ht="13" customHeight="1">
      <c r="A13" t="s" s="225">
        <v>162</v>
      </c>
      <c r="B13" t="s" s="226">
        <v>602</v>
      </c>
      <c r="C13" s="227">
        <v>14.81905982905983</v>
      </c>
      <c r="D13" t="s" s="226">
        <v>594</v>
      </c>
      <c r="E13" t="s" s="226">
        <f>A13&amp;"Lindt actual incoming"</f>
        <v>603</v>
      </c>
      <c r="F13" s="232">
        <f>VLOOKUP($E13,'2017 tablet timeline'!$E1:$Q192,MATCH(F$1,'2017 tablet timeline'!$E$2:$Q$2,0),FALSE)</f>
        <v>1560</v>
      </c>
      <c r="G13" s="233">
        <f>VLOOKUP($E13,'2017 tablet timeline'!$E1:$Q192,MATCH(G$1,'2017 tablet timeline'!$E$2:$Q$2,0),FALSE)</f>
        <v>9840</v>
      </c>
      <c r="H13" s="233">
        <f>VLOOKUP($E13,'2017 tablet timeline'!$E1:$Q192,MATCH(H$1,'2017 tablet timeline'!$E$2:$Q$2,0),FALSE)</f>
        <v>5520</v>
      </c>
      <c r="I13" s="233">
        <f>VLOOKUP($E13,'2017 tablet timeline'!$E1:$Q192,MATCH(I$1,'2017 tablet timeline'!$E$2:$Q$2,0),FALSE)</f>
        <v>21120</v>
      </c>
      <c r="J13" s="233">
        <f>VLOOKUP($E13,'2017 tablet timeline'!$E1:$Q192,MATCH(J$1,'2017 tablet timeline'!$E$2:$Q$2,0),FALSE)</f>
        <v>6480</v>
      </c>
      <c r="K13" s="233">
        <f>VLOOKUP($E13,'2017 tablet timeline'!$E1:$Q192,MATCH(K$1,'2017 tablet timeline'!$E$2:$Q$2,0),FALSE)</f>
        <v>11400</v>
      </c>
      <c r="L13" s="233">
        <f>VLOOKUP($E13,'2017 tablet timeline'!$E1:$Q192,MATCH(L$1,'2017 tablet timeline'!$E$2:$Q$2,0),FALSE)</f>
        <v>1560</v>
      </c>
      <c r="M13" s="233">
        <f>VLOOKUP($E13,'2017 tablet timeline'!$E1:$Q192,MATCH(M$1,'2017 tablet timeline'!$E$2:$Q$2,0),FALSE)</f>
        <v>0</v>
      </c>
      <c r="N13" s="233">
        <f>VLOOKUP($E13,'2017 tablet timeline'!$E1:$Q192,MATCH(N$1,'2017 tablet timeline'!$E$2:$Q$2,0),FALSE)</f>
        <v>60720</v>
      </c>
      <c r="O13" s="233">
        <f>VLOOKUP($E13,'2017 tablet timeline'!$E1:$Q192,MATCH(O$1,'2017 tablet timeline'!$E$2:$Q$2,0),FALSE)</f>
        <v>60240</v>
      </c>
      <c r="P13" s="233">
        <f>VLOOKUP($E13,'2017 tablet timeline'!$E1:$Q192,MATCH(P$1,'2017 tablet timeline'!$E$2:$Q$2,0),FALSE)</f>
        <v>63600</v>
      </c>
      <c r="Q13" s="233">
        <f>VLOOKUP($E13,'2017 tablet timeline'!$E1:$Q192,MATCH(Q$1,'2017 tablet timeline'!$E$2:$Q$2,0),FALSE)</f>
        <v>54000</v>
      </c>
      <c r="R13" s="233">
        <f>SUM(F13:Q13)</f>
        <v>296040</v>
      </c>
      <c r="S13" s="234">
        <f>F13*$C13</f>
        <v>23117.733333333334</v>
      </c>
      <c r="T13" s="234">
        <f>G13*$C13</f>
        <v>145819.5487179487</v>
      </c>
      <c r="U13" s="234">
        <f>H13*$C13</f>
        <v>81801.210256410268</v>
      </c>
      <c r="V13" s="234">
        <f>I13*$C13</f>
        <v>312978.5435897436</v>
      </c>
      <c r="W13" s="234">
        <f>J13*$C13</f>
        <v>96027.5076923077</v>
      </c>
      <c r="X13" s="234">
        <f>K13*$C13</f>
        <v>168937.2820512821</v>
      </c>
      <c r="Y13" s="234">
        <f>L13*$C13</f>
        <v>23117.733333333334</v>
      </c>
      <c r="Z13" s="234">
        <f>M13*$C13</f>
        <v>0</v>
      </c>
      <c r="AA13" s="234">
        <f>N13*$C13</f>
        <v>899813.3128205129</v>
      </c>
      <c r="AB13" s="234">
        <f>O13*$C13</f>
        <v>892700.1641025641</v>
      </c>
      <c r="AC13" s="234">
        <f>P13*$C13</f>
        <v>942492.2051282051</v>
      </c>
      <c r="AD13" s="234">
        <f>Q13*$C13</f>
        <v>800229.2307692309</v>
      </c>
      <c r="AE13" s="234">
        <f>SUM(S13:AD13)</f>
        <v>4387034.471794872</v>
      </c>
    </row>
    <row r="14" ht="13" customHeight="1">
      <c r="A14" t="s" s="225">
        <v>174</v>
      </c>
      <c r="B14" t="s" s="226">
        <v>604</v>
      </c>
      <c r="C14" s="227">
        <v>17.9724438113327</v>
      </c>
      <c r="D14" t="s" s="226">
        <v>594</v>
      </c>
      <c r="E14" t="s" s="226">
        <f>A14&amp;"Lindt actual incoming"</f>
        <v>605</v>
      </c>
      <c r="F14" s="232">
        <f>VLOOKUP($E14,'2017 tablet timeline'!$E1:$Q192,MATCH(F$1,'2017 tablet timeline'!$E$2:$Q$2,0),FALSE)</f>
        <v>2808</v>
      </c>
      <c r="G14" s="233">
        <f>VLOOKUP($E14,'2017 tablet timeline'!$E1:$Q192,MATCH(G$1,'2017 tablet timeline'!$E$2:$Q$2,0),FALSE)</f>
        <v>4752</v>
      </c>
      <c r="H14" s="233">
        <f>VLOOKUP($E14,'2017 tablet timeline'!$E1:$Q192,MATCH(H$1,'2017 tablet timeline'!$E$2:$Q$2,0),FALSE)</f>
        <v>4968</v>
      </c>
      <c r="I14" s="233">
        <f>VLOOKUP($E14,'2017 tablet timeline'!$E1:$Q192,MATCH(I$1,'2017 tablet timeline'!$E$2:$Q$2,0),FALSE)</f>
        <v>7452</v>
      </c>
      <c r="J14" s="233">
        <f>VLOOKUP($E14,'2017 tablet timeline'!$E1:$Q192,MATCH(J$1,'2017 tablet timeline'!$E$2:$Q$2,0),FALSE)</f>
        <v>5832</v>
      </c>
      <c r="K14" s="233">
        <f>VLOOKUP($E14,'2017 tablet timeline'!$E1:$Q192,MATCH(K$1,'2017 tablet timeline'!$E$2:$Q$2,0),FALSE)</f>
        <v>4428</v>
      </c>
      <c r="L14" s="233">
        <f>VLOOKUP($E14,'2017 tablet timeline'!$E1:$Q192,MATCH(L$1,'2017 tablet timeline'!$E$2:$Q$2,0),FALSE)</f>
        <v>0</v>
      </c>
      <c r="M14" s="233">
        <f>VLOOKUP($E14,'2017 tablet timeline'!$E1:$Q192,MATCH(M$1,'2017 tablet timeline'!$E$2:$Q$2,0),FALSE)</f>
        <v>14040</v>
      </c>
      <c r="N14" s="233">
        <f>VLOOKUP($E14,'2017 tablet timeline'!$E1:$Q192,MATCH(N$1,'2017 tablet timeline'!$E$2:$Q$2,0),FALSE)</f>
        <v>45576</v>
      </c>
      <c r="O14" s="233">
        <f>VLOOKUP($E14,'2017 tablet timeline'!$E1:$Q192,MATCH(O$1,'2017 tablet timeline'!$E$2:$Q$2,0),FALSE)</f>
        <v>43200</v>
      </c>
      <c r="P14" s="233">
        <f>VLOOKUP($E14,'2017 tablet timeline'!$E1:$Q192,MATCH(P$1,'2017 tablet timeline'!$E$2:$Q$2,0),FALSE)</f>
        <v>41040</v>
      </c>
      <c r="Q14" s="233">
        <f>VLOOKUP($E14,'2017 tablet timeline'!$E1:$Q192,MATCH(Q$1,'2017 tablet timeline'!$E$2:$Q$2,0),FALSE)</f>
        <v>34560</v>
      </c>
      <c r="R14" s="233">
        <f>SUM(F14:Q14)</f>
        <v>208656</v>
      </c>
      <c r="S14" s="234">
        <f>F14*$C14</f>
        <v>50466.622222222220</v>
      </c>
      <c r="T14" s="234">
        <f>G14*$C14</f>
        <v>85405.052991452991</v>
      </c>
      <c r="U14" s="234">
        <f>H14*$C14</f>
        <v>89287.100854700853</v>
      </c>
      <c r="V14" s="234">
        <f>I14*$C14</f>
        <v>133930.6512820513</v>
      </c>
      <c r="W14" s="234">
        <f>J14*$C14</f>
        <v>104815.2923076923</v>
      </c>
      <c r="X14" s="234">
        <f>K14*$C14</f>
        <v>79581.9811965812</v>
      </c>
      <c r="Y14" s="234">
        <f>L14*$C14</f>
        <v>0</v>
      </c>
      <c r="Z14" s="234">
        <f>M14*$C14</f>
        <v>252333.1111111111</v>
      </c>
      <c r="AA14" s="234">
        <f>N14*$C14</f>
        <v>819112.0991452991</v>
      </c>
      <c r="AB14" s="234">
        <f>O14*$C14</f>
        <v>776409.5726495726</v>
      </c>
      <c r="AC14" s="234">
        <f>P14*$C14</f>
        <v>737589.094017094</v>
      </c>
      <c r="AD14" s="234">
        <f>Q14*$C14</f>
        <v>621127.6581196581</v>
      </c>
      <c r="AE14" s="234">
        <f>SUM(S14:AD14)</f>
        <v>3750058.235897436</v>
      </c>
    </row>
    <row r="15" ht="13" customHeight="1">
      <c r="A15" t="s" s="225">
        <v>211</v>
      </c>
      <c r="B15" t="s" s="226">
        <v>212</v>
      </c>
      <c r="C15" s="227">
        <v>11.2238841405508</v>
      </c>
      <c r="D15" t="s" s="226">
        <v>606</v>
      </c>
      <c r="E15" t="s" s="226">
        <f>A15&amp;"Lindt actual incoming"</f>
        <v>607</v>
      </c>
      <c r="F15" s="232">
        <f>VLOOKUP($E15,'2017 Lindor timeline'!$E1:$R325,MATCH(F$1,'2017 Lindor timeline'!$E$2:$R$2,0),FALSE)</f>
        <v>0</v>
      </c>
      <c r="G15" s="233">
        <f>VLOOKUP($E15,'2017 Lindor timeline'!$E1:$R325,MATCH(G$1,'2017 Lindor timeline'!$E$2:$R$2,0),FALSE)</f>
        <v>0</v>
      </c>
      <c r="H15" s="233">
        <f>VLOOKUP($E15,'2017 Lindor timeline'!$E1:$R325,MATCH(H$1,'2017 Lindor timeline'!$E$2:$R$2,0),FALSE)</f>
        <v>0</v>
      </c>
      <c r="I15" s="233">
        <f>VLOOKUP($E15,'2017 Lindor timeline'!$E1:$R325,MATCH(I$1,'2017 Lindor timeline'!$E$2:$R$2,0),FALSE)</f>
        <v>0</v>
      </c>
      <c r="J15" s="233">
        <f>VLOOKUP($E15,'2017 Lindor timeline'!$E1:$R325,MATCH(J$1,'2017 Lindor timeline'!$E$2:$R$2,0),FALSE)</f>
        <v>0</v>
      </c>
      <c r="K15" s="233">
        <f>VLOOKUP($E15,'2017 Lindor timeline'!$E1:$R325,MATCH(K$1,'2017 Lindor timeline'!$E$2:$R$2,0),FALSE)</f>
        <v>0</v>
      </c>
      <c r="L15" s="233">
        <f>VLOOKUP($E15,'2017 Lindor timeline'!$E1:$R325,MATCH(L$1,'2017 Lindor timeline'!$E$2:$R$2,0),FALSE)</f>
        <v>0</v>
      </c>
      <c r="M15" s="233">
        <f>VLOOKUP($E15,'2017 Lindor timeline'!$E1:$R325,MATCH(M$1,'2017 Lindor timeline'!$E$2:$R$2,0),FALSE)</f>
        <v>0</v>
      </c>
      <c r="N15" s="233">
        <f>VLOOKUP($E15,'2017 Lindor timeline'!$E1:$R325,MATCH(N$1,'2017 Lindor timeline'!$E$2:$R$2,0),FALSE)</f>
        <v>18144</v>
      </c>
      <c r="O15" s="233">
        <f>VLOOKUP($E15,'2017 Lindor timeline'!$E1:$R325,MATCH(O$1,'2017 Lindor timeline'!$E$2:$R$2,0),FALSE)</f>
        <v>8352</v>
      </c>
      <c r="P15" s="233">
        <f>VLOOKUP($E15,'2017 Lindor timeline'!$E1:$R325,MATCH(P$1,'2017 Lindor timeline'!$E$2:$R$2,0),FALSE)</f>
        <v>15840</v>
      </c>
      <c r="Q15" s="233">
        <f>VLOOKUP($E15,'2017 Lindor timeline'!$E1:$R325,MATCH(Q$1,'2017 Lindor timeline'!$E$2:$R$2,0),FALSE)</f>
        <v>14400</v>
      </c>
      <c r="R15" s="233">
        <f>SUM(F15:Q15)</f>
        <v>56736</v>
      </c>
      <c r="S15" s="234">
        <f>F15*$C15</f>
        <v>0</v>
      </c>
      <c r="T15" s="234">
        <f>G15*$C15</f>
        <v>0</v>
      </c>
      <c r="U15" s="234">
        <f>H15*$C15</f>
        <v>0</v>
      </c>
      <c r="V15" s="234">
        <f>I15*$C15</f>
        <v>0</v>
      </c>
      <c r="W15" s="234">
        <f>J15*$C15</f>
        <v>0</v>
      </c>
      <c r="X15" s="234">
        <f>K15*$C15</f>
        <v>0</v>
      </c>
      <c r="Y15" s="234">
        <f>L15*$C15</f>
        <v>0</v>
      </c>
      <c r="Z15" s="234">
        <f>M15*$C15</f>
        <v>0</v>
      </c>
      <c r="AA15" s="234">
        <f>N15*$C15</f>
        <v>203646.1538461537</v>
      </c>
      <c r="AB15" s="234">
        <f>O15*$C15</f>
        <v>93741.880341880271</v>
      </c>
      <c r="AC15" s="234">
        <f>P15*$C15</f>
        <v>177786.3247863247</v>
      </c>
      <c r="AD15" s="234">
        <f>Q15*$C15</f>
        <v>161623.9316239315</v>
      </c>
      <c r="AE15" s="234">
        <f>SUM(S15:AD15)</f>
        <v>636798.2905982902</v>
      </c>
    </row>
    <row r="16" ht="13" customHeight="1">
      <c r="A16" t="s" s="225">
        <v>223</v>
      </c>
      <c r="B16" t="s" s="226">
        <v>224</v>
      </c>
      <c r="C16" s="227">
        <v>11.22388414055081</v>
      </c>
      <c r="D16" t="s" s="226">
        <v>606</v>
      </c>
      <c r="E16" t="s" s="226">
        <f>A16&amp;"Lindt actual incoming"</f>
        <v>608</v>
      </c>
      <c r="F16" s="232">
        <f>VLOOKUP($E16,'2017 Lindor timeline'!$E1:$R325,MATCH(F$1,'2017 Lindor timeline'!$E$2:$R$2,0),FALSE)</f>
        <v>0</v>
      </c>
      <c r="G16" s="233">
        <f>VLOOKUP($E16,'2017 Lindor timeline'!$E1:$R325,MATCH(G$1,'2017 Lindor timeline'!$E$2:$R$2,0),FALSE)</f>
        <v>0</v>
      </c>
      <c r="H16" s="233">
        <f>VLOOKUP($E16,'2017 Lindor timeline'!$E1:$R325,MATCH(H$1,'2017 Lindor timeline'!$E$2:$R$2,0),FALSE)</f>
        <v>0</v>
      </c>
      <c r="I16" s="233">
        <f>VLOOKUP($E16,'2017 Lindor timeline'!$E1:$R325,MATCH(I$1,'2017 Lindor timeline'!$E$2:$R$2,0),FALSE)</f>
        <v>0</v>
      </c>
      <c r="J16" s="233">
        <f>VLOOKUP($E16,'2017 Lindor timeline'!$E1:$R325,MATCH(J$1,'2017 Lindor timeline'!$E$2:$R$2,0),FALSE)</f>
        <v>0</v>
      </c>
      <c r="K16" s="233">
        <f>VLOOKUP($E16,'2017 Lindor timeline'!$E1:$R325,MATCH(K$1,'2017 Lindor timeline'!$E$2:$R$2,0),FALSE)</f>
        <v>0</v>
      </c>
      <c r="L16" s="233">
        <f>VLOOKUP($E16,'2017 Lindor timeline'!$E1:$R325,MATCH(L$1,'2017 Lindor timeline'!$E$2:$R$2,0),FALSE)</f>
        <v>0</v>
      </c>
      <c r="M16" s="233">
        <f>VLOOKUP($E16,'2017 Lindor timeline'!$E1:$R325,MATCH(M$1,'2017 Lindor timeline'!$E$2:$R$2,0),FALSE)</f>
        <v>0</v>
      </c>
      <c r="N16" s="233">
        <f>VLOOKUP($E16,'2017 Lindor timeline'!$E1:$R325,MATCH(N$1,'2017 Lindor timeline'!$E$2:$R$2,0),FALSE)</f>
        <v>10944</v>
      </c>
      <c r="O16" s="233">
        <f>VLOOKUP($E16,'2017 Lindor timeline'!$E1:$R325,MATCH(O$1,'2017 Lindor timeline'!$E$2:$R$2,0),FALSE)</f>
        <v>7200</v>
      </c>
      <c r="P16" s="233">
        <f>VLOOKUP($E16,'2017 Lindor timeline'!$E1:$R325,MATCH(P$1,'2017 Lindor timeline'!$E$2:$R$2,0),FALSE)</f>
        <v>11520</v>
      </c>
      <c r="Q16" s="233">
        <f>VLOOKUP($E16,'2017 Lindor timeline'!$E1:$Q325,MATCH(Q$1,'2017 Lindor timeline'!$F$2:$R$2,0),FALSE)</f>
        <v>11520</v>
      </c>
      <c r="R16" s="233">
        <f>SUM(F16:Q16)</f>
        <v>41184</v>
      </c>
      <c r="S16" s="234">
        <f>F16*$C16</f>
        <v>0</v>
      </c>
      <c r="T16" s="234">
        <f>G16*$C16</f>
        <v>0</v>
      </c>
      <c r="U16" s="234">
        <f>H16*$C16</f>
        <v>0</v>
      </c>
      <c r="V16" s="234">
        <f>I16*$C16</f>
        <v>0</v>
      </c>
      <c r="W16" s="234">
        <f>J16*$C16</f>
        <v>0</v>
      </c>
      <c r="X16" s="234">
        <f>K16*$C16</f>
        <v>0</v>
      </c>
      <c r="Y16" s="234">
        <f>L16*$C16</f>
        <v>0</v>
      </c>
      <c r="Z16" s="234">
        <f>M16*$C16</f>
        <v>0</v>
      </c>
      <c r="AA16" s="234">
        <f>N16*$C16</f>
        <v>122834.1880341881</v>
      </c>
      <c r="AB16" s="234">
        <f>O16*$C16</f>
        <v>80811.965811965827</v>
      </c>
      <c r="AC16" s="234">
        <f>P16*$C16</f>
        <v>129299.1452991453</v>
      </c>
      <c r="AD16" s="234">
        <f>Q16*$C16</f>
        <v>129299.1452991453</v>
      </c>
      <c r="AE16" s="234">
        <f>SUM(S16:AD16)</f>
        <v>462244.4444444445</v>
      </c>
    </row>
    <row r="17" ht="13" customHeight="1">
      <c r="A17" t="s" s="225">
        <v>235</v>
      </c>
      <c r="B17" t="s" s="226">
        <v>236</v>
      </c>
      <c r="C17" s="227">
        <v>11.22388414055081</v>
      </c>
      <c r="D17" t="s" s="226">
        <v>606</v>
      </c>
      <c r="E17" t="s" s="226">
        <f>A17&amp;"Lindt actual incoming"</f>
        <v>609</v>
      </c>
      <c r="F17" s="232">
        <f>VLOOKUP($E17,'2017 Lindor timeline'!$E1:$R325,MATCH(F$1,'2017 Lindor timeline'!$E$2:$R$2,0),FALSE)</f>
        <v>0</v>
      </c>
      <c r="G17" s="233">
        <f>VLOOKUP($E17,'2017 Lindor timeline'!$E1:$R325,MATCH(G$1,'2017 Lindor timeline'!$E$2:$R$2,0),FALSE)</f>
        <v>0</v>
      </c>
      <c r="H17" s="233">
        <f>VLOOKUP($E17,'2017 Lindor timeline'!$E1:$R325,MATCH(H$1,'2017 Lindor timeline'!$E$2:$R$2,0),FALSE)</f>
        <v>0</v>
      </c>
      <c r="I17" s="233">
        <f>VLOOKUP($E17,'2017 Lindor timeline'!$E1:$R325,MATCH(I$1,'2017 Lindor timeline'!$E$2:$R$2,0),FALSE)</f>
        <v>0</v>
      </c>
      <c r="J17" s="233">
        <f>VLOOKUP($E17,'2017 Lindor timeline'!$E1:$R325,MATCH(J$1,'2017 Lindor timeline'!$E$2:$R$2,0),FALSE)</f>
        <v>0</v>
      </c>
      <c r="K17" s="233">
        <f>VLOOKUP($E17,'2017 Lindor timeline'!$E1:$R325,MATCH(K$1,'2017 Lindor timeline'!$E$2:$R$2,0),FALSE)</f>
        <v>0</v>
      </c>
      <c r="L17" s="233">
        <f>VLOOKUP($E17,'2017 Lindor timeline'!$E1:$R325,MATCH(L$1,'2017 Lindor timeline'!$E$2:$R$2,0),FALSE)</f>
        <v>0</v>
      </c>
      <c r="M17" s="233">
        <f>VLOOKUP($E17,'2017 Lindor timeline'!$E1:$R325,MATCH(M$1,'2017 Lindor timeline'!$E$2:$R$2,0),FALSE)</f>
        <v>0</v>
      </c>
      <c r="N17" s="233">
        <f>VLOOKUP($E17,'2017 Lindor timeline'!$E1:$R325,MATCH(N$1,'2017 Lindor timeline'!$E$2:$R$2,0),FALSE)</f>
        <v>9504</v>
      </c>
      <c r="O17" s="233">
        <f>VLOOKUP($E17,'2017 Lindor timeline'!$E1:$R325,MATCH(O$1,'2017 Lindor timeline'!$E$2:$R$2,0),FALSE)</f>
        <v>10080</v>
      </c>
      <c r="P17" s="233">
        <f>VLOOKUP($E17,'2017 Lindor timeline'!$E1:$R325,MATCH(P$1,'2017 Lindor timeline'!$E$2:$R$2,0),FALSE)</f>
        <v>12960</v>
      </c>
      <c r="Q17" s="233">
        <f>VLOOKUP($E17,'2017 Lindor timeline'!$E1:$Q325,MATCH(Q$1,'2017 Lindor timeline'!$F$2:$R$2,0),FALSE)</f>
        <v>12960</v>
      </c>
      <c r="R17" s="233">
        <f>SUM(F17:Q17)</f>
        <v>45504</v>
      </c>
      <c r="S17" s="234">
        <f>F17*$C17</f>
        <v>0</v>
      </c>
      <c r="T17" s="234">
        <f>G17*$C17</f>
        <v>0</v>
      </c>
      <c r="U17" s="234">
        <f>H17*$C17</f>
        <v>0</v>
      </c>
      <c r="V17" s="234">
        <f>I17*$C17</f>
        <v>0</v>
      </c>
      <c r="W17" s="234">
        <f>J17*$C17</f>
        <v>0</v>
      </c>
      <c r="X17" s="234">
        <f>K17*$C17</f>
        <v>0</v>
      </c>
      <c r="Y17" s="234">
        <f>L17*$C17</f>
        <v>0</v>
      </c>
      <c r="Z17" s="234">
        <f>M17*$C17</f>
        <v>0</v>
      </c>
      <c r="AA17" s="234">
        <f>N17*$C17</f>
        <v>106671.7948717949</v>
      </c>
      <c r="AB17" s="234">
        <f>O17*$C17</f>
        <v>113136.7521367522</v>
      </c>
      <c r="AC17" s="234">
        <f>P17*$C17</f>
        <v>145461.5384615385</v>
      </c>
      <c r="AD17" s="234">
        <f>Q17*$C17</f>
        <v>145461.5384615385</v>
      </c>
      <c r="AE17" s="234">
        <f>SUM(S17:AD17)</f>
        <v>510731.6239316241</v>
      </c>
    </row>
    <row r="18" ht="13" customHeight="1">
      <c r="A18" t="s" s="225">
        <v>247</v>
      </c>
      <c r="B18" t="s" s="226">
        <v>248</v>
      </c>
      <c r="C18" s="227">
        <v>11.2238841405508</v>
      </c>
      <c r="D18" t="s" s="226">
        <v>606</v>
      </c>
      <c r="E18" t="s" s="226">
        <f>A18&amp;"Lindt actual incoming"</f>
        <v>610</v>
      </c>
      <c r="F18" s="232">
        <f>VLOOKUP($E18,'2017 Lindor timeline'!$E1:$R325,MATCH(F$1,'2017 Lindor timeline'!$E$2:$R$2,0),FALSE)</f>
        <v>0</v>
      </c>
      <c r="G18" s="233">
        <f>VLOOKUP($E18,'2017 Lindor timeline'!$E1:$R325,MATCH(G$1,'2017 Lindor timeline'!$E$2:$R$2,0),FALSE)</f>
        <v>0</v>
      </c>
      <c r="H18" s="233">
        <f>VLOOKUP($E18,'2017 Lindor timeline'!$E1:$R325,MATCH(H$1,'2017 Lindor timeline'!$E$2:$R$2,0),FALSE)</f>
        <v>0</v>
      </c>
      <c r="I18" s="233">
        <f>VLOOKUP($E18,'2017 Lindor timeline'!$E1:$R325,MATCH(I$1,'2017 Lindor timeline'!$E$2:$R$2,0),FALSE)</f>
        <v>0</v>
      </c>
      <c r="J18" s="233">
        <f>VLOOKUP($E18,'2017 Lindor timeline'!$E1:$R325,MATCH(J$1,'2017 Lindor timeline'!$E$2:$R$2,0),FALSE)</f>
        <v>0</v>
      </c>
      <c r="K18" s="233">
        <f>VLOOKUP($E18,'2017 Lindor timeline'!$E1:$R325,MATCH(K$1,'2017 Lindor timeline'!$E$2:$R$2,0),FALSE)</f>
        <v>0</v>
      </c>
      <c r="L18" s="233">
        <f>VLOOKUP($E18,'2017 Lindor timeline'!$E1:$R325,MATCH(L$1,'2017 Lindor timeline'!$E$2:$R$2,0),FALSE)</f>
        <v>0</v>
      </c>
      <c r="M18" s="233">
        <f>VLOOKUP($E18,'2017 Lindor timeline'!$E1:$R325,MATCH(M$1,'2017 Lindor timeline'!$E$2:$R$2,0),FALSE)</f>
        <v>0</v>
      </c>
      <c r="N18" s="233">
        <f>VLOOKUP($E18,'2017 Lindor timeline'!$E1:$R325,MATCH(N$1,'2017 Lindor timeline'!$E$2:$R$2,0),FALSE)</f>
        <v>15408</v>
      </c>
      <c r="O18" s="233">
        <f>VLOOKUP($E18,'2017 Lindor timeline'!$E1:$R325,MATCH(O$1,'2017 Lindor timeline'!$E$2:$R$2,0),FALSE)</f>
        <v>2880</v>
      </c>
      <c r="P18" s="233">
        <f>VLOOKUP($E18,'2017 Lindor timeline'!$E1:$R325,MATCH(P$1,'2017 Lindor timeline'!$E$2:$R$2,0),FALSE)</f>
        <v>11520</v>
      </c>
      <c r="Q18" s="233">
        <f>VLOOKUP($E18,'2017 Lindor timeline'!$E1:$Q325,MATCH(Q$1,'2017 Lindor timeline'!$F$2:$R$2,0),FALSE)</f>
        <v>11520</v>
      </c>
      <c r="R18" s="233">
        <f>SUM(F18:Q18)</f>
        <v>41328</v>
      </c>
      <c r="S18" s="234">
        <f>F18*$C18</f>
        <v>0</v>
      </c>
      <c r="T18" s="234">
        <f>G18*$C18</f>
        <v>0</v>
      </c>
      <c r="U18" s="234">
        <f>H18*$C18</f>
        <v>0</v>
      </c>
      <c r="V18" s="234">
        <f>I18*$C18</f>
        <v>0</v>
      </c>
      <c r="W18" s="234">
        <f>J18*$C18</f>
        <v>0</v>
      </c>
      <c r="X18" s="234">
        <f>K18*$C18</f>
        <v>0</v>
      </c>
      <c r="Y18" s="234">
        <f>L18*$C18</f>
        <v>0</v>
      </c>
      <c r="Z18" s="234">
        <f>M18*$C18</f>
        <v>0</v>
      </c>
      <c r="AA18" s="234">
        <f>N18*$C18</f>
        <v>172937.6068376067</v>
      </c>
      <c r="AB18" s="234">
        <f>O18*$C18</f>
        <v>32324.7863247863</v>
      </c>
      <c r="AC18" s="234">
        <f>P18*$C18</f>
        <v>129299.1452991452</v>
      </c>
      <c r="AD18" s="234">
        <f>Q18*$C18</f>
        <v>129299.1452991452</v>
      </c>
      <c r="AE18" s="234">
        <f>SUM(S18:AD18)</f>
        <v>463860.6837606835</v>
      </c>
    </row>
    <row r="19" ht="13" customHeight="1">
      <c r="A19" t="s" s="225">
        <v>259</v>
      </c>
      <c r="B19" t="s" s="226">
        <v>260</v>
      </c>
      <c r="C19" s="227">
        <v>39.24123076923077</v>
      </c>
      <c r="D19" t="s" s="226">
        <v>611</v>
      </c>
      <c r="E19" t="s" s="226">
        <f>A19&amp;"Lindt actual incoming"</f>
        <v>612</v>
      </c>
      <c r="F19" s="232">
        <f>VLOOKUP($E19,'2017 Lindor timeline'!$E1:$R325,MATCH(F$1,'2017 Lindor timeline'!$E$2:$R$2,0),FALSE)</f>
        <v>0</v>
      </c>
      <c r="G19" s="233">
        <f>VLOOKUP($E19,'2017 Lindor timeline'!$E1:$R325,MATCH(G$1,'2017 Lindor timeline'!$E$2:$R$2,0),FALSE)</f>
        <v>0</v>
      </c>
      <c r="H19" s="233">
        <f>VLOOKUP($E19,'2017 Lindor timeline'!$E1:$R325,MATCH(H$1,'2017 Lindor timeline'!$E$2:$R$2,0),FALSE)</f>
        <v>0</v>
      </c>
      <c r="I19" s="233">
        <f>VLOOKUP($E19,'2017 Lindor timeline'!$E1:$R325,MATCH(I$1,'2017 Lindor timeline'!$E$2:$R$2,0),FALSE)</f>
        <v>0</v>
      </c>
      <c r="J19" s="233">
        <f>VLOOKUP($E19,'2017 Lindor timeline'!$E1:$R325,MATCH(J$1,'2017 Lindor timeline'!$E$2:$R$2,0),FALSE)</f>
        <v>0</v>
      </c>
      <c r="K19" s="233">
        <f>VLOOKUP($E19,'2017 Lindor timeline'!$E1:$R325,MATCH(K$1,'2017 Lindor timeline'!$E$2:$R$2,0),FALSE)</f>
        <v>0</v>
      </c>
      <c r="L19" s="233">
        <f>VLOOKUP($E19,'2017 Lindor timeline'!$E1:$R325,MATCH(L$1,'2017 Lindor timeline'!$E$2:$R$2,0),FALSE)</f>
        <v>0</v>
      </c>
      <c r="M19" s="233">
        <f>VLOOKUP($E19,'2017 Lindor timeline'!$E1:$R325,MATCH(M$1,'2017 Lindor timeline'!$E$2:$R$2,0),FALSE)</f>
        <v>14000</v>
      </c>
      <c r="N19" s="233">
        <f>VLOOKUP($E19,'2017 Lindor timeline'!$E1:$R325,MATCH(N$1,'2017 Lindor timeline'!$E$2:$R$2,0),FALSE)</f>
        <v>29000</v>
      </c>
      <c r="O19" s="233">
        <f>VLOOKUP($E19,'2017 Lindor timeline'!$E1:$R325,MATCH(O$1,'2017 Lindor timeline'!$E$2:$R$2,0),FALSE)</f>
        <v>32000</v>
      </c>
      <c r="P19" s="233">
        <f>VLOOKUP($E19,'2017 Lindor timeline'!$E1:$R325,MATCH(P$1,'2017 Lindor timeline'!$E$2:$R$2,0),FALSE)</f>
        <v>48000</v>
      </c>
      <c r="Q19" s="233">
        <f>VLOOKUP($E19,'2017 Lindor timeline'!$E1:$Q325,MATCH(Q$1,'2017 Lindor timeline'!$F$2:$R$2,0),FALSE)</f>
        <v>48000</v>
      </c>
      <c r="R19" s="233">
        <f>SUM(F19:Q19)</f>
        <v>171000</v>
      </c>
      <c r="S19" s="234">
        <f>F19*$C19</f>
        <v>0</v>
      </c>
      <c r="T19" s="234">
        <f>G19*$C19</f>
        <v>0</v>
      </c>
      <c r="U19" s="234">
        <f>H19*$C19</f>
        <v>0</v>
      </c>
      <c r="V19" s="234">
        <f>I19*$C19</f>
        <v>0</v>
      </c>
      <c r="W19" s="234">
        <f>J19*$C19</f>
        <v>0</v>
      </c>
      <c r="X19" s="234">
        <f>K19*$C19</f>
        <v>0</v>
      </c>
      <c r="Y19" s="234">
        <f>L19*$C19</f>
        <v>0</v>
      </c>
      <c r="Z19" s="234">
        <f>M19*$C19</f>
        <v>549377.2307692308</v>
      </c>
      <c r="AA19" s="234">
        <f>N19*$C19</f>
        <v>1137995.692307692</v>
      </c>
      <c r="AB19" s="234">
        <f>O19*$C19</f>
        <v>1255719.384615385</v>
      </c>
      <c r="AC19" s="234">
        <f>P19*$C19</f>
        <v>1883579.076923077</v>
      </c>
      <c r="AD19" s="234">
        <f>Q19*$C19</f>
        <v>1883579.076923077</v>
      </c>
      <c r="AE19" s="234">
        <f>SUM(S19:AD19)</f>
        <v>6710250.461538461</v>
      </c>
    </row>
    <row r="20" ht="13" customHeight="1">
      <c r="A20" t="s" s="225">
        <v>271</v>
      </c>
      <c r="B20" t="s" s="226">
        <v>272</v>
      </c>
      <c r="C20" s="227">
        <v>39.24123076923077</v>
      </c>
      <c r="D20" t="s" s="226">
        <v>611</v>
      </c>
      <c r="E20" t="s" s="226">
        <f>A20&amp;"Lindt actual incoming"</f>
        <v>613</v>
      </c>
      <c r="F20" s="232">
        <f>VLOOKUP($E20,'2017 Lindor timeline'!$E1:$R325,MATCH(F$1,'2017 Lindor timeline'!$E$2:$R$2,0),FALSE)</f>
        <v>0</v>
      </c>
      <c r="G20" s="233">
        <f>VLOOKUP($E20,'2017 Lindor timeline'!$E1:$R325,MATCH(G$1,'2017 Lindor timeline'!$E$2:$R$2,0),FALSE)</f>
        <v>0</v>
      </c>
      <c r="H20" s="233">
        <f>VLOOKUP($E20,'2017 Lindor timeline'!$E1:$R325,MATCH(H$1,'2017 Lindor timeline'!$E$2:$R$2,0),FALSE)</f>
        <v>0</v>
      </c>
      <c r="I20" s="233">
        <f>VLOOKUP($E20,'2017 Lindor timeline'!$E1:$R325,MATCH(I$1,'2017 Lindor timeline'!$E$2:$R$2,0),FALSE)</f>
        <v>0</v>
      </c>
      <c r="J20" s="233">
        <f>VLOOKUP($E20,'2017 Lindor timeline'!$E1:$R325,MATCH(J$1,'2017 Lindor timeline'!$E$2:$R$2,0),FALSE)</f>
        <v>0</v>
      </c>
      <c r="K20" s="233">
        <f>VLOOKUP($E20,'2017 Lindor timeline'!$E1:$R325,MATCH(K$1,'2017 Lindor timeline'!$E$2:$R$2,0),FALSE)</f>
        <v>0</v>
      </c>
      <c r="L20" s="233">
        <f>VLOOKUP($E20,'2017 Lindor timeline'!$E1:$R325,MATCH(L$1,'2017 Lindor timeline'!$E$2:$R$2,0),FALSE)</f>
        <v>0</v>
      </c>
      <c r="M20" s="233">
        <f>VLOOKUP($E20,'2017 Lindor timeline'!$E1:$R325,MATCH(M$1,'2017 Lindor timeline'!$E$2:$R$2,0),FALSE)</f>
        <v>6000</v>
      </c>
      <c r="N20" s="233">
        <f>VLOOKUP($E20,'2017 Lindor timeline'!$E1:$R325,MATCH(N$1,'2017 Lindor timeline'!$E$2:$R$2,0),FALSE)</f>
        <v>11000</v>
      </c>
      <c r="O20" s="233">
        <f>VLOOKUP($E20,'2017 Lindor timeline'!$E1:$R325,MATCH(O$1,'2017 Lindor timeline'!$E$2:$R$2,0),FALSE)</f>
        <v>13000</v>
      </c>
      <c r="P20" s="233">
        <f>VLOOKUP($E20,'2017 Lindor timeline'!$E1:$R325,MATCH(P$1,'2017 Lindor timeline'!$E$2:$R$2,0),FALSE)</f>
        <v>19000</v>
      </c>
      <c r="Q20" s="233">
        <f>VLOOKUP($E20,'2017 Lindor timeline'!$E1:$Q325,MATCH(Q$1,'2017 Lindor timeline'!$F$2:$R$2,0),FALSE)</f>
        <v>19000</v>
      </c>
      <c r="R20" s="233">
        <f>SUM(F20:Q20)</f>
        <v>68000</v>
      </c>
      <c r="S20" s="234">
        <f>F20*$C20</f>
        <v>0</v>
      </c>
      <c r="T20" s="234">
        <f>G20*$C20</f>
        <v>0</v>
      </c>
      <c r="U20" s="234">
        <f>H20*$C20</f>
        <v>0</v>
      </c>
      <c r="V20" s="234">
        <f>I20*$C20</f>
        <v>0</v>
      </c>
      <c r="W20" s="234">
        <f>J20*$C20</f>
        <v>0</v>
      </c>
      <c r="X20" s="234">
        <f>K20*$C20</f>
        <v>0</v>
      </c>
      <c r="Y20" s="234">
        <f>L20*$C20</f>
        <v>0</v>
      </c>
      <c r="Z20" s="234">
        <f>M20*$C20</f>
        <v>235447.3846153846</v>
      </c>
      <c r="AA20" s="234">
        <f>N20*$C20</f>
        <v>431653.5384615384</v>
      </c>
      <c r="AB20" s="234">
        <f>O20*$C20</f>
        <v>510136</v>
      </c>
      <c r="AC20" s="234">
        <f>P20*$C20</f>
        <v>745583.3846153846</v>
      </c>
      <c r="AD20" s="234">
        <f>Q20*$C20</f>
        <v>745583.3846153846</v>
      </c>
      <c r="AE20" s="234">
        <f>SUM(S20:AD20)</f>
        <v>2668403.692307692</v>
      </c>
    </row>
    <row r="21" ht="13" customHeight="1">
      <c r="A21" t="s" s="225">
        <v>283</v>
      </c>
      <c r="B21" t="s" s="226">
        <v>284</v>
      </c>
      <c r="C21" s="227">
        <v>39.24123076923078</v>
      </c>
      <c r="D21" t="s" s="226">
        <v>611</v>
      </c>
      <c r="E21" t="s" s="226">
        <f>A21&amp;"Lindt actual incoming"</f>
        <v>614</v>
      </c>
      <c r="F21" s="232">
        <f>VLOOKUP($E21,'2017 Lindor timeline'!$E1:$R325,MATCH(F$1,'2017 Lindor timeline'!$E$2:$R$2,0),FALSE)</f>
        <v>0</v>
      </c>
      <c r="G21" s="233">
        <f>VLOOKUP($E21,'2017 Lindor timeline'!$E1:$R325,MATCH(G$1,'2017 Lindor timeline'!$E$2:$R$2,0),FALSE)</f>
        <v>0</v>
      </c>
      <c r="H21" s="233">
        <f>VLOOKUP($E21,'2017 Lindor timeline'!$E1:$R325,MATCH(H$1,'2017 Lindor timeline'!$E$2:$R$2,0),FALSE)</f>
        <v>0</v>
      </c>
      <c r="I21" s="233">
        <f>VLOOKUP($E21,'2017 Lindor timeline'!$E1:$R325,MATCH(I$1,'2017 Lindor timeline'!$E$2:$R$2,0),FALSE)</f>
        <v>0</v>
      </c>
      <c r="J21" s="233">
        <f>VLOOKUP($E21,'2017 Lindor timeline'!$E1:$R325,MATCH(J$1,'2017 Lindor timeline'!$E$2:$R$2,0),FALSE)</f>
        <v>0</v>
      </c>
      <c r="K21" s="233">
        <f>VLOOKUP($E21,'2017 Lindor timeline'!$E1:$R325,MATCH(K$1,'2017 Lindor timeline'!$E$2:$R$2,0),FALSE)</f>
        <v>0</v>
      </c>
      <c r="L21" s="233">
        <f>VLOOKUP($E21,'2017 Lindor timeline'!$E1:$R325,MATCH(L$1,'2017 Lindor timeline'!$E$2:$R$2,0),FALSE)</f>
        <v>0</v>
      </c>
      <c r="M21" s="233">
        <f>VLOOKUP($E21,'2017 Lindor timeline'!$E1:$R325,MATCH(M$1,'2017 Lindor timeline'!$E$2:$R$2,0),FALSE)</f>
        <v>5800</v>
      </c>
      <c r="N21" s="233">
        <f>VLOOKUP($E21,'2017 Lindor timeline'!$E1:$R325,MATCH(N$1,'2017 Lindor timeline'!$E$2:$R$2,0),FALSE)</f>
        <v>12000</v>
      </c>
      <c r="O21" s="233">
        <f>VLOOKUP($E21,'2017 Lindor timeline'!$E1:$R325,MATCH(O$1,'2017 Lindor timeline'!$E$2:$R$2,0),FALSE)</f>
        <v>12000</v>
      </c>
      <c r="P21" s="233">
        <f>VLOOKUP($E21,'2017 Lindor timeline'!$E1:$R325,MATCH(P$1,'2017 Lindor timeline'!$E$2:$R$2,0),FALSE)</f>
        <v>20000</v>
      </c>
      <c r="Q21" s="233">
        <f>VLOOKUP($E21,'2017 Lindor timeline'!$E1:$Q325,MATCH(Q$1,'2017 Lindor timeline'!$F$2:$R$2,0),FALSE)</f>
        <v>20000</v>
      </c>
      <c r="R21" s="233">
        <f>SUM(F21:Q21)</f>
        <v>69800</v>
      </c>
      <c r="S21" s="234">
        <f>F21*$C21</f>
        <v>0</v>
      </c>
      <c r="T21" s="234">
        <f>G21*$C21</f>
        <v>0</v>
      </c>
      <c r="U21" s="234">
        <f>H21*$C21</f>
        <v>0</v>
      </c>
      <c r="V21" s="234">
        <f>I21*$C21</f>
        <v>0</v>
      </c>
      <c r="W21" s="234">
        <f>J21*$C21</f>
        <v>0</v>
      </c>
      <c r="X21" s="234">
        <f>K21*$C21</f>
        <v>0</v>
      </c>
      <c r="Y21" s="234">
        <f>L21*$C21</f>
        <v>0</v>
      </c>
      <c r="Z21" s="234">
        <f>M21*$C21</f>
        <v>227599.1384615385</v>
      </c>
      <c r="AA21" s="234">
        <f>N21*$C21</f>
        <v>470894.7692307694</v>
      </c>
      <c r="AB21" s="234">
        <f>O21*$C21</f>
        <v>470894.7692307694</v>
      </c>
      <c r="AC21" s="234">
        <f>P21*$C21</f>
        <v>784824.6153846156</v>
      </c>
      <c r="AD21" s="234">
        <f>Q21*$C21</f>
        <v>784824.6153846156</v>
      </c>
      <c r="AE21" s="234">
        <f>SUM(S21:AD21)</f>
        <v>2739037.907692308</v>
      </c>
    </row>
    <row r="22" ht="13" customHeight="1">
      <c r="A22" t="s" s="225">
        <v>295</v>
      </c>
      <c r="B22" t="s" s="226">
        <v>296</v>
      </c>
      <c r="C22" s="227">
        <v>39.24123076923077</v>
      </c>
      <c r="D22" t="s" s="226">
        <v>611</v>
      </c>
      <c r="E22" t="s" s="226">
        <f>A22&amp;"Lindt actual incoming"</f>
        <v>615</v>
      </c>
      <c r="F22" s="232">
        <f>VLOOKUP($E22,'2017 Lindor timeline'!$E1:$R325,MATCH(F$1,'2017 Lindor timeline'!$E$2:$R$2,0),FALSE)</f>
        <v>0</v>
      </c>
      <c r="G22" s="233">
        <f>VLOOKUP($E22,'2017 Lindor timeline'!$E1:$R325,MATCH(G$1,'2017 Lindor timeline'!$E$2:$R$2,0),FALSE)</f>
        <v>0</v>
      </c>
      <c r="H22" s="233">
        <f>VLOOKUP($E22,'2017 Lindor timeline'!$E1:$R325,MATCH(H$1,'2017 Lindor timeline'!$E$2:$R$2,0),FALSE)</f>
        <v>0</v>
      </c>
      <c r="I22" s="233">
        <f>VLOOKUP($E22,'2017 Lindor timeline'!$E1:$R325,MATCH(I$1,'2017 Lindor timeline'!$E$2:$R$2,0),FALSE)</f>
        <v>0</v>
      </c>
      <c r="J22" s="233">
        <f>VLOOKUP($E22,'2017 Lindor timeline'!$E1:$R325,MATCH(J$1,'2017 Lindor timeline'!$E$2:$R$2,0),FALSE)</f>
        <v>0</v>
      </c>
      <c r="K22" s="233">
        <f>VLOOKUP($E22,'2017 Lindor timeline'!$E1:$R325,MATCH(K$1,'2017 Lindor timeline'!$E$2:$R$2,0),FALSE)</f>
        <v>0</v>
      </c>
      <c r="L22" s="233">
        <f>VLOOKUP($E22,'2017 Lindor timeline'!$E1:$R325,MATCH(L$1,'2017 Lindor timeline'!$E$2:$R$2,0),FALSE)</f>
        <v>0</v>
      </c>
      <c r="M22" s="233">
        <f>VLOOKUP($E22,'2017 Lindor timeline'!$E1:$R325,MATCH(M$1,'2017 Lindor timeline'!$E$2:$R$2,0),FALSE)</f>
        <v>16000</v>
      </c>
      <c r="N22" s="233">
        <f>VLOOKUP($E22,'2017 Lindor timeline'!$E1:$R325,MATCH(N$1,'2017 Lindor timeline'!$E$2:$R$2,0),FALSE)</f>
        <v>30000</v>
      </c>
      <c r="O22" s="233">
        <f>VLOOKUP($E22,'2017 Lindor timeline'!$E1:$R325,MATCH(O$1,'2017 Lindor timeline'!$E$2:$R$2,0),FALSE)</f>
        <v>35500</v>
      </c>
      <c r="P22" s="233">
        <f>VLOOKUP($E22,'2017 Lindor timeline'!$E1:$R325,MATCH(P$1,'2017 Lindor timeline'!$E$2:$R$2,0),FALSE)</f>
        <v>60000</v>
      </c>
      <c r="Q22" s="233">
        <f>VLOOKUP($E22,'2017 Lindor timeline'!$E1:$R325,MATCH(Q$1,'2017 Lindor timeline'!$E$2:$R$2,0),FALSE)</f>
        <v>90000</v>
      </c>
      <c r="R22" s="233">
        <f>SUM(F22:Q22)</f>
        <v>231500</v>
      </c>
      <c r="S22" s="234">
        <f>F22*$C22</f>
        <v>0</v>
      </c>
      <c r="T22" s="234">
        <f>G22*$C22</f>
        <v>0</v>
      </c>
      <c r="U22" s="234">
        <f>H22*$C22</f>
        <v>0</v>
      </c>
      <c r="V22" s="234">
        <f>I22*$C22</f>
        <v>0</v>
      </c>
      <c r="W22" s="234">
        <f>J22*$C22</f>
        <v>0</v>
      </c>
      <c r="X22" s="234">
        <f>K22*$C22</f>
        <v>0</v>
      </c>
      <c r="Y22" s="234">
        <f>L22*$C22</f>
        <v>0</v>
      </c>
      <c r="Z22" s="234">
        <f>M22*$C22</f>
        <v>627859.6923076923</v>
      </c>
      <c r="AA22" s="234">
        <f>N22*$C22</f>
        <v>1177236.923076923</v>
      </c>
      <c r="AB22" s="234">
        <f>O22*$C22</f>
        <v>1393063.692307692</v>
      </c>
      <c r="AC22" s="234">
        <f>P22*$C22</f>
        <v>2354473.846153846</v>
      </c>
      <c r="AD22" s="234">
        <f>Q22*$C22</f>
        <v>3531710.769230769</v>
      </c>
      <c r="AE22" s="234">
        <f>SUM(S22:AD22)</f>
        <v>9084344.923076924</v>
      </c>
    </row>
    <row r="23" ht="13" customHeight="1">
      <c r="A23" t="s" s="225">
        <v>307</v>
      </c>
      <c r="B23" t="s" s="226">
        <v>308</v>
      </c>
      <c r="C23" s="227">
        <v>66.2326923076923</v>
      </c>
      <c r="D23" t="s" s="226">
        <v>611</v>
      </c>
      <c r="E23" t="s" s="226">
        <f>A23&amp;"Lindt actual incoming"</f>
        <v>616</v>
      </c>
      <c r="F23" s="232">
        <f>VLOOKUP($E23,'2017 Lindor timeline'!$E1:$R325,MATCH(F$1,'2017 Lindor timeline'!$E$2:$R$2,0),FALSE)</f>
        <v>0</v>
      </c>
      <c r="G23" s="233">
        <f>VLOOKUP($E23,'2017 Lindor timeline'!$E1:$R325,MATCH(G$1,'2017 Lindor timeline'!$E$2:$R$2,0),FALSE)</f>
        <v>0</v>
      </c>
      <c r="H23" s="233">
        <f>VLOOKUP($E23,'2017 Lindor timeline'!$E1:$R325,MATCH(H$1,'2017 Lindor timeline'!$E$2:$R$2,0),FALSE)</f>
        <v>0</v>
      </c>
      <c r="I23" s="233">
        <f>VLOOKUP($E23,'2017 Lindor timeline'!$E1:$R325,MATCH(I$1,'2017 Lindor timeline'!$E$2:$R$2,0),FALSE)</f>
        <v>0</v>
      </c>
      <c r="J23" s="233">
        <f>VLOOKUP($E23,'2017 Lindor timeline'!$E1:$R325,MATCH(J$1,'2017 Lindor timeline'!$E$2:$R$2,0),FALSE)</f>
        <v>0</v>
      </c>
      <c r="K23" s="233">
        <f>VLOOKUP($E23,'2017 Lindor timeline'!$E1:$R325,MATCH(K$1,'2017 Lindor timeline'!$E$2:$R$2,0),FALSE)</f>
        <v>0</v>
      </c>
      <c r="L23" s="233">
        <f>VLOOKUP($E23,'2017 Lindor timeline'!$E1:$R325,MATCH(L$1,'2017 Lindor timeline'!$E$2:$R$2,0),FALSE)</f>
        <v>0</v>
      </c>
      <c r="M23" s="233">
        <f>VLOOKUP($E23,'2017 Lindor timeline'!$E1:$R325,MATCH(M$1,'2017 Lindor timeline'!$E$2:$R$2,0),FALSE)</f>
        <v>4640</v>
      </c>
      <c r="N23" s="233">
        <f>VLOOKUP($E23,'2017 Lindor timeline'!$E1:$R325,MATCH(N$1,'2017 Lindor timeline'!$E$2:$R$2,0),FALSE)</f>
        <v>8800</v>
      </c>
      <c r="O23" s="233">
        <f>VLOOKUP($E23,'2017 Lindor timeline'!$E1:$R325,MATCH(O$1,'2017 Lindor timeline'!$E$2:$R$2,0),FALSE)</f>
        <v>9600</v>
      </c>
      <c r="P23" s="233">
        <f>VLOOKUP($E23,'2017 Lindor timeline'!$E1:$R325,MATCH(P$1,'2017 Lindor timeline'!$E$2:$R$2,0),FALSE)</f>
        <v>17600</v>
      </c>
      <c r="Q23" s="233">
        <f>VLOOKUP($E23,'2017 Lindor timeline'!$E1:$R325,MATCH(Q$1,'2017 Lindor timeline'!$E$2:$R$2,0),FALSE)</f>
        <v>23200</v>
      </c>
      <c r="R23" s="233">
        <f>SUM(F23:Q23)</f>
        <v>63840</v>
      </c>
      <c r="S23" s="234">
        <f>F23*$C23</f>
        <v>0</v>
      </c>
      <c r="T23" s="234">
        <f>G23*$C23</f>
        <v>0</v>
      </c>
      <c r="U23" s="234">
        <f>H23*$C23</f>
        <v>0</v>
      </c>
      <c r="V23" s="234">
        <f>I23*$C23</f>
        <v>0</v>
      </c>
      <c r="W23" s="234">
        <f>J23*$C23</f>
        <v>0</v>
      </c>
      <c r="X23" s="234">
        <f>K23*$C23</f>
        <v>0</v>
      </c>
      <c r="Y23" s="234">
        <f>L23*$C23</f>
        <v>0</v>
      </c>
      <c r="Z23" s="234">
        <f>M23*$C23</f>
        <v>307319.6923076923</v>
      </c>
      <c r="AA23" s="234">
        <f>N23*$C23</f>
        <v>582847.6923076923</v>
      </c>
      <c r="AB23" s="234">
        <f>O23*$C23</f>
        <v>635833.8461538461</v>
      </c>
      <c r="AC23" s="234">
        <f>P23*$C23</f>
        <v>1165695.384615385</v>
      </c>
      <c r="AD23" s="234">
        <f>Q23*$C23</f>
        <v>1536598.461538462</v>
      </c>
      <c r="AE23" s="234">
        <f>SUM(S23:AD23)</f>
        <v>4228295.076923076</v>
      </c>
    </row>
    <row r="24" ht="13" customHeight="1">
      <c r="A24" t="s" s="225">
        <v>319</v>
      </c>
      <c r="B24" t="s" s="226">
        <v>320</v>
      </c>
      <c r="C24" s="227">
        <v>66.23269230769233</v>
      </c>
      <c r="D24" t="s" s="226">
        <v>611</v>
      </c>
      <c r="E24" t="s" s="226">
        <f>A24&amp;"Lindt actual incoming"</f>
        <v>617</v>
      </c>
      <c r="F24" s="232">
        <f>VLOOKUP($E24,'2017 Lindor timeline'!$E1:$R325,MATCH(F$1,'2017 Lindor timeline'!$E$2:$R$2,0),FALSE)</f>
        <v>0</v>
      </c>
      <c r="G24" s="233">
        <f>VLOOKUP($E24,'2017 Lindor timeline'!$E1:$R325,MATCH(G$1,'2017 Lindor timeline'!$E$2:$R$2,0),FALSE)</f>
        <v>0</v>
      </c>
      <c r="H24" s="233">
        <f>VLOOKUP($E24,'2017 Lindor timeline'!$E1:$R325,MATCH(H$1,'2017 Lindor timeline'!$E$2:$R$2,0),FALSE)</f>
        <v>0</v>
      </c>
      <c r="I24" s="233">
        <f>VLOOKUP($E24,'2017 Lindor timeline'!$E1:$R325,MATCH(I$1,'2017 Lindor timeline'!$E$2:$R$2,0),FALSE)</f>
        <v>0</v>
      </c>
      <c r="J24" s="233">
        <f>VLOOKUP($E24,'2017 Lindor timeline'!$E1:$R325,MATCH(J$1,'2017 Lindor timeline'!$E$2:$R$2,0),FALSE)</f>
        <v>0</v>
      </c>
      <c r="K24" s="233">
        <f>VLOOKUP($E24,'2017 Lindor timeline'!$E1:$R325,MATCH(K$1,'2017 Lindor timeline'!$E$2:$R$2,0),FALSE)</f>
        <v>0</v>
      </c>
      <c r="L24" s="233">
        <f>VLOOKUP($E24,'2017 Lindor timeline'!$E1:$R325,MATCH(L$1,'2017 Lindor timeline'!$E$2:$R$2,0),FALSE)</f>
        <v>0</v>
      </c>
      <c r="M24" s="233">
        <f>VLOOKUP($E24,'2017 Lindor timeline'!$E1:$R325,MATCH(M$1,'2017 Lindor timeline'!$E$2:$R$2,0),FALSE)</f>
        <v>4800</v>
      </c>
      <c r="N24" s="233">
        <f>VLOOKUP($E24,'2017 Lindor timeline'!$E1:$R325,MATCH(N$1,'2017 Lindor timeline'!$E$2:$R$2,0),FALSE)</f>
        <v>7600</v>
      </c>
      <c r="O24" s="233">
        <f>VLOOKUP($E24,'2017 Lindor timeline'!$E1:$R325,MATCH(O$1,'2017 Lindor timeline'!$E$2:$R$2,0),FALSE)</f>
        <v>9600</v>
      </c>
      <c r="P24" s="233">
        <f>VLOOKUP($E24,'2017 Lindor timeline'!$E1:$R325,MATCH(P$1,'2017 Lindor timeline'!$E$2:$R$2,0),FALSE)</f>
        <v>16000</v>
      </c>
      <c r="Q24" s="233">
        <f>VLOOKUP($E24,'2017 Lindor timeline'!$E1:$R325,MATCH(Q$1,'2017 Lindor timeline'!$E$2:$R$2,0),FALSE)</f>
        <v>26400</v>
      </c>
      <c r="R24" s="233">
        <f>SUM(F24:Q24)</f>
        <v>64400</v>
      </c>
      <c r="S24" s="234">
        <f>F24*$C24</f>
        <v>0</v>
      </c>
      <c r="T24" s="234">
        <f>G24*$C24</f>
        <v>0</v>
      </c>
      <c r="U24" s="234">
        <f>H24*$C24</f>
        <v>0</v>
      </c>
      <c r="V24" s="234">
        <f>I24*$C24</f>
        <v>0</v>
      </c>
      <c r="W24" s="234">
        <f>J24*$C24</f>
        <v>0</v>
      </c>
      <c r="X24" s="234">
        <f>K24*$C24</f>
        <v>0</v>
      </c>
      <c r="Y24" s="234">
        <f>L24*$C24</f>
        <v>0</v>
      </c>
      <c r="Z24" s="234">
        <f>M24*$C24</f>
        <v>317916.9230769232</v>
      </c>
      <c r="AA24" s="234">
        <f>N24*$C24</f>
        <v>503368.4615384617</v>
      </c>
      <c r="AB24" s="234">
        <f>O24*$C24</f>
        <v>635833.8461538464</v>
      </c>
      <c r="AC24" s="234">
        <f>P24*$C24</f>
        <v>1059723.076923077</v>
      </c>
      <c r="AD24" s="234">
        <f>Q24*$C24</f>
        <v>1748543.076923077</v>
      </c>
      <c r="AE24" s="234">
        <f>SUM(S24:AD24)</f>
        <v>4265385.384615386</v>
      </c>
    </row>
    <row r="25" ht="13" customHeight="1">
      <c r="A25" t="s" s="225">
        <v>331</v>
      </c>
      <c r="B25" t="s" s="226">
        <v>332</v>
      </c>
      <c r="C25" s="227">
        <v>34.70940170940171</v>
      </c>
      <c r="D25" t="s" s="226">
        <v>618</v>
      </c>
      <c r="E25" t="s" s="226">
        <f>A25&amp;"Lindt actual incoming"</f>
        <v>619</v>
      </c>
      <c r="F25" s="232">
        <f>VLOOKUP($E25,'2017 Lindor timeline'!$E1:$R325,MATCH(F$1,'2017 Lindor timeline'!$E$2:$R$2,0),FALSE)</f>
        <v>1440</v>
      </c>
      <c r="G25" s="233">
        <f>VLOOKUP($E25,'2017 Lindor timeline'!$E1:$R325,MATCH(G$1,'2017 Lindor timeline'!$E$2:$R$2,0),FALSE)</f>
        <v>0</v>
      </c>
      <c r="H25" s="233">
        <f>VLOOKUP($E25,'2017 Lindor timeline'!$E1:$R325,MATCH(H$1,'2017 Lindor timeline'!$E$2:$R$2,0),FALSE)</f>
        <v>1440</v>
      </c>
      <c r="I25" s="233">
        <f>VLOOKUP($E25,'2017 Lindor timeline'!$E1:$R325,MATCH(I$1,'2017 Lindor timeline'!$E$2:$R$2,0),FALSE)</f>
        <v>1440</v>
      </c>
      <c r="J25" s="233">
        <f>VLOOKUP($E25,'2017 Lindor timeline'!$E1:$R325,MATCH(J$1,'2017 Lindor timeline'!$E$2:$R$2,0),FALSE)</f>
        <v>0</v>
      </c>
      <c r="K25" s="233">
        <f>VLOOKUP($E25,'2017 Lindor timeline'!$E1:$R325,MATCH(K$1,'2017 Lindor timeline'!$E$2:$R$2,0),FALSE)</f>
        <v>0</v>
      </c>
      <c r="L25" s="233">
        <f>VLOOKUP($E25,'2017 Lindor timeline'!$E1:$R325,MATCH(L$1,'2017 Lindor timeline'!$E$2:$R$2,0),FALSE)</f>
        <v>0</v>
      </c>
      <c r="M25" s="233">
        <f>VLOOKUP($E25,'2017 Lindor timeline'!$E1:$R325,MATCH(M$1,'2017 Lindor timeline'!$E$2:$R$2,0),FALSE)</f>
        <v>2160</v>
      </c>
      <c r="N25" s="233">
        <f>VLOOKUP($E25,'2017 Lindor timeline'!$E1:$R325,MATCH(N$1,'2017 Lindor timeline'!$E$2:$R$2,0),FALSE)</f>
        <v>2520</v>
      </c>
      <c r="O25" s="233">
        <f>VLOOKUP($E25,'2017 Lindor timeline'!$E1:$R325,MATCH(O$1,'2017 Lindor timeline'!$E$2:$R$2,0),FALSE)</f>
        <v>6120</v>
      </c>
      <c r="P25" s="233">
        <f>VLOOKUP($E25,'2017 Lindor timeline'!$E1:$R325,MATCH(P$1,'2017 Lindor timeline'!$E$2:$R$2,0),FALSE)</f>
        <v>6840</v>
      </c>
      <c r="Q25" s="233">
        <f>VLOOKUP($E25,'2017 Lindor timeline'!$E1:$R325,MATCH(Q$1,'2017 Lindor timeline'!$E$2:$R$2,0),FALSE)</f>
        <v>9000</v>
      </c>
      <c r="R25" s="233">
        <f>SUM(F25:Q25)</f>
        <v>30960</v>
      </c>
      <c r="S25" s="234">
        <f>F25*$C25</f>
        <v>49981.538461538461</v>
      </c>
      <c r="T25" s="234">
        <f>G25*$C25</f>
        <v>0</v>
      </c>
      <c r="U25" s="234">
        <f>H25*$C25</f>
        <v>49981.538461538461</v>
      </c>
      <c r="V25" s="234">
        <f>I25*$C25</f>
        <v>49981.538461538461</v>
      </c>
      <c r="W25" s="234">
        <f>J25*$C25</f>
        <v>0</v>
      </c>
      <c r="X25" s="234">
        <f>K25*$C25</f>
        <v>0</v>
      </c>
      <c r="Y25" s="234">
        <f>L25*$C25</f>
        <v>0</v>
      </c>
      <c r="Z25" s="234">
        <f>M25*$C25</f>
        <v>74972.307692307688</v>
      </c>
      <c r="AA25" s="234">
        <f>N25*$C25</f>
        <v>87467.692307692312</v>
      </c>
      <c r="AB25" s="234">
        <f>O25*$C25</f>
        <v>212421.5384615385</v>
      </c>
      <c r="AC25" s="234">
        <f>P25*$C25</f>
        <v>237412.3076923077</v>
      </c>
      <c r="AD25" s="234">
        <f>Q25*$C25</f>
        <v>312384.6153846154</v>
      </c>
      <c r="AE25" s="234">
        <f>SUM(S25:AD25)</f>
        <v>1074603.076923077</v>
      </c>
    </row>
    <row r="26" ht="13" customHeight="1">
      <c r="A26" t="s" s="225">
        <v>343</v>
      </c>
      <c r="B26" t="s" s="226">
        <v>344</v>
      </c>
      <c r="C26" s="227">
        <v>48.0102564102564</v>
      </c>
      <c r="D26" t="s" s="226">
        <v>618</v>
      </c>
      <c r="E26" t="s" s="226">
        <f>A26&amp;"Lindt actual incoming"</f>
        <v>620</v>
      </c>
      <c r="F26" s="232">
        <f>VLOOKUP($E26,'2017 Lindor timeline'!$E1:$R325,MATCH(F$1,'2017 Lindor timeline'!$E$2:$R$2,0),FALSE)</f>
        <v>0</v>
      </c>
      <c r="G26" s="233">
        <f>VLOOKUP($E26,'2017 Lindor timeline'!$E1:$R325,MATCH(G$1,'2017 Lindor timeline'!$E$2:$R$2,0),FALSE)</f>
        <v>0</v>
      </c>
      <c r="H26" s="233">
        <f>VLOOKUP($E26,'2017 Lindor timeline'!$E1:$R325,MATCH(H$1,'2017 Lindor timeline'!$E$2:$R$2,0),FALSE)</f>
        <v>0</v>
      </c>
      <c r="I26" s="233">
        <f>VLOOKUP($E26,'2017 Lindor timeline'!$E1:$R325,MATCH(I$1,'2017 Lindor timeline'!$E$2:$R$2,0),FALSE)</f>
        <v>0</v>
      </c>
      <c r="J26" s="233">
        <f>VLOOKUP($E26,'2017 Lindor timeline'!$E1:$R325,MATCH(J$1,'2017 Lindor timeline'!$E$2:$R$2,0),FALSE)</f>
        <v>0</v>
      </c>
      <c r="K26" s="233">
        <f>VLOOKUP($E26,'2017 Lindor timeline'!$E1:$R325,MATCH(K$1,'2017 Lindor timeline'!$E$2:$R$2,0),FALSE)</f>
        <v>0</v>
      </c>
      <c r="L26" s="233">
        <f>VLOOKUP($E26,'2017 Lindor timeline'!$E1:$R325,MATCH(L$1,'2017 Lindor timeline'!$E$2:$R$2,0),FALSE)</f>
        <v>0</v>
      </c>
      <c r="M26" s="233">
        <f>VLOOKUP($E26,'2017 Lindor timeline'!$E1:$R325,MATCH(M$1,'2017 Lindor timeline'!$E$2:$R$2,0),FALSE)</f>
        <v>0</v>
      </c>
      <c r="N26" s="233">
        <f>VLOOKUP($E26,'2017 Lindor timeline'!$E1:$R325,MATCH(N$1,'2017 Lindor timeline'!$E$2:$R$2,0),FALSE)</f>
        <v>500</v>
      </c>
      <c r="O26" s="233">
        <f>VLOOKUP($E26,'2017 Lindor timeline'!$E1:$R325,MATCH(O$1,'2017 Lindor timeline'!$E$2:$R$2,0),FALSE)</f>
        <v>1800</v>
      </c>
      <c r="P26" s="233">
        <f>VLOOKUP($E26,'2017 Lindor timeline'!$E1:$R325,MATCH(P$1,'2017 Lindor timeline'!$E$2:$R$2,0),FALSE)</f>
        <v>1850</v>
      </c>
      <c r="Q26" s="233">
        <f>VLOOKUP($E26,'2017 Lindor timeline'!$E1:$R325,MATCH(Q$1,'2017 Lindor timeline'!$E$2:$R$2,0),FALSE)</f>
        <v>2300</v>
      </c>
      <c r="R26" s="233">
        <f>SUM(F26:Q26)</f>
        <v>6450</v>
      </c>
      <c r="S26" s="234">
        <f>F26*$C26</f>
        <v>0</v>
      </c>
      <c r="T26" s="234">
        <f>G26*$C26</f>
        <v>0</v>
      </c>
      <c r="U26" s="234">
        <f>H26*$C26</f>
        <v>0</v>
      </c>
      <c r="V26" s="234">
        <f>I26*$C26</f>
        <v>0</v>
      </c>
      <c r="W26" s="234">
        <f>J26*$C26</f>
        <v>0</v>
      </c>
      <c r="X26" s="234">
        <f>K26*$C26</f>
        <v>0</v>
      </c>
      <c r="Y26" s="234">
        <f>L26*$C26</f>
        <v>0</v>
      </c>
      <c r="Z26" s="234">
        <f>M26*$C26</f>
        <v>0</v>
      </c>
      <c r="AA26" s="234">
        <f>N26*$C26</f>
        <v>24005.1282051282</v>
      </c>
      <c r="AB26" s="234">
        <f>O26*$C26</f>
        <v>86418.461538461532</v>
      </c>
      <c r="AC26" s="234">
        <f>P26*$C26</f>
        <v>88818.974358974345</v>
      </c>
      <c r="AD26" s="234">
        <f>Q26*$C26</f>
        <v>110423.5897435897</v>
      </c>
      <c r="AE26" s="234">
        <f>SUM(S26:AD26)</f>
        <v>309666.1538461538</v>
      </c>
    </row>
    <row r="27" ht="13" customHeight="1">
      <c r="A27" t="s" s="225">
        <v>355</v>
      </c>
      <c r="B27" t="s" s="226">
        <v>356</v>
      </c>
      <c r="C27" s="227">
        <v>43.61196581196582</v>
      </c>
      <c r="D27" t="s" s="226">
        <v>618</v>
      </c>
      <c r="E27" t="s" s="226">
        <f>A27&amp;"Lindt actual incoming"</f>
        <v>621</v>
      </c>
      <c r="F27" s="232">
        <f>VLOOKUP($E27,'2017 Lindor timeline'!$E1:$R325,MATCH(F$1,'2017 Lindor timeline'!$E$2:$R$2,0),FALSE)</f>
        <v>0</v>
      </c>
      <c r="G27" s="233">
        <f>VLOOKUP($E27,'2017 Lindor timeline'!$E1:$R325,MATCH(G$1,'2017 Lindor timeline'!$E$2:$R$2,0),FALSE)</f>
        <v>0</v>
      </c>
      <c r="H27" s="233">
        <f>VLOOKUP($E27,'2017 Lindor timeline'!$E1:$R325,MATCH(H$1,'2017 Lindor timeline'!$E$2:$R$2,0),FALSE)</f>
        <v>0</v>
      </c>
      <c r="I27" s="233">
        <f>VLOOKUP($E27,'2017 Lindor timeline'!$E1:$R325,MATCH(I$1,'2017 Lindor timeline'!$E$2:$R$2,0),FALSE)</f>
        <v>0</v>
      </c>
      <c r="J27" s="233">
        <f>VLOOKUP($E27,'2017 Lindor timeline'!$E1:$R325,MATCH(J$1,'2017 Lindor timeline'!$E$2:$R$2,0),FALSE)</f>
        <v>0</v>
      </c>
      <c r="K27" s="233">
        <f>VLOOKUP($E27,'2017 Lindor timeline'!$E1:$R325,MATCH(K$1,'2017 Lindor timeline'!$E$2:$R$2,0),FALSE)</f>
        <v>0</v>
      </c>
      <c r="L27" s="233">
        <f>VLOOKUP($E27,'2017 Lindor timeline'!$E1:$R325,MATCH(L$1,'2017 Lindor timeline'!$E$2:$R$2,0),FALSE)</f>
        <v>0</v>
      </c>
      <c r="M27" s="233">
        <f>VLOOKUP($E27,'2017 Lindor timeline'!$E1:$R325,MATCH(M$1,'2017 Lindor timeline'!$E$2:$R$2,0),FALSE)</f>
        <v>2400</v>
      </c>
      <c r="N27" s="233">
        <f>VLOOKUP($E27,'2017 Lindor timeline'!$E1:$R325,MATCH(N$1,'2017 Lindor timeline'!$E$2:$R$2,0),FALSE)</f>
        <v>6000</v>
      </c>
      <c r="O27" s="233">
        <f>VLOOKUP($E27,'2017 Lindor timeline'!$E1:$R325,MATCH(O$1,'2017 Lindor timeline'!$E$2:$R$2,0),FALSE)</f>
        <v>4800</v>
      </c>
      <c r="P27" s="233">
        <f>VLOOKUP($E27,'2017 Lindor timeline'!$E1:$R325,MATCH(P$1,'2017 Lindor timeline'!$E$2:$R$2,0),FALSE)</f>
        <v>9360</v>
      </c>
      <c r="Q27" s="233">
        <f>VLOOKUP($E27,'2017 Lindor timeline'!$E1:$R325,MATCH(Q$1,'2017 Lindor timeline'!$E$2:$R$2,0),FALSE)</f>
        <v>10680</v>
      </c>
      <c r="R27" s="233">
        <f>SUM(F27:Q27)</f>
        <v>33240</v>
      </c>
      <c r="S27" s="234">
        <f>F27*$C27</f>
        <v>0</v>
      </c>
      <c r="T27" s="234">
        <f>G27*$C27</f>
        <v>0</v>
      </c>
      <c r="U27" s="234">
        <f>H27*$C27</f>
        <v>0</v>
      </c>
      <c r="V27" s="234">
        <f>I27*$C27</f>
        <v>0</v>
      </c>
      <c r="W27" s="234">
        <f>J27*$C27</f>
        <v>0</v>
      </c>
      <c r="X27" s="234">
        <f>K27*$C27</f>
        <v>0</v>
      </c>
      <c r="Y27" s="234">
        <f>L27*$C27</f>
        <v>0</v>
      </c>
      <c r="Z27" s="234">
        <f>M27*$C27</f>
        <v>104668.717948718</v>
      </c>
      <c r="AA27" s="234">
        <f>N27*$C27</f>
        <v>261671.7948717949</v>
      </c>
      <c r="AB27" s="234">
        <f>O27*$C27</f>
        <v>209337.4358974359</v>
      </c>
      <c r="AC27" s="234">
        <f>P27*$C27</f>
        <v>408208.0000000001</v>
      </c>
      <c r="AD27" s="234">
        <f>Q27*$C27</f>
        <v>465775.7948717949</v>
      </c>
      <c r="AE27" s="234">
        <f>SUM(S27:AD27)</f>
        <v>1449661.743589744</v>
      </c>
    </row>
    <row r="28" ht="13" customHeight="1">
      <c r="A28" t="s" s="225">
        <v>367</v>
      </c>
      <c r="B28" t="s" s="226">
        <v>368</v>
      </c>
      <c r="C28" s="227">
        <v>57.65470085470087</v>
      </c>
      <c r="D28" t="s" s="226">
        <v>618</v>
      </c>
      <c r="E28" t="s" s="226">
        <f>A28&amp;"Lindt actual incoming"</f>
        <v>622</v>
      </c>
      <c r="F28" s="232">
        <f>VLOOKUP($E28,'2017 Lindor timeline'!$E1:$R325,MATCH(F$1,'2017 Lindor timeline'!$E$2:$R$2,0),FALSE)</f>
        <v>0</v>
      </c>
      <c r="G28" s="233">
        <f>VLOOKUP($E28,'2017 Lindor timeline'!$E1:$R325,MATCH(G$1,'2017 Lindor timeline'!$E$2:$R$2,0),FALSE)</f>
        <v>0</v>
      </c>
      <c r="H28" s="233">
        <f>VLOOKUP($E28,'2017 Lindor timeline'!$E1:$R325,MATCH(H$1,'2017 Lindor timeline'!$E$2:$R$2,0),FALSE)</f>
        <v>0</v>
      </c>
      <c r="I28" s="233">
        <f>VLOOKUP($E28,'2017 Lindor timeline'!$E1:$R325,MATCH(I$1,'2017 Lindor timeline'!$E$2:$R$2,0),FALSE)</f>
        <v>0</v>
      </c>
      <c r="J28" s="233">
        <f>VLOOKUP($E28,'2017 Lindor timeline'!$E1:$R325,MATCH(J$1,'2017 Lindor timeline'!$E$2:$R$2,0),FALSE)</f>
        <v>0</v>
      </c>
      <c r="K28" s="233">
        <f>VLOOKUP($E28,'2017 Lindor timeline'!$E1:$R325,MATCH(K$1,'2017 Lindor timeline'!$E$2:$R$2,0),FALSE)</f>
        <v>0</v>
      </c>
      <c r="L28" s="233">
        <f>VLOOKUP($E28,'2017 Lindor timeline'!$E1:$R325,MATCH(L$1,'2017 Lindor timeline'!$E$2:$R$2,0),FALSE)</f>
        <v>0</v>
      </c>
      <c r="M28" s="233">
        <f>VLOOKUP($E28,'2017 Lindor timeline'!$E1:$R325,MATCH(M$1,'2017 Lindor timeline'!$E$2:$R$2,0),FALSE)</f>
        <v>0</v>
      </c>
      <c r="N28" s="233">
        <f>VLOOKUP($E28,'2017 Lindor timeline'!$E1:$R325,MATCH(N$1,'2017 Lindor timeline'!$E$2:$R$2,0),FALSE)</f>
        <v>4000</v>
      </c>
      <c r="O28" s="233">
        <f>VLOOKUP($E28,'2017 Lindor timeline'!$E1:$R325,MATCH(O$1,'2017 Lindor timeline'!$E$2:$R$2,0),FALSE)</f>
        <v>1400</v>
      </c>
      <c r="P28" s="233">
        <f>VLOOKUP($E28,'2017 Lindor timeline'!$E1:$R325,MATCH(P$1,'2017 Lindor timeline'!$E$2:$R$2,0),FALSE)</f>
        <v>2300</v>
      </c>
      <c r="Q28" s="233">
        <f>VLOOKUP($E28,'2017 Lindor timeline'!$E1:$R325,MATCH(Q$1,'2017 Lindor timeline'!$E$2:$R$2,0),FALSE)</f>
        <v>2000</v>
      </c>
      <c r="R28" s="233">
        <f>SUM(F28:Q28)</f>
        <v>9700</v>
      </c>
      <c r="S28" s="234">
        <f>F28*$C28</f>
        <v>0</v>
      </c>
      <c r="T28" s="234">
        <f>G28*$C28</f>
        <v>0</v>
      </c>
      <c r="U28" s="234">
        <f>H28*$C28</f>
        <v>0</v>
      </c>
      <c r="V28" s="234">
        <f>I28*$C28</f>
        <v>0</v>
      </c>
      <c r="W28" s="234">
        <f>J28*$C28</f>
        <v>0</v>
      </c>
      <c r="X28" s="234">
        <f>K28*$C28</f>
        <v>0</v>
      </c>
      <c r="Y28" s="234">
        <f>L28*$C28</f>
        <v>0</v>
      </c>
      <c r="Z28" s="234">
        <f>M28*$C28</f>
        <v>0</v>
      </c>
      <c r="AA28" s="234">
        <f>N28*$C28</f>
        <v>230618.8034188035</v>
      </c>
      <c r="AB28" s="234">
        <f>O28*$C28</f>
        <v>80716.581196581217</v>
      </c>
      <c r="AC28" s="234">
        <f>P28*$C28</f>
        <v>132605.811965812</v>
      </c>
      <c r="AD28" s="234">
        <f>Q28*$C28</f>
        <v>115309.4017094017</v>
      </c>
      <c r="AE28" s="234">
        <f>SUM(S28:AD28)</f>
        <v>559250.5982905985</v>
      </c>
    </row>
    <row r="29" ht="13" customHeight="1">
      <c r="A29" t="s" s="225">
        <v>379</v>
      </c>
      <c r="B29" t="s" s="226">
        <v>380</v>
      </c>
      <c r="C29" s="227">
        <v>67.56410256410257</v>
      </c>
      <c r="D29" t="s" s="226">
        <v>618</v>
      </c>
      <c r="E29" t="s" s="226">
        <f>A29&amp;"Lindt actual incoming"</f>
        <v>623</v>
      </c>
      <c r="F29" s="232">
        <f>VLOOKUP($E29,'2017 Lindor timeline'!$E1:$R325,MATCH(F$1,'2017 Lindor timeline'!$E$2:$R$2,0),FALSE)</f>
        <v>0</v>
      </c>
      <c r="G29" s="233">
        <f>VLOOKUP($E29,'2017 Lindor timeline'!$E1:$R325,MATCH(G$1,'2017 Lindor timeline'!$E$2:$R$2,0),FALSE)</f>
        <v>0</v>
      </c>
      <c r="H29" s="233">
        <f>VLOOKUP($E29,'2017 Lindor timeline'!$E1:$R325,MATCH(H$1,'2017 Lindor timeline'!$E$2:$R$2,0),FALSE)</f>
        <v>0</v>
      </c>
      <c r="I29" s="233">
        <f>VLOOKUP($E29,'2017 Lindor timeline'!$E1:$R325,MATCH(I$1,'2017 Lindor timeline'!$E$2:$R$2,0),FALSE)</f>
        <v>0</v>
      </c>
      <c r="J29" s="233">
        <f>VLOOKUP($E29,'2017 Lindor timeline'!$E1:$R325,MATCH(J$1,'2017 Lindor timeline'!$E$2:$R$2,0),FALSE)</f>
        <v>0</v>
      </c>
      <c r="K29" s="233">
        <f>VLOOKUP($E29,'2017 Lindor timeline'!$E1:$R325,MATCH(K$1,'2017 Lindor timeline'!$E$2:$R$2,0),FALSE)</f>
        <v>0</v>
      </c>
      <c r="L29" s="233">
        <f>VLOOKUP($E29,'2017 Lindor timeline'!$E1:$R325,MATCH(L$1,'2017 Lindor timeline'!$E$2:$R$2,0),FALSE)</f>
        <v>0</v>
      </c>
      <c r="M29" s="233">
        <f>VLOOKUP($E29,'2017 Lindor timeline'!$E1:$R325,MATCH(M$1,'2017 Lindor timeline'!$E$2:$R$2,0),FALSE)</f>
        <v>1600</v>
      </c>
      <c r="N29" s="233">
        <f>VLOOKUP($E29,'2017 Lindor timeline'!$E1:$R325,MATCH(N$1,'2017 Lindor timeline'!$E$2:$R$2,0),FALSE)</f>
        <v>10000</v>
      </c>
      <c r="O29" s="233">
        <f>VLOOKUP($E29,'2017 Lindor timeline'!$E1:$R325,MATCH(O$1,'2017 Lindor timeline'!$E$2:$R$2,0),FALSE)</f>
        <v>4400</v>
      </c>
      <c r="P29" s="233">
        <f>VLOOKUP($E29,'2017 Lindor timeline'!$E1:$R325,MATCH(P$1,'2017 Lindor timeline'!$E$2:$R$2,0),FALSE)</f>
        <v>5760</v>
      </c>
      <c r="Q29" s="233">
        <f>VLOOKUP($E29,'2017 Lindor timeline'!$E1:$R325,MATCH(Q$1,'2017 Lindor timeline'!$E$2:$R$2,0),FALSE)</f>
        <v>9600</v>
      </c>
      <c r="R29" s="233">
        <f>SUM(F29:Q29)</f>
        <v>31360</v>
      </c>
      <c r="S29" s="234">
        <f>F29*$C29</f>
        <v>0</v>
      </c>
      <c r="T29" s="234">
        <f>G29*$C29</f>
        <v>0</v>
      </c>
      <c r="U29" s="234">
        <f>H29*$C29</f>
        <v>0</v>
      </c>
      <c r="V29" s="234">
        <f>I29*$C29</f>
        <v>0</v>
      </c>
      <c r="W29" s="234">
        <f>J29*$C29</f>
        <v>0</v>
      </c>
      <c r="X29" s="234">
        <f>K29*$C29</f>
        <v>0</v>
      </c>
      <c r="Y29" s="234">
        <f>L29*$C29</f>
        <v>0</v>
      </c>
      <c r="Z29" s="234">
        <f>M29*$C29</f>
        <v>108102.5641025641</v>
      </c>
      <c r="AA29" s="234">
        <f>N29*$C29</f>
        <v>675641.0256410257</v>
      </c>
      <c r="AB29" s="234">
        <f>O29*$C29</f>
        <v>297282.0512820513</v>
      </c>
      <c r="AC29" s="234">
        <f>P29*$C29</f>
        <v>389169.2307692308</v>
      </c>
      <c r="AD29" s="234">
        <f>Q29*$C29</f>
        <v>648615.3846153846</v>
      </c>
      <c r="AE29" s="234">
        <f>SUM(S29:AD29)</f>
        <v>2118810.256410256</v>
      </c>
    </row>
    <row r="30" ht="13" customHeight="1">
      <c r="A30" t="s" s="225">
        <v>391</v>
      </c>
      <c r="B30" t="s" s="226">
        <v>392</v>
      </c>
      <c r="C30" s="227">
        <v>63.05982905982908</v>
      </c>
      <c r="D30" t="s" s="226">
        <v>618</v>
      </c>
      <c r="E30" t="s" s="226">
        <f>A30&amp;"Lindt actual incoming"</f>
        <v>624</v>
      </c>
      <c r="F30" s="232">
        <f>VLOOKUP($E30,'2017 Lindor timeline'!$E1:$R325,MATCH(F$1,'2017 Lindor timeline'!$E$2:$R$2,0),FALSE)</f>
        <v>0</v>
      </c>
      <c r="G30" s="233">
        <f>VLOOKUP($E30,'2017 Lindor timeline'!$E1:$R325,MATCH(G$1,'2017 Lindor timeline'!$E$2:$R$2,0),FALSE)</f>
        <v>0</v>
      </c>
      <c r="H30" s="233">
        <f>VLOOKUP($E30,'2017 Lindor timeline'!$E1:$R325,MATCH(H$1,'2017 Lindor timeline'!$E$2:$R$2,0),FALSE)</f>
        <v>0</v>
      </c>
      <c r="I30" s="233">
        <f>VLOOKUP($E30,'2017 Lindor timeline'!$E1:$R325,MATCH(I$1,'2017 Lindor timeline'!$E$2:$R$2,0),FALSE)</f>
        <v>0</v>
      </c>
      <c r="J30" s="233">
        <f>VLOOKUP($E30,'2017 Lindor timeline'!$E1:$R325,MATCH(J$1,'2017 Lindor timeline'!$E$2:$R$2,0),FALSE)</f>
        <v>0</v>
      </c>
      <c r="K30" s="233">
        <f>VLOOKUP($E30,'2017 Lindor timeline'!$E1:$R325,MATCH(K$1,'2017 Lindor timeline'!$E$2:$R$2,0),FALSE)</f>
        <v>0</v>
      </c>
      <c r="L30" s="233">
        <f>VLOOKUP($E30,'2017 Lindor timeline'!$E1:$R325,MATCH(L$1,'2017 Lindor timeline'!$E$2:$R$2,0),FALSE)</f>
        <v>0</v>
      </c>
      <c r="M30" s="233">
        <f>VLOOKUP($E30,'2017 Lindor timeline'!$E1:$R325,MATCH(M$1,'2017 Lindor timeline'!$E$2:$R$2,0),FALSE)</f>
        <v>1500</v>
      </c>
      <c r="N30" s="233">
        <f>VLOOKUP($E30,'2017 Lindor timeline'!$E1:$R325,MATCH(N$1,'2017 Lindor timeline'!$E$2:$R$2,0),FALSE)</f>
        <v>4380</v>
      </c>
      <c r="O30" s="233">
        <f>VLOOKUP($E30,'2017 Lindor timeline'!$E1:$R325,MATCH(O$1,'2017 Lindor timeline'!$E$2:$R$2,0),FALSE)</f>
        <v>5220</v>
      </c>
      <c r="P30" s="233">
        <f>VLOOKUP($E30,'2017 Lindor timeline'!$E1:$R325,MATCH(P$1,'2017 Lindor timeline'!$E$2:$R$2,0),FALSE)</f>
        <v>4740</v>
      </c>
      <c r="Q30" s="233">
        <f>VLOOKUP($E30,'2017 Lindor timeline'!$E1:$R325,MATCH(Q$1,'2017 Lindor timeline'!$E$2:$R$2,0),FALSE)</f>
        <v>7800</v>
      </c>
      <c r="R30" s="233">
        <f>SUM(F30:Q30)</f>
        <v>23640</v>
      </c>
      <c r="S30" s="234">
        <f>F30*$C30</f>
        <v>0</v>
      </c>
      <c r="T30" s="234">
        <f>G30*$C30</f>
        <v>0</v>
      </c>
      <c r="U30" s="234">
        <f>H30*$C30</f>
        <v>0</v>
      </c>
      <c r="V30" s="234">
        <f>I30*$C30</f>
        <v>0</v>
      </c>
      <c r="W30" s="234">
        <f>J30*$C30</f>
        <v>0</v>
      </c>
      <c r="X30" s="234">
        <f>K30*$C30</f>
        <v>0</v>
      </c>
      <c r="Y30" s="234">
        <f>L30*$C30</f>
        <v>0</v>
      </c>
      <c r="Z30" s="234">
        <f>M30*$C30</f>
        <v>94589.743589743623</v>
      </c>
      <c r="AA30" s="234">
        <f>N30*$C30</f>
        <v>276202.0512820514</v>
      </c>
      <c r="AB30" s="234">
        <f>O30*$C30</f>
        <v>329172.3076923078</v>
      </c>
      <c r="AC30" s="234">
        <f>P30*$C30</f>
        <v>298903.5897435898</v>
      </c>
      <c r="AD30" s="234">
        <f>Q30*$C30</f>
        <v>491866.6666666668</v>
      </c>
      <c r="AE30" s="234">
        <f>SUM(S30:AD30)</f>
        <v>1490734.358974359</v>
      </c>
    </row>
    <row r="31" ht="13" customHeight="1">
      <c r="A31" t="s" s="225">
        <v>403</v>
      </c>
      <c r="B31" t="s" s="226">
        <v>404</v>
      </c>
      <c r="C31" s="227">
        <v>57.65470085470086</v>
      </c>
      <c r="D31" t="s" s="226">
        <v>625</v>
      </c>
      <c r="E31" t="s" s="226">
        <f>A31&amp;"Lindt actual incoming"</f>
        <v>626</v>
      </c>
      <c r="F31" s="232">
        <f>VLOOKUP($E31,'2017 Lindor timeline'!$E1:$R325,MATCH(F$1,'2017 Lindor timeline'!$E$2:$R$2,0),FALSE)</f>
        <v>0</v>
      </c>
      <c r="G31" s="233">
        <f>VLOOKUP($E31,'2017 Lindor timeline'!$E1:$R325,MATCH(G$1,'2017 Lindor timeline'!$E$2:$R$2,0),FALSE)</f>
        <v>0</v>
      </c>
      <c r="H31" s="233">
        <f>VLOOKUP($E31,'2017 Lindor timeline'!$E1:$R325,MATCH(H$1,'2017 Lindor timeline'!$E$2:$R$2,0),FALSE)</f>
        <v>0</v>
      </c>
      <c r="I31" s="233">
        <f>VLOOKUP($E31,'2017 Lindor timeline'!$E1:$R325,MATCH(I$1,'2017 Lindor timeline'!$E$2:$R$2,0),FALSE)</f>
        <v>0</v>
      </c>
      <c r="J31" s="233">
        <f>VLOOKUP($E31,'2017 Lindor timeline'!$E1:$R325,MATCH(J$1,'2017 Lindor timeline'!$E$2:$R$2,0),FALSE)</f>
        <v>0</v>
      </c>
      <c r="K31" s="233">
        <f>VLOOKUP($E31,'2017 Lindor timeline'!$E1:$R325,MATCH(K$1,'2017 Lindor timeline'!$E$2:$R$2,0),FALSE)</f>
        <v>0</v>
      </c>
      <c r="L31" s="233">
        <f>VLOOKUP($E31,'2017 Lindor timeline'!$E1:$R325,MATCH(L$1,'2017 Lindor timeline'!$E$2:$R$2,0),FALSE)</f>
        <v>0</v>
      </c>
      <c r="M31" s="233">
        <f>VLOOKUP($E31,'2017 Lindor timeline'!$E1:$R325,MATCH(M$1,'2017 Lindor timeline'!$E$2:$R$2,0),FALSE)</f>
        <v>800</v>
      </c>
      <c r="N31" s="233">
        <f>VLOOKUP($E31,'2017 Lindor timeline'!$E1:$R325,MATCH(N$1,'2017 Lindor timeline'!$E$2:$R$2,0),FALSE)</f>
        <v>1700</v>
      </c>
      <c r="O31" s="233">
        <f>VLOOKUP($E31,'2017 Lindor timeline'!$E1:$R325,MATCH(O$1,'2017 Lindor timeline'!$E$2:$R$2,0),FALSE)</f>
        <v>2000</v>
      </c>
      <c r="P31" s="233">
        <f>VLOOKUP($E31,'2017 Lindor timeline'!$E1:$R325,MATCH(P$1,'2017 Lindor timeline'!$E$2:$R$2,0),FALSE)</f>
        <v>1700</v>
      </c>
      <c r="Q31" s="233">
        <f>VLOOKUP($E31,'2017 Lindor timeline'!$E1:$R325,MATCH(Q$1,'2017 Lindor timeline'!$E$2:$R$2,0),FALSE)</f>
        <v>2300</v>
      </c>
      <c r="R31" s="233">
        <f>SUM(F31:Q31)</f>
        <v>8500</v>
      </c>
      <c r="S31" s="234">
        <f>F31*$C31</f>
        <v>0</v>
      </c>
      <c r="T31" s="234">
        <f>G31*$C31</f>
        <v>0</v>
      </c>
      <c r="U31" s="234">
        <f>H31*$C31</f>
        <v>0</v>
      </c>
      <c r="V31" s="234">
        <f>I31*$C31</f>
        <v>0</v>
      </c>
      <c r="W31" s="234">
        <f>J31*$C31</f>
        <v>0</v>
      </c>
      <c r="X31" s="234">
        <f>K31*$C31</f>
        <v>0</v>
      </c>
      <c r="Y31" s="234">
        <f>L31*$C31</f>
        <v>0</v>
      </c>
      <c r="Z31" s="234">
        <f>M31*$C31</f>
        <v>46123.760683760687</v>
      </c>
      <c r="AA31" s="234">
        <f>N31*$C31</f>
        <v>98012.991452991468</v>
      </c>
      <c r="AB31" s="234">
        <f>O31*$C31</f>
        <v>115309.4017094017</v>
      </c>
      <c r="AC31" s="234">
        <f>P31*$C31</f>
        <v>98012.991452991468</v>
      </c>
      <c r="AD31" s="234">
        <f>Q31*$C31</f>
        <v>132605.811965812</v>
      </c>
      <c r="AE31" s="234">
        <f>SUM(S31:AD31)</f>
        <v>490064.9572649574</v>
      </c>
    </row>
    <row r="32" ht="13" customHeight="1">
      <c r="A32" t="s" s="225">
        <v>415</v>
      </c>
      <c r="B32" t="s" s="226">
        <v>416</v>
      </c>
      <c r="C32" s="227">
        <v>53.15042735042734</v>
      </c>
      <c r="D32" t="s" s="226">
        <v>625</v>
      </c>
      <c r="E32" t="s" s="226">
        <f>A32&amp;"Lindt actual incoming"</f>
        <v>627</v>
      </c>
      <c r="F32" s="232">
        <f>VLOOKUP($E32,'2017 Lindor timeline'!$E1:$R325,MATCH(F$1,'2017 Lindor timeline'!$E$2:$R$2,0),FALSE)</f>
        <v>0</v>
      </c>
      <c r="G32" s="233">
        <f>VLOOKUP($E32,'2017 Lindor timeline'!$E1:$R325,MATCH(G$1,'2017 Lindor timeline'!$E$2:$R$2,0),FALSE)</f>
        <v>0</v>
      </c>
      <c r="H32" s="233">
        <f>VLOOKUP($E32,'2017 Lindor timeline'!$E1:$R325,MATCH(H$1,'2017 Lindor timeline'!$E$2:$R$2,0),FALSE)</f>
        <v>0</v>
      </c>
      <c r="I32" s="233">
        <f>VLOOKUP($E32,'2017 Lindor timeline'!$E1:$R325,MATCH(I$1,'2017 Lindor timeline'!$E$2:$R$2,0),FALSE)</f>
        <v>0</v>
      </c>
      <c r="J32" s="233">
        <f>VLOOKUP($E32,'2017 Lindor timeline'!$E1:$R325,MATCH(J$1,'2017 Lindor timeline'!$E$2:$R$2,0),FALSE)</f>
        <v>0</v>
      </c>
      <c r="K32" s="233">
        <f>VLOOKUP($E32,'2017 Lindor timeline'!$E1:$R325,MATCH(K$1,'2017 Lindor timeline'!$E$2:$R$2,0),FALSE)</f>
        <v>0</v>
      </c>
      <c r="L32" s="233">
        <f>VLOOKUP($E32,'2017 Lindor timeline'!$E1:$R325,MATCH(L$1,'2017 Lindor timeline'!$E$2:$R$2,0),FALSE)</f>
        <v>0</v>
      </c>
      <c r="M32" s="233">
        <f>VLOOKUP($E32,'2017 Lindor timeline'!$E1:$R325,MATCH(M$1,'2017 Lindor timeline'!$E$2:$R$2,0),FALSE)</f>
        <v>1800</v>
      </c>
      <c r="N32" s="233">
        <f>VLOOKUP($E32,'2017 Lindor timeline'!$E1:$R325,MATCH(N$1,'2017 Lindor timeline'!$E$2:$R$2,0),FALSE)</f>
        <v>2880</v>
      </c>
      <c r="O32" s="233">
        <f>VLOOKUP($E32,'2017 Lindor timeline'!$E1:$R325,MATCH(O$1,'2017 Lindor timeline'!$E$2:$R$2,0),FALSE)</f>
        <v>1200</v>
      </c>
      <c r="P32" s="233">
        <f>VLOOKUP($E32,'2017 Lindor timeline'!$E1:$R325,MATCH(P$1,'2017 Lindor timeline'!$E$2:$R$2,0),FALSE)</f>
        <v>4320</v>
      </c>
      <c r="Q32" s="233">
        <f>VLOOKUP($E32,'2017 Lindor timeline'!$E1:$R325,MATCH(Q$1,'2017 Lindor timeline'!$E$2:$R$2,0),FALSE)</f>
        <v>3000</v>
      </c>
      <c r="R32" s="233">
        <f>SUM(F32:Q32)</f>
        <v>13200</v>
      </c>
      <c r="S32" s="234">
        <f>F32*$C32</f>
        <v>0</v>
      </c>
      <c r="T32" s="234">
        <f>G32*$C32</f>
        <v>0</v>
      </c>
      <c r="U32" s="234">
        <f>H32*$C32</f>
        <v>0</v>
      </c>
      <c r="V32" s="234">
        <f>I32*$C32</f>
        <v>0</v>
      </c>
      <c r="W32" s="234">
        <f>J32*$C32</f>
        <v>0</v>
      </c>
      <c r="X32" s="234">
        <f>K32*$C32</f>
        <v>0</v>
      </c>
      <c r="Y32" s="234">
        <f>L32*$C32</f>
        <v>0</v>
      </c>
      <c r="Z32" s="234">
        <f>M32*$C32</f>
        <v>95670.769230769220</v>
      </c>
      <c r="AA32" s="234">
        <f>N32*$C32</f>
        <v>153073.2307692308</v>
      </c>
      <c r="AB32" s="234">
        <f>O32*$C32</f>
        <v>63780.512820512813</v>
      </c>
      <c r="AC32" s="234">
        <f>P32*$C32</f>
        <v>229609.8461538461</v>
      </c>
      <c r="AD32" s="234">
        <f>Q32*$C32</f>
        <v>159451.282051282</v>
      </c>
      <c r="AE32" s="234">
        <f>SUM(S32:AD32)</f>
        <v>701585.6410256409</v>
      </c>
    </row>
    <row r="33" ht="13" customHeight="1">
      <c r="A33" t="s" s="225">
        <v>427</v>
      </c>
      <c r="B33" t="s" s="226">
        <v>428</v>
      </c>
      <c r="C33" s="227">
        <v>307.692308</v>
      </c>
      <c r="D33" t="s" s="226">
        <v>618</v>
      </c>
      <c r="E33" t="s" s="226">
        <f>A33&amp;"Lindt actual incoming"</f>
        <v>628</v>
      </c>
      <c r="F33" s="232">
        <f>VLOOKUP($E33,'2017 Lindor timeline'!$E1:$R325,MATCH(F$1,'2017 Lindor timeline'!$E$2:$R$2,0),FALSE)</f>
        <v>0</v>
      </c>
      <c r="G33" s="233">
        <f>VLOOKUP($E33,'2017 Lindor timeline'!$E1:$R325,MATCH(G$1,'2017 Lindor timeline'!$E$2:$R$2,0),FALSE)</f>
        <v>0</v>
      </c>
      <c r="H33" s="233">
        <f>VLOOKUP($E33,'2017 Lindor timeline'!$E1:$R325,MATCH(H$1,'2017 Lindor timeline'!$E$2:$R$2,0),FALSE)</f>
        <v>0</v>
      </c>
      <c r="I33" s="233">
        <f>VLOOKUP($E33,'2017 Lindor timeline'!$E1:$R325,MATCH(I$1,'2017 Lindor timeline'!$E$2:$R$2,0),FALSE)</f>
        <v>0</v>
      </c>
      <c r="J33" s="233">
        <f>VLOOKUP($E33,'2017 Lindor timeline'!$E1:$R325,MATCH(J$1,'2017 Lindor timeline'!$E$2:$R$2,0),FALSE)</f>
        <v>0</v>
      </c>
      <c r="K33" s="233">
        <f>VLOOKUP($E33,'2017 Lindor timeline'!$E1:$R325,MATCH(K$1,'2017 Lindor timeline'!$E$2:$R$2,0),FALSE)</f>
        <v>0</v>
      </c>
      <c r="L33" s="233">
        <f>VLOOKUP($E33,'2017 Lindor timeline'!$E1:$R325,MATCH(L$1,'2017 Lindor timeline'!$E$2:$R$2,0),FALSE)</f>
        <v>0</v>
      </c>
      <c r="M33" s="233">
        <f>VLOOKUP($E33,'2017 Lindor timeline'!$E1:$R325,MATCH(M$1,'2017 Lindor timeline'!$E$2:$R$2,0),FALSE)</f>
        <v>400</v>
      </c>
      <c r="N33" s="233">
        <f>VLOOKUP($E33,'2017 Lindor timeline'!$E1:$R325,MATCH(N$1,'2017 Lindor timeline'!$E$2:$R$2,0),FALSE)</f>
        <v>0</v>
      </c>
      <c r="O33" s="233">
        <f>VLOOKUP($E33,'2017 Lindor timeline'!$E1:$R325,MATCH(O$1,'2017 Lindor timeline'!$E$2:$R$2,0),FALSE)</f>
        <v>100</v>
      </c>
      <c r="P33" s="233">
        <f>VLOOKUP($E33,'2017 Lindor timeline'!$E1:$R325,MATCH(P$1,'2017 Lindor timeline'!$E$2:$R$2,0),FALSE)</f>
        <v>150</v>
      </c>
      <c r="Q33" s="233">
        <f>VLOOKUP($E33,'2017 Lindor timeline'!$E1:$R325,MATCH(Q$1,'2017 Lindor timeline'!$E$2:$R$2,0),FALSE)</f>
        <v>150</v>
      </c>
      <c r="R33" s="233">
        <f>SUM(F33:Q33)</f>
        <v>800</v>
      </c>
      <c r="S33" s="234">
        <f>F33*$C33</f>
        <v>0</v>
      </c>
      <c r="T33" s="234">
        <f>G33*$C33</f>
        <v>0</v>
      </c>
      <c r="U33" s="234">
        <f>H33*$C33</f>
        <v>0</v>
      </c>
      <c r="V33" s="234">
        <f>I33*$C33</f>
        <v>0</v>
      </c>
      <c r="W33" s="234">
        <f>J33*$C33</f>
        <v>0</v>
      </c>
      <c r="X33" s="234">
        <f>K33*$C33</f>
        <v>0</v>
      </c>
      <c r="Y33" s="234">
        <f>L33*$C33</f>
        <v>0</v>
      </c>
      <c r="Z33" s="234">
        <f>M33*$C33</f>
        <v>123076.9232</v>
      </c>
      <c r="AA33" s="234">
        <f>N33*$C33</f>
        <v>0</v>
      </c>
      <c r="AB33" s="234">
        <f>O33*$C33</f>
        <v>30769.2308</v>
      </c>
      <c r="AC33" s="234">
        <f>P33*$C33</f>
        <v>46153.846200000007</v>
      </c>
      <c r="AD33" s="234">
        <f>Q33*$C33</f>
        <v>46153.846200000007</v>
      </c>
      <c r="AE33" s="234">
        <f>SUM(S33:AD33)</f>
        <v>246153.8464</v>
      </c>
    </row>
    <row r="34" ht="13" customHeight="1">
      <c r="A34" t="s" s="225">
        <v>439</v>
      </c>
      <c r="B34" t="s" s="226">
        <v>440</v>
      </c>
      <c r="C34" s="227">
        <v>66.7175</v>
      </c>
      <c r="D34" t="s" s="226">
        <v>629</v>
      </c>
      <c r="E34" t="s" s="226">
        <f>A34&amp;"Lindt actual incoming"</f>
        <v>630</v>
      </c>
      <c r="F34" s="232">
        <f>VLOOKUP($E34,'2017 Lindor timeline'!$E1:$R325,MATCH(F$1,'2017 Lindor timeline'!$E$2:$R$2,0),FALSE)</f>
        <v>0</v>
      </c>
      <c r="G34" s="233">
        <f>VLOOKUP($E34,'2017 Lindor timeline'!$E1:$R325,MATCH(G$1,'2017 Lindor timeline'!$E$2:$R$2,0),FALSE)</f>
        <v>0</v>
      </c>
      <c r="H34" s="233">
        <f>VLOOKUP($E34,'2017 Lindor timeline'!$E1:$R325,MATCH(H$1,'2017 Lindor timeline'!$E$2:$R$2,0),FALSE)</f>
        <v>0</v>
      </c>
      <c r="I34" s="233">
        <f>VLOOKUP($E34,'2017 Lindor timeline'!$E1:$R325,MATCH(I$1,'2017 Lindor timeline'!$E$2:$R$2,0),FALSE)</f>
        <v>0</v>
      </c>
      <c r="J34" s="233">
        <f>VLOOKUP($E34,'2017 Lindor timeline'!$E1:$R325,MATCH(J$1,'2017 Lindor timeline'!$E$2:$R$2,0),FALSE)</f>
        <v>0</v>
      </c>
      <c r="K34" s="233">
        <f>VLOOKUP($E34,'2017 Lindor timeline'!$E1:$R325,MATCH(K$1,'2017 Lindor timeline'!$E$2:$R$2,0),FALSE)</f>
        <v>0</v>
      </c>
      <c r="L34" s="233">
        <f>VLOOKUP($E34,'2017 Lindor timeline'!$E1:$R325,MATCH(L$1,'2017 Lindor timeline'!$E$2:$R$2,0),FALSE)</f>
        <v>0</v>
      </c>
      <c r="M34" s="233">
        <f>VLOOKUP($E34,'2017 Lindor timeline'!$E1:$R325,MATCH(M$1,'2017 Lindor timeline'!$E$2:$R$2,0),FALSE)</f>
        <v>0</v>
      </c>
      <c r="N34" s="233">
        <f>VLOOKUP($E34,'2017 Lindor timeline'!$E1:$R325,MATCH(N$1,'2017 Lindor timeline'!$E$2:$R$2,0),FALSE)</f>
        <v>0</v>
      </c>
      <c r="O34" s="233">
        <f>VLOOKUP($E34,'2017 Lindor timeline'!$E1:$R325,MATCH(O$1,'2017 Lindor timeline'!$E$2:$R$2,0),FALSE)</f>
        <v>320</v>
      </c>
      <c r="P34" s="233">
        <f>VLOOKUP($E34,'2017 Lindor timeline'!$E1:$R325,MATCH(P$1,'2017 Lindor timeline'!$E$2:$R$2,0),FALSE)</f>
        <v>680</v>
      </c>
      <c r="Q34" s="233">
        <f>VLOOKUP($E34,'2017 Lindor timeline'!$E1:$R325,MATCH(Q$1,'2017 Lindor timeline'!$E$2:$R$2,0),FALSE)</f>
        <v>600</v>
      </c>
      <c r="R34" s="233">
        <f>SUM(F34:Q34)</f>
        <v>1600</v>
      </c>
      <c r="S34" s="234">
        <f>F34*$C34</f>
        <v>0</v>
      </c>
      <c r="T34" s="234">
        <f>G34*$C34</f>
        <v>0</v>
      </c>
      <c r="U34" s="234">
        <f>H34*$C34</f>
        <v>0</v>
      </c>
      <c r="V34" s="234">
        <f>I34*$C34</f>
        <v>0</v>
      </c>
      <c r="W34" s="234">
        <f>J34*$C34</f>
        <v>0</v>
      </c>
      <c r="X34" s="234">
        <f>K34*$C34</f>
        <v>0</v>
      </c>
      <c r="Y34" s="234">
        <f>L34*$C34</f>
        <v>0</v>
      </c>
      <c r="Z34" s="234">
        <f>M34*$C34</f>
        <v>0</v>
      </c>
      <c r="AA34" s="234">
        <f>N34*$C34</f>
        <v>0</v>
      </c>
      <c r="AB34" s="234">
        <f>O34*$C34</f>
        <v>21349.6</v>
      </c>
      <c r="AC34" s="234">
        <f>P34*$C34</f>
        <v>45367.9</v>
      </c>
      <c r="AD34" s="234">
        <f>Q34*$C34</f>
        <v>40030.5</v>
      </c>
      <c r="AE34" s="234">
        <f>SUM(S34:AD34)</f>
        <v>106748</v>
      </c>
    </row>
    <row r="35" ht="13" customHeight="1">
      <c r="A35" t="s" s="225">
        <v>451</v>
      </c>
      <c r="B35" t="s" s="226">
        <v>452</v>
      </c>
      <c r="C35" s="227">
        <v>49.34829059829061</v>
      </c>
      <c r="D35" t="s" s="226">
        <v>618</v>
      </c>
      <c r="E35" t="s" s="226">
        <f>A35&amp;"Lindt actual incoming"</f>
        <v>631</v>
      </c>
      <c r="F35" s="232">
        <f>VLOOKUP($E35,'2017 Lindor timeline'!$E1:$R325,MATCH(F$1,'2017 Lindor timeline'!$E$2:$R$2,0),FALSE)</f>
        <v>0</v>
      </c>
      <c r="G35" s="233">
        <f>VLOOKUP($E35,'2017 Lindor timeline'!$E1:$R325,MATCH(G$1,'2017 Lindor timeline'!$E$2:$R$2,0),FALSE)</f>
        <v>0</v>
      </c>
      <c r="H35" s="233">
        <f>VLOOKUP($E35,'2017 Lindor timeline'!$E1:$R325,MATCH(H$1,'2017 Lindor timeline'!$E$2:$R$2,0),FALSE)</f>
        <v>0</v>
      </c>
      <c r="I35" s="233">
        <f>VLOOKUP($E35,'2017 Lindor timeline'!$E1:$R325,MATCH(I$1,'2017 Lindor timeline'!$E$2:$R$2,0),FALSE)</f>
        <v>0</v>
      </c>
      <c r="J35" s="233">
        <f>VLOOKUP($E35,'2017 Lindor timeline'!$E1:$R325,MATCH(J$1,'2017 Lindor timeline'!$E$2:$R$2,0),FALSE)</f>
        <v>0</v>
      </c>
      <c r="K35" s="233">
        <f>VLOOKUP($E35,'2017 Lindor timeline'!$E1:$R325,MATCH(K$1,'2017 Lindor timeline'!$E$2:$R$2,0),FALSE)</f>
        <v>0</v>
      </c>
      <c r="L35" s="233">
        <f>VLOOKUP($E35,'2017 Lindor timeline'!$E1:$R325,MATCH(L$1,'2017 Lindor timeline'!$E$2:$R$2,0),FALSE)</f>
        <v>0</v>
      </c>
      <c r="M35" s="233">
        <f>VLOOKUP($E35,'2017 Lindor timeline'!$E1:$R325,MATCH(M$1,'2017 Lindor timeline'!$E$2:$R$2,0),FALSE)</f>
        <v>0</v>
      </c>
      <c r="N35" s="233">
        <f>VLOOKUP($E35,'2017 Lindor timeline'!$E1:$R325,MATCH(N$1,'2017 Lindor timeline'!$E$2:$R$2,0),FALSE)</f>
        <v>560</v>
      </c>
      <c r="O35" s="233">
        <f>VLOOKUP($E35,'2017 Lindor timeline'!$E1:$R325,MATCH(O$1,'2017 Lindor timeline'!$E$2:$R$2,0),FALSE)</f>
        <v>2800</v>
      </c>
      <c r="P35" s="233">
        <f>VLOOKUP($E35,'2017 Lindor timeline'!$E1:$R325,MATCH(P$1,'2017 Lindor timeline'!$E$2:$R$2,0),FALSE)</f>
        <v>2720</v>
      </c>
      <c r="Q35" s="233">
        <f>VLOOKUP($E35,'2017 Lindor timeline'!$E1:$R325,MATCH(Q$1,'2017 Lindor timeline'!$E$2:$R$2,0),FALSE)</f>
        <v>3440</v>
      </c>
      <c r="R35" s="233">
        <f>SUM(F35:Q35)</f>
        <v>9520</v>
      </c>
      <c r="S35" s="234">
        <f>F35*$C35</f>
        <v>0</v>
      </c>
      <c r="T35" s="234">
        <f>G35*$C35</f>
        <v>0</v>
      </c>
      <c r="U35" s="234">
        <f>H35*$C35</f>
        <v>0</v>
      </c>
      <c r="V35" s="234">
        <f>I35*$C35</f>
        <v>0</v>
      </c>
      <c r="W35" s="234">
        <f>J35*$C35</f>
        <v>0</v>
      </c>
      <c r="X35" s="234">
        <f>K35*$C35</f>
        <v>0</v>
      </c>
      <c r="Y35" s="234">
        <f>L35*$C35</f>
        <v>0</v>
      </c>
      <c r="Z35" s="234">
        <f>M35*$C35</f>
        <v>0</v>
      </c>
      <c r="AA35" s="234">
        <f>N35*$C35</f>
        <v>27635.042735042742</v>
      </c>
      <c r="AB35" s="234">
        <f>O35*$C35</f>
        <v>138175.2136752137</v>
      </c>
      <c r="AC35" s="234">
        <f>P35*$C35</f>
        <v>134227.3504273505</v>
      </c>
      <c r="AD35" s="234">
        <f>Q35*$C35</f>
        <v>169758.1196581197</v>
      </c>
      <c r="AE35" s="234">
        <f>SUM(S35:AD35)</f>
        <v>469795.7264957266</v>
      </c>
    </row>
    <row r="36" ht="13" customHeight="1">
      <c r="A36" t="s" s="225">
        <v>186</v>
      </c>
      <c r="B36" t="s" s="226">
        <v>632</v>
      </c>
      <c r="C36" s="227">
        <v>14.81905982905983</v>
      </c>
      <c r="D36" t="s" s="226">
        <v>594</v>
      </c>
      <c r="E36" t="s" s="226">
        <f>A36&amp;"Lindt actual incoming"</f>
        <v>633</v>
      </c>
      <c r="F36" s="232">
        <f>VLOOKUP($E36,'2017 tablet timeline'!$E1:$Q192,MATCH(F$1,'2017 tablet timeline'!$E$2:$Q$2,0),FALSE)</f>
        <v>0</v>
      </c>
      <c r="G36" s="233">
        <f>VLOOKUP($E36,'2017 tablet timeline'!$E1:$Q192,MATCH(G$1,'2017 tablet timeline'!$E$2:$Q$2,0),FALSE)</f>
        <v>0</v>
      </c>
      <c r="H36" s="233">
        <f>VLOOKUP($E36,'2017 tablet timeline'!$E1:$Q192,MATCH(H$1,'2017 tablet timeline'!$E$2:$Q$2,0),FALSE)</f>
        <v>0</v>
      </c>
      <c r="I36" s="233">
        <f>VLOOKUP($E36,'2017 tablet timeline'!$E1:$Q192,MATCH(I$1,'2017 tablet timeline'!$E$2:$Q$2,0),FALSE)</f>
        <v>0</v>
      </c>
      <c r="J36" s="233">
        <f>VLOOKUP($E36,'2017 tablet timeline'!$E1:$Q192,MATCH(J$1,'2017 tablet timeline'!$E$2:$Q$2,0),FALSE)</f>
        <v>0</v>
      </c>
      <c r="K36" s="233">
        <f>VLOOKUP($E36,'2017 tablet timeline'!$E1:$Q192,MATCH(K$1,'2017 tablet timeline'!$E$2:$Q$2,0),FALSE)</f>
        <v>0</v>
      </c>
      <c r="L36" s="233">
        <f>VLOOKUP($E36,'2017 tablet timeline'!$E1:$Q192,MATCH(L$1,'2017 tablet timeline'!$E$2:$Q$2,0),FALSE)</f>
        <v>0</v>
      </c>
      <c r="M36" s="233">
        <f>VLOOKUP($E36,'2017 tablet timeline'!$E1:$Q192,MATCH(M$1,'2017 tablet timeline'!$E$2:$Q$2,0),FALSE)</f>
        <v>72240</v>
      </c>
      <c r="N36" s="233">
        <f>VLOOKUP($E36,'2017 tablet timeline'!$E1:$Q192,MATCH(N$1,'2017 tablet timeline'!$E$2:$Q$2,0),FALSE)</f>
        <v>0</v>
      </c>
      <c r="O36" s="233">
        <f>VLOOKUP($E36,'2017 tablet timeline'!$E1:$Q192,MATCH(O$1,'2017 tablet timeline'!$E$2:$Q$2,0),FALSE)</f>
        <v>63600</v>
      </c>
      <c r="P36" s="233">
        <f>VLOOKUP($E36,'2017 tablet timeline'!$E1:$Q192,MATCH(P$1,'2017 tablet timeline'!$E$2:$Q$2,0),FALSE)</f>
        <v>30000</v>
      </c>
      <c r="Q36" s="233">
        <f>VLOOKUP($E36,'2017 tablet timeline'!$E1:$Q192,MATCH(Q$1,'2017 tablet timeline'!$E$2:$Q$2,0),FALSE)</f>
        <v>49200</v>
      </c>
      <c r="R36" s="233">
        <f>SUM(F36:Q36)</f>
        <v>215040</v>
      </c>
      <c r="S36" s="234">
        <f>F36*$C36</f>
        <v>0</v>
      </c>
      <c r="T36" s="234">
        <f>G36*$C36</f>
        <v>0</v>
      </c>
      <c r="U36" s="234">
        <f>H36*$C36</f>
        <v>0</v>
      </c>
      <c r="V36" s="234">
        <f>I36*$C36</f>
        <v>0</v>
      </c>
      <c r="W36" s="234">
        <f>J36*$C36</f>
        <v>0</v>
      </c>
      <c r="X36" s="234">
        <f>K36*$C36</f>
        <v>0</v>
      </c>
      <c r="Y36" s="234">
        <f>L36*$C36</f>
        <v>0</v>
      </c>
      <c r="Z36" s="234">
        <f>M36*$C36</f>
        <v>1070528.882051282</v>
      </c>
      <c r="AA36" s="234">
        <f>N36*$C36</f>
        <v>0</v>
      </c>
      <c r="AB36" s="234">
        <f>O36*$C36</f>
        <v>942492.2051282051</v>
      </c>
      <c r="AC36" s="234">
        <f>P36*$C36</f>
        <v>444571.7948717949</v>
      </c>
      <c r="AD36" s="234">
        <f>Q36*$C36</f>
        <v>729097.7435897436</v>
      </c>
      <c r="AE36" s="234">
        <f>SUM(S36:AD36)</f>
        <v>3186690.625641026</v>
      </c>
    </row>
    <row r="37" ht="13" customHeight="1">
      <c r="A37" t="s" s="225">
        <v>198</v>
      </c>
      <c r="B37" t="s" s="226">
        <v>634</v>
      </c>
      <c r="C37" s="227">
        <v>17.52162393162393</v>
      </c>
      <c r="D37" t="s" s="226">
        <v>594</v>
      </c>
      <c r="E37" t="s" s="226">
        <f>A37&amp;"Lindt actual incoming"</f>
        <v>635</v>
      </c>
      <c r="F37" s="232">
        <f>VLOOKUP($E37,'2017 tablet timeline'!$E1:$Q192,MATCH(F$1,'2017 tablet timeline'!$E$2:$Q$2,0),FALSE)</f>
        <v>0</v>
      </c>
      <c r="G37" s="233">
        <f>VLOOKUP($E37,'2017 tablet timeline'!$E1:$Q192,MATCH(G$1,'2017 tablet timeline'!$E$2:$Q$2,0),FALSE)</f>
        <v>0</v>
      </c>
      <c r="H37" s="233">
        <f>VLOOKUP($E37,'2017 tablet timeline'!$E1:$Q192,MATCH(H$1,'2017 tablet timeline'!$E$2:$Q$2,0),FALSE)</f>
        <v>0</v>
      </c>
      <c r="I37" s="233">
        <f>VLOOKUP($E37,'2017 tablet timeline'!$E1:$Q192,MATCH(I$1,'2017 tablet timeline'!$E$2:$Q$2,0),FALSE)</f>
        <v>0</v>
      </c>
      <c r="J37" s="233">
        <f>VLOOKUP($E37,'2017 tablet timeline'!$E1:$Q192,MATCH(J$1,'2017 tablet timeline'!$E$2:$Q$2,0),FALSE)</f>
        <v>0</v>
      </c>
      <c r="K37" s="233">
        <f>VLOOKUP($E37,'2017 tablet timeline'!$E1:$Q192,MATCH(K$1,'2017 tablet timeline'!$E$2:$Q$2,0),FALSE)</f>
        <v>0</v>
      </c>
      <c r="L37" s="233">
        <f>VLOOKUP($E37,'2017 tablet timeline'!$E1:$Q192,MATCH(L$1,'2017 tablet timeline'!$E$2:$Q$2,0),FALSE)</f>
        <v>0</v>
      </c>
      <c r="M37" s="233">
        <f>VLOOKUP($E37,'2017 tablet timeline'!$E1:$Q192,MATCH(M$1,'2017 tablet timeline'!$E$2:$Q$2,0),FALSE)</f>
        <v>59640</v>
      </c>
      <c r="N37" s="233">
        <f>VLOOKUP($E37,'2017 tablet timeline'!$E1:$Q192,MATCH(N$1,'2017 tablet timeline'!$E$2:$Q$2,0),FALSE)</f>
        <v>0</v>
      </c>
      <c r="O37" s="233">
        <f>VLOOKUP($E37,'2017 tablet timeline'!$E1:$Q192,MATCH(O$1,'2017 tablet timeline'!$E$2:$Q$2,0),FALSE)</f>
        <v>51600</v>
      </c>
      <c r="P37" s="233">
        <f>VLOOKUP($E37,'2017 tablet timeline'!$E1:$Q192,MATCH(P$1,'2017 tablet timeline'!$E$2:$Q$2,0),FALSE)</f>
        <v>44400</v>
      </c>
      <c r="Q37" s="233">
        <f>VLOOKUP($E37,'2017 tablet timeline'!$E1:$Q192,MATCH(Q$1,'2017 tablet timeline'!$E$2:$Q$2,0),FALSE)</f>
        <v>78000</v>
      </c>
      <c r="R37" s="233">
        <f>SUM(F37:Q37)</f>
        <v>233640</v>
      </c>
      <c r="S37" s="234">
        <f>F37*$C37</f>
        <v>0</v>
      </c>
      <c r="T37" s="234">
        <f>G37*$C37</f>
        <v>0</v>
      </c>
      <c r="U37" s="234">
        <f>H37*$C37</f>
        <v>0</v>
      </c>
      <c r="V37" s="234">
        <f>I37*$C37</f>
        <v>0</v>
      </c>
      <c r="W37" s="234">
        <f>J37*$C37</f>
        <v>0</v>
      </c>
      <c r="X37" s="234">
        <f>K37*$C37</f>
        <v>0</v>
      </c>
      <c r="Y37" s="234">
        <f>L37*$C37</f>
        <v>0</v>
      </c>
      <c r="Z37" s="234">
        <f>M37*$C37</f>
        <v>1044989.651282051</v>
      </c>
      <c r="AA37" s="234">
        <f>N37*$C37</f>
        <v>0</v>
      </c>
      <c r="AB37" s="234">
        <f>O37*$C37</f>
        <v>904115.7948717949</v>
      </c>
      <c r="AC37" s="234">
        <f>P37*$C37</f>
        <v>777960.1025641026</v>
      </c>
      <c r="AD37" s="234">
        <f>Q37*$C37</f>
        <v>1366686.666666667</v>
      </c>
      <c r="AE37" s="234">
        <f>SUM(S37:AD37)</f>
        <v>4093752.215384616</v>
      </c>
    </row>
    <row r="38" ht="13" customHeight="1">
      <c r="A38" t="s" s="225">
        <v>463</v>
      </c>
      <c r="B38" t="s" s="226">
        <v>464</v>
      </c>
      <c r="C38" s="227">
        <v>11.21564102564103</v>
      </c>
      <c r="D38" t="s" s="226">
        <v>636</v>
      </c>
      <c r="E38" t="s" s="226">
        <f>A38&amp;"Lindt actual incoming"</f>
        <v>637</v>
      </c>
      <c r="F38" s="232">
        <f>VLOOKUP($E38,'2017 Lindor timeline'!$E1:$R325,MATCH(F$1,'2017 Lindor timeline'!$E$2:$R$2,0),FALSE)</f>
        <v>0</v>
      </c>
      <c r="G38" s="233">
        <f>VLOOKUP($E38,'2017 Lindor timeline'!$E1:$R325,MATCH(G$1,'2017 Lindor timeline'!$E$2:$R$2,0),FALSE)</f>
        <v>0</v>
      </c>
      <c r="H38" s="233">
        <f>VLOOKUP($E38,'2017 Lindor timeline'!$E1:$R325,MATCH(H$1,'2017 Lindor timeline'!$E$2:$R$2,0),FALSE)</f>
        <v>0</v>
      </c>
      <c r="I38" s="233">
        <f>VLOOKUP($E38,'2017 Lindor timeline'!$E1:$R325,MATCH(I$1,'2017 Lindor timeline'!$E$2:$R$2,0),FALSE)</f>
        <v>0</v>
      </c>
      <c r="J38" s="233">
        <f>VLOOKUP($E38,'2017 Lindor timeline'!$E1:$R325,MATCH(J$1,'2017 Lindor timeline'!$E$2:$R$2,0),FALSE)</f>
        <v>0</v>
      </c>
      <c r="K38" s="233">
        <f>VLOOKUP($E38,'2017 Lindor timeline'!$E1:$R325,MATCH(K$1,'2017 Lindor timeline'!$E$2:$R$2,0),FALSE)</f>
        <v>0</v>
      </c>
      <c r="L38" s="233">
        <f>VLOOKUP($E38,'2017 Lindor timeline'!$E1:$R325,MATCH(L$1,'2017 Lindor timeline'!$E$2:$R$2,0),FALSE)</f>
        <v>0</v>
      </c>
      <c r="M38" s="233">
        <f>VLOOKUP($E38,'2017 Lindor timeline'!$E1:$R325,MATCH(M$1,'2017 Lindor timeline'!$E$2:$R$2,0),FALSE)</f>
        <v>0</v>
      </c>
      <c r="N38" s="233">
        <f>VLOOKUP($E38,'2017 Lindor timeline'!$E1:$R325,MATCH(N$1,'2017 Lindor timeline'!$E$2:$R$2,0),FALSE)</f>
        <v>1680</v>
      </c>
      <c r="O38" s="233">
        <f>VLOOKUP($E38,'2017 Lindor timeline'!$E1:$R325,MATCH(O$1,'2017 Lindor timeline'!$E$2:$R$2,0),FALSE)</f>
        <v>32000</v>
      </c>
      <c r="P38" s="233">
        <f>VLOOKUP($E38,'2017 Lindor timeline'!$E1:$R325,MATCH(P$1,'2017 Lindor timeline'!$E$2:$R$2,0),FALSE)</f>
        <v>14400</v>
      </c>
      <c r="Q38" s="233">
        <f>VLOOKUP($E38,'2017 Lindor timeline'!$E1:$R325,MATCH(Q$1,'2017 Lindor timeline'!$E$2:$R$2,0),FALSE)</f>
        <v>8000</v>
      </c>
      <c r="R38" s="233">
        <f>SUM(F38:Q38)</f>
        <v>56080</v>
      </c>
      <c r="S38" s="234">
        <f>F38*$C38</f>
        <v>0</v>
      </c>
      <c r="T38" s="234">
        <f>G38*$C38</f>
        <v>0</v>
      </c>
      <c r="U38" s="234">
        <f>H38*$C38</f>
        <v>0</v>
      </c>
      <c r="V38" s="234">
        <f>I38*$C38</f>
        <v>0</v>
      </c>
      <c r="W38" s="234">
        <f>J38*$C38</f>
        <v>0</v>
      </c>
      <c r="X38" s="234">
        <f>K38*$C38</f>
        <v>0</v>
      </c>
      <c r="Y38" s="234">
        <f>L38*$C38</f>
        <v>0</v>
      </c>
      <c r="Z38" s="234">
        <f>M38*$C38</f>
        <v>0</v>
      </c>
      <c r="AA38" s="234">
        <f>N38*$C38</f>
        <v>18842.276923076930</v>
      </c>
      <c r="AB38" s="234">
        <f>O38*$C38</f>
        <v>358900.512820513</v>
      </c>
      <c r="AC38" s="234">
        <f>P38*$C38</f>
        <v>161505.2307692308</v>
      </c>
      <c r="AD38" s="234">
        <f>Q38*$C38</f>
        <v>89725.128205128247</v>
      </c>
      <c r="AE38" s="234">
        <f>SUM(S38:AD38)</f>
        <v>628973.1487179491</v>
      </c>
    </row>
    <row r="39" ht="13" customHeight="1">
      <c r="A39" t="s" s="225">
        <v>475</v>
      </c>
      <c r="B39" t="s" s="226">
        <v>476</v>
      </c>
      <c r="C39" s="227">
        <v>26.53017094017094</v>
      </c>
      <c r="D39" t="s" s="226">
        <v>636</v>
      </c>
      <c r="E39" t="s" s="226">
        <f>A39&amp;"Lindt actual incoming"</f>
        <v>638</v>
      </c>
      <c r="F39" s="232">
        <f>VLOOKUP($E39,'2017 Lindor timeline'!$E1:$R325,MATCH(F$1,'2017 Lindor timeline'!$E$2:$R$2,0),FALSE)</f>
        <v>0</v>
      </c>
      <c r="G39" s="233">
        <f>VLOOKUP($E39,'2017 Lindor timeline'!$E1:$R325,MATCH(G$1,'2017 Lindor timeline'!$E$2:$R$2,0),FALSE)</f>
        <v>0</v>
      </c>
      <c r="H39" s="233">
        <f>VLOOKUP($E39,'2017 Lindor timeline'!$E1:$R325,MATCH(H$1,'2017 Lindor timeline'!$E$2:$R$2,0),FALSE)</f>
        <v>0</v>
      </c>
      <c r="I39" s="233">
        <f>VLOOKUP($E39,'2017 Lindor timeline'!$E1:$R325,MATCH(I$1,'2017 Lindor timeline'!$E$2:$R$2,0),FALSE)</f>
        <v>0</v>
      </c>
      <c r="J39" s="233">
        <f>VLOOKUP($E39,'2017 Lindor timeline'!$E1:$R325,MATCH(J$1,'2017 Lindor timeline'!$E$2:$R$2,0),FALSE)</f>
        <v>0</v>
      </c>
      <c r="K39" s="233">
        <f>VLOOKUP($E39,'2017 Lindor timeline'!$E1:$R325,MATCH(K$1,'2017 Lindor timeline'!$E$2:$R$2,0),FALSE)</f>
        <v>0</v>
      </c>
      <c r="L39" s="233">
        <f>VLOOKUP($E39,'2017 Lindor timeline'!$E1:$R325,MATCH(L$1,'2017 Lindor timeline'!$E$2:$R$2,0),FALSE)</f>
        <v>0</v>
      </c>
      <c r="M39" s="233">
        <f>VLOOKUP($E39,'2017 Lindor timeline'!$E1:$R325,MATCH(M$1,'2017 Lindor timeline'!$E$2:$R$2,0),FALSE)</f>
        <v>33600</v>
      </c>
      <c r="N39" s="233">
        <f>VLOOKUP($E39,'2017 Lindor timeline'!$E1:$R325,MATCH(N$1,'2017 Lindor timeline'!$E$2:$R$2,0),FALSE)</f>
        <v>25136</v>
      </c>
      <c r="O39" s="233">
        <f>VLOOKUP($E39,'2017 Lindor timeline'!$E1:$R325,MATCH(O$1,'2017 Lindor timeline'!$E$2:$R$2,0),FALSE)</f>
        <v>52000</v>
      </c>
      <c r="P39" s="233">
        <f>VLOOKUP($E39,'2017 Lindor timeline'!$E1:$R325,MATCH(P$1,'2017 Lindor timeline'!$E$2:$R$2,0),FALSE)</f>
        <v>48000</v>
      </c>
      <c r="Q39" s="233">
        <f>VLOOKUP($E39,'2017 Lindor timeline'!$E1:$R325,MATCH(Q$1,'2017 Lindor timeline'!$E$2:$R$2,0),FALSE)</f>
        <v>39200</v>
      </c>
      <c r="R39" s="233">
        <f>SUM(F39:Q39)</f>
        <v>197936</v>
      </c>
      <c r="S39" s="234">
        <f>F39*$C39</f>
        <v>0</v>
      </c>
      <c r="T39" s="234">
        <f>G39*$C39</f>
        <v>0</v>
      </c>
      <c r="U39" s="234">
        <f>H39*$C39</f>
        <v>0</v>
      </c>
      <c r="V39" s="234">
        <f>I39*$C39</f>
        <v>0</v>
      </c>
      <c r="W39" s="234">
        <f>J39*$C39</f>
        <v>0</v>
      </c>
      <c r="X39" s="234">
        <f>K39*$C39</f>
        <v>0</v>
      </c>
      <c r="Y39" s="234">
        <f>L39*$C39</f>
        <v>0</v>
      </c>
      <c r="Z39" s="234">
        <f>M39*$C39</f>
        <v>891413.7435897436</v>
      </c>
      <c r="AA39" s="234">
        <f>N39*$C39</f>
        <v>666862.3767521367</v>
      </c>
      <c r="AB39" s="234">
        <f>O39*$C39</f>
        <v>1379568.888888889</v>
      </c>
      <c r="AC39" s="234">
        <f>P39*$C39</f>
        <v>1273448.205128205</v>
      </c>
      <c r="AD39" s="234">
        <f>Q39*$C39</f>
        <v>1039982.700854701</v>
      </c>
      <c r="AE39" s="234">
        <f>SUM(S39:AD39)</f>
        <v>5251275.915213675</v>
      </c>
    </row>
    <row r="40" ht="13" customHeight="1">
      <c r="A40" t="s" s="225">
        <v>487</v>
      </c>
      <c r="B40" t="s" s="226">
        <v>488</v>
      </c>
      <c r="C40" s="227">
        <v>26.53017094017094</v>
      </c>
      <c r="D40" t="s" s="226">
        <v>636</v>
      </c>
      <c r="E40" t="s" s="226">
        <f>A40&amp;"Lindt actual incoming"</f>
        <v>639</v>
      </c>
      <c r="F40" s="232">
        <f>VLOOKUP($E40,'2017 Lindor timeline'!$E1:$R325,MATCH(F$1,'2017 Lindor timeline'!$E$2:$R$2,0),FALSE)</f>
        <v>0</v>
      </c>
      <c r="G40" s="233">
        <f>VLOOKUP($E40,'2017 Lindor timeline'!$E1:$R325,MATCH(G$1,'2017 Lindor timeline'!$E$2:$R$2,0),FALSE)</f>
        <v>0</v>
      </c>
      <c r="H40" s="233">
        <f>VLOOKUP($E40,'2017 Lindor timeline'!$E1:$R325,MATCH(H$1,'2017 Lindor timeline'!$E$2:$R$2,0),FALSE)</f>
        <v>0</v>
      </c>
      <c r="I40" s="233">
        <f>VLOOKUP($E40,'2017 Lindor timeline'!$E1:$R325,MATCH(I$1,'2017 Lindor timeline'!$E$2:$R$2,0),FALSE)</f>
        <v>0</v>
      </c>
      <c r="J40" s="233">
        <f>VLOOKUP($E40,'2017 Lindor timeline'!$E1:$R325,MATCH(J$1,'2017 Lindor timeline'!$E$2:$R$2,0),FALSE)</f>
        <v>0</v>
      </c>
      <c r="K40" s="233">
        <f>VLOOKUP($E40,'2017 Lindor timeline'!$E1:$R325,MATCH(K$1,'2017 Lindor timeline'!$E$2:$R$2,0),FALSE)</f>
        <v>0</v>
      </c>
      <c r="L40" s="233">
        <f>VLOOKUP($E40,'2017 Lindor timeline'!$E1:$R325,MATCH(L$1,'2017 Lindor timeline'!$E$2:$R$2,0),FALSE)</f>
        <v>0</v>
      </c>
      <c r="M40" s="233">
        <f>VLOOKUP($E40,'2017 Lindor timeline'!$E1:$R325,MATCH(M$1,'2017 Lindor timeline'!$E$2:$R$2,0),FALSE)</f>
        <v>14400</v>
      </c>
      <c r="N40" s="233">
        <f>VLOOKUP($E40,'2017 Lindor timeline'!$E1:$R325,MATCH(N$1,'2017 Lindor timeline'!$E$2:$R$2,0),FALSE)</f>
        <v>6576</v>
      </c>
      <c r="O40" s="233">
        <f>VLOOKUP($E40,'2017 Lindor timeline'!$E1:$R325,MATCH(O$1,'2017 Lindor timeline'!$E$2:$R$2,0),FALSE)</f>
        <v>14400</v>
      </c>
      <c r="P40" s="233">
        <f>VLOOKUP($E40,'2017 Lindor timeline'!$E1:$R325,MATCH(P$1,'2017 Lindor timeline'!$E$2:$R$2,0),FALSE)</f>
        <v>22400</v>
      </c>
      <c r="Q40" s="233">
        <f>VLOOKUP($E40,'2017 Lindor timeline'!$E1:$R325,MATCH(Q$1,'2017 Lindor timeline'!$E$2:$R$2,0),FALSE)</f>
        <v>29600</v>
      </c>
      <c r="R40" s="233">
        <f>SUM(F40:Q40)</f>
        <v>87376</v>
      </c>
      <c r="S40" s="234">
        <f>F40*$C40</f>
        <v>0</v>
      </c>
      <c r="T40" s="234">
        <f>G40*$C40</f>
        <v>0</v>
      </c>
      <c r="U40" s="234">
        <f>H40*$C40</f>
        <v>0</v>
      </c>
      <c r="V40" s="234">
        <f>I40*$C40</f>
        <v>0</v>
      </c>
      <c r="W40" s="234">
        <f>J40*$C40</f>
        <v>0</v>
      </c>
      <c r="X40" s="234">
        <f>K40*$C40</f>
        <v>0</v>
      </c>
      <c r="Y40" s="234">
        <f>L40*$C40</f>
        <v>0</v>
      </c>
      <c r="Z40" s="234">
        <f>M40*$C40</f>
        <v>382034.4615384616</v>
      </c>
      <c r="AA40" s="234">
        <f>N40*$C40</f>
        <v>174462.4041025641</v>
      </c>
      <c r="AB40" s="234">
        <f>O40*$C40</f>
        <v>382034.4615384616</v>
      </c>
      <c r="AC40" s="234">
        <f>P40*$C40</f>
        <v>594275.829059829</v>
      </c>
      <c r="AD40" s="234">
        <f>Q40*$C40</f>
        <v>785293.0598290599</v>
      </c>
      <c r="AE40" s="234">
        <f>SUM(S40:AD40)</f>
        <v>2318100.216068376</v>
      </c>
    </row>
    <row r="41" ht="13" customHeight="1">
      <c r="A41" t="s" s="225">
        <v>499</v>
      </c>
      <c r="B41" t="s" s="226">
        <v>500</v>
      </c>
      <c r="C41" s="227">
        <v>26.53017094017094</v>
      </c>
      <c r="D41" t="s" s="226">
        <v>636</v>
      </c>
      <c r="E41" t="s" s="226">
        <f>A41&amp;"Lindt actual incoming"</f>
        <v>640</v>
      </c>
      <c r="F41" s="232">
        <f>VLOOKUP($E41,'2017 Lindor timeline'!$E1:$R325,MATCH(F$1,'2017 Lindor timeline'!$E$2:$R$2,0),FALSE)</f>
        <v>0</v>
      </c>
      <c r="G41" s="233">
        <f>VLOOKUP($E41,'2017 Lindor timeline'!$E1:$R325,MATCH(G$1,'2017 Lindor timeline'!$E$2:$R$2,0),FALSE)</f>
        <v>0</v>
      </c>
      <c r="H41" s="233">
        <f>VLOOKUP($E41,'2017 Lindor timeline'!$E1:$R325,MATCH(H$1,'2017 Lindor timeline'!$E$2:$R$2,0),FALSE)</f>
        <v>0</v>
      </c>
      <c r="I41" s="233">
        <f>VLOOKUP($E41,'2017 Lindor timeline'!$E1:$R325,MATCH(I$1,'2017 Lindor timeline'!$E$2:$R$2,0),FALSE)</f>
        <v>0</v>
      </c>
      <c r="J41" s="233">
        <f>VLOOKUP($E41,'2017 Lindor timeline'!$E1:$R325,MATCH(J$1,'2017 Lindor timeline'!$E$2:$R$2,0),FALSE)</f>
        <v>0</v>
      </c>
      <c r="K41" s="233">
        <f>VLOOKUP($E41,'2017 Lindor timeline'!$E1:$R325,MATCH(K$1,'2017 Lindor timeline'!$E$2:$R$2,0),FALSE)</f>
        <v>0</v>
      </c>
      <c r="L41" s="233">
        <f>VLOOKUP($E41,'2017 Lindor timeline'!$E1:$R325,MATCH(L$1,'2017 Lindor timeline'!$E$2:$R$2,0),FALSE)</f>
        <v>0</v>
      </c>
      <c r="M41" s="233">
        <f>VLOOKUP($E41,'2017 Lindor timeline'!$E1:$R325,MATCH(M$1,'2017 Lindor timeline'!$E$2:$R$2,0),FALSE)</f>
        <v>43680</v>
      </c>
      <c r="N41" s="233">
        <f>VLOOKUP($E41,'2017 Lindor timeline'!$E1:$R325,MATCH(N$1,'2017 Lindor timeline'!$E$2:$R$2,0),FALSE)</f>
        <v>23024</v>
      </c>
      <c r="O41" s="233">
        <f>VLOOKUP($E41,'2017 Lindor timeline'!$E1:$R325,MATCH(O$1,'2017 Lindor timeline'!$E$2:$R$2,0),FALSE)</f>
        <v>52000</v>
      </c>
      <c r="P41" s="233">
        <f>VLOOKUP($E41,'2017 Lindor timeline'!$E1:$R325,MATCH(P$1,'2017 Lindor timeline'!$E$2:$R$2,0),FALSE)</f>
        <v>54400</v>
      </c>
      <c r="Q41" s="233">
        <f>VLOOKUP($E41,'2017 Lindor timeline'!$E1:$R325,MATCH(Q$1,'2017 Lindor timeline'!$E$2:$R$2,0),FALSE)</f>
        <v>54400</v>
      </c>
      <c r="R41" s="233">
        <f>SUM(F41:Q41)</f>
        <v>227504</v>
      </c>
      <c r="S41" s="234">
        <f>F41*$C41</f>
        <v>0</v>
      </c>
      <c r="T41" s="234">
        <f>G41*$C41</f>
        <v>0</v>
      </c>
      <c r="U41" s="234">
        <f>H41*$C41</f>
        <v>0</v>
      </c>
      <c r="V41" s="234">
        <f>I41*$C41</f>
        <v>0</v>
      </c>
      <c r="W41" s="234">
        <f>J41*$C41</f>
        <v>0</v>
      </c>
      <c r="X41" s="234">
        <f>K41*$C41</f>
        <v>0</v>
      </c>
      <c r="Y41" s="234">
        <f>L41*$C41</f>
        <v>0</v>
      </c>
      <c r="Z41" s="234">
        <f>M41*$C41</f>
        <v>1158837.866666667</v>
      </c>
      <c r="AA41" s="234">
        <f>N41*$C41</f>
        <v>610830.6557264958</v>
      </c>
      <c r="AB41" s="234">
        <f>O41*$C41</f>
        <v>1379568.888888889</v>
      </c>
      <c r="AC41" s="234">
        <f>P41*$C41</f>
        <v>1443241.299145299</v>
      </c>
      <c r="AD41" s="234">
        <f>Q41*$C41</f>
        <v>1443241.299145299</v>
      </c>
      <c r="AE41" s="234">
        <f>SUM(S41:AD41)</f>
        <v>6035720.009572649</v>
      </c>
    </row>
    <row r="42" ht="13" customHeight="1">
      <c r="A42" t="s" s="225">
        <v>511</v>
      </c>
      <c r="B42" t="s" s="226">
        <v>512</v>
      </c>
      <c r="C42" s="227">
        <v>31.03444444444445</v>
      </c>
      <c r="D42" t="s" s="226">
        <v>636</v>
      </c>
      <c r="E42" t="s" s="226">
        <f>A42&amp;"Lindt actual incoming"</f>
        <v>641</v>
      </c>
      <c r="F42" s="232">
        <f>VLOOKUP($E42,'2017 Lindor timeline'!$E1:$R325,MATCH(F$1,'2017 Lindor timeline'!$E$2:$R$2,0),FALSE)</f>
        <v>0</v>
      </c>
      <c r="G42" s="233">
        <f>VLOOKUP($E42,'2017 Lindor timeline'!$E1:$R325,MATCH(G$1,'2017 Lindor timeline'!$E$2:$R$2,0),FALSE)</f>
        <v>0</v>
      </c>
      <c r="H42" s="233">
        <f>VLOOKUP($E42,'2017 Lindor timeline'!$E1:$R325,MATCH(H$1,'2017 Lindor timeline'!$E$2:$R$2,0),FALSE)</f>
        <v>0</v>
      </c>
      <c r="I42" s="233">
        <f>VLOOKUP($E42,'2017 Lindor timeline'!$E1:$R325,MATCH(I$1,'2017 Lindor timeline'!$E$2:$R$2,0),FALSE)</f>
        <v>0</v>
      </c>
      <c r="J42" s="233">
        <f>VLOOKUP($E42,'2017 Lindor timeline'!$E1:$R325,MATCH(J$1,'2017 Lindor timeline'!$E$2:$R$2,0),FALSE)</f>
        <v>0</v>
      </c>
      <c r="K42" s="233">
        <f>VLOOKUP($E42,'2017 Lindor timeline'!$E1:$R325,MATCH(K$1,'2017 Lindor timeline'!$E$2:$R$2,0),FALSE)</f>
        <v>0</v>
      </c>
      <c r="L42" s="233">
        <f>VLOOKUP($E42,'2017 Lindor timeline'!$E1:$R325,MATCH(L$1,'2017 Lindor timeline'!$E$2:$R$2,0),FALSE)</f>
        <v>0</v>
      </c>
      <c r="M42" s="233">
        <f>VLOOKUP($E42,'2017 Lindor timeline'!$E1:$R325,MATCH(M$1,'2017 Lindor timeline'!$E$2:$R$2,0),FALSE)</f>
        <v>0</v>
      </c>
      <c r="N42" s="233">
        <f>VLOOKUP($E42,'2017 Lindor timeline'!$E1:$R325,MATCH(N$1,'2017 Lindor timeline'!$E$2:$R$2,0),FALSE)</f>
        <v>0</v>
      </c>
      <c r="O42" s="233">
        <f>VLOOKUP($E42,'2017 Lindor timeline'!$E1:$R325,MATCH(O$1,'2017 Lindor timeline'!$E$2:$R$2,0),FALSE)</f>
        <v>11200</v>
      </c>
      <c r="P42" s="233">
        <f>VLOOKUP($E42,'2017 Lindor timeline'!$E1:$R325,MATCH(P$1,'2017 Lindor timeline'!$E$2:$R$2,0),FALSE)</f>
        <v>5600</v>
      </c>
      <c r="Q42" s="233">
        <f>VLOOKUP($E42,'2017 Lindor timeline'!$E1:$R325,MATCH(Q$1,'2017 Lindor timeline'!$E$2:$R$2,0),FALSE)</f>
        <v>6800</v>
      </c>
      <c r="R42" s="233">
        <f>SUM(F42:Q42)</f>
        <v>23600</v>
      </c>
      <c r="S42" s="234">
        <f>F42*$C42</f>
        <v>0</v>
      </c>
      <c r="T42" s="234">
        <f>G42*$C42</f>
        <v>0</v>
      </c>
      <c r="U42" s="234">
        <f>H42*$C42</f>
        <v>0</v>
      </c>
      <c r="V42" s="234">
        <f>I42*$C42</f>
        <v>0</v>
      </c>
      <c r="W42" s="234">
        <f>J42*$C42</f>
        <v>0</v>
      </c>
      <c r="X42" s="234">
        <f>K42*$C42</f>
        <v>0</v>
      </c>
      <c r="Y42" s="234">
        <f>L42*$C42</f>
        <v>0</v>
      </c>
      <c r="Z42" s="234">
        <f>M42*$C42</f>
        <v>0</v>
      </c>
      <c r="AA42" s="234">
        <f>N42*$C42</f>
        <v>0</v>
      </c>
      <c r="AB42" s="234">
        <f>O42*$C42</f>
        <v>347585.7777777778</v>
      </c>
      <c r="AC42" s="234">
        <f>P42*$C42</f>
        <v>173792.8888888889</v>
      </c>
      <c r="AD42" s="234">
        <f>Q42*$C42</f>
        <v>211034.2222222222</v>
      </c>
      <c r="AE42" s="234">
        <f>SUM(S42:AD42)</f>
        <v>732412.888888889</v>
      </c>
    </row>
    <row r="43" ht="16" customHeight="1">
      <c r="A43" s="235"/>
      <c r="B43" s="236"/>
      <c r="C43" s="236"/>
      <c r="D43" s="236"/>
      <c r="E43" s="236"/>
      <c r="F43" s="237"/>
      <c r="G43" s="215"/>
      <c r="H43" s="215"/>
      <c r="I43" s="215"/>
      <c r="J43" s="215"/>
      <c r="K43" s="215"/>
      <c r="L43" s="215"/>
      <c r="M43" s="215"/>
      <c r="N43" s="215"/>
      <c r="O43" s="215"/>
      <c r="P43" s="215"/>
      <c r="Q43" s="215"/>
      <c r="R43" s="215"/>
      <c r="S43" s="215"/>
      <c r="T43" s="215"/>
      <c r="U43" s="215"/>
      <c r="V43" s="215"/>
      <c r="W43" s="215"/>
      <c r="X43" s="215"/>
      <c r="Y43" s="215"/>
      <c r="Z43" s="215"/>
      <c r="AA43" s="215"/>
      <c r="AB43" s="215"/>
      <c r="AC43" s="215"/>
      <c r="AD43" s="215"/>
      <c r="AE43" s="234">
        <f>SUM(AE2:AE42)</f>
        <v>90747502.90648548</v>
      </c>
    </row>
  </sheetData>
  <conditionalFormatting sqref="C1:C42">
    <cfRule type="cellIs" dxfId="8" priority="1" operator="lessThan" stopIfTrue="1">
      <formula>0</formula>
    </cfRule>
  </conditionalFormatting>
  <conditionalFormatting sqref="F1:AE1">
    <cfRule type="cellIs" dxfId="9" priority="1" operator="lessThan"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