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2866941" sheetId="1" r:id="rId4"/>
  </sheets>
  <definedNames/>
  <calcPr/>
  <extLst>
    <ext uri="GoogleSheetsCustomDataVersion1">
      <go:sheetsCustomData xmlns:go="http://customooxmlschemas.google.com/" r:id="rId5" roundtripDataSignature="AMtx7mg9kSzxbnNWWDvxGx9VUyP+XHqiDw=="/>
    </ext>
  </extLst>
</workbook>
</file>

<file path=xl/sharedStrings.xml><?xml version="1.0" encoding="utf-8"?>
<sst xmlns="http://schemas.openxmlformats.org/spreadsheetml/2006/main" count="2031" uniqueCount="750">
  <si>
    <t>LOCATION</t>
  </si>
  <si>
    <t>LOT #</t>
  </si>
  <si>
    <t>CATEGORY</t>
  </si>
  <si>
    <t>SEASON CODE</t>
  </si>
  <si>
    <t>RETURN TYPE</t>
  </si>
  <si>
    <t># OF PALLETS</t>
  </si>
  <si>
    <t># OF CARTONS</t>
  </si>
  <si>
    <t>TOTAL ORIGINAL RETAIL</t>
  </si>
  <si>
    <t># OF UNITS</t>
  </si>
  <si>
    <t>TOTAL CLIENT COST</t>
  </si>
  <si>
    <t>AVG. UNIT CLIENT COST</t>
  </si>
  <si>
    <t>MIAMI FL</t>
  </si>
  <si>
    <t>WOMENS ACTIVE</t>
  </si>
  <si>
    <t>MIXED / BOTH</t>
  </si>
  <si>
    <t>STORE STOCK</t>
  </si>
  <si>
    <t>UPC</t>
  </si>
  <si>
    <t>ITEM DESCRIPTION</t>
  </si>
  <si>
    <t>ORIGINAL QTY</t>
  </si>
  <si>
    <t>ORIGINAL RETAIL</t>
  </si>
  <si>
    <t>VENDOR / STYLE #</t>
  </si>
  <si>
    <t>COLOR</t>
  </si>
  <si>
    <t>SIZE</t>
  </si>
  <si>
    <t>DIVISION</t>
  </si>
  <si>
    <t>DEPARTMENT NAME</t>
  </si>
  <si>
    <t>VENDOR NAME</t>
  </si>
  <si>
    <t>IMAGE</t>
  </si>
  <si>
    <t>192660003382</t>
  </si>
  <si>
    <t>Columbia Powder Lite Mid Jacket Black Cherry XS</t>
  </si>
  <si>
    <t>BRIGHT PUR</t>
  </si>
  <si>
    <t>XS</t>
  </si>
  <si>
    <t>MCY</t>
  </si>
  <si>
    <t>OTDR ACTV RTW</t>
  </si>
  <si>
    <t>COLUMBIA BRANDS USA, LLC</t>
  </si>
  <si>
    <t>192660003320</t>
  </si>
  <si>
    <t>Columbia Powder Lite Mid Jacket Dark Seas XL</t>
  </si>
  <si>
    <t>GREEN</t>
  </si>
  <si>
    <t>XL</t>
  </si>
  <si>
    <t>795733195948</t>
  </si>
  <si>
    <t>DKNY Metallic Plaid Puffer Jacket Blacksilver S</t>
  </si>
  <si>
    <t>DP9J8604</t>
  </si>
  <si>
    <t>SILVER</t>
  </si>
  <si>
    <t>S</t>
  </si>
  <si>
    <t>DKNY ACTIVE</t>
  </si>
  <si>
    <t>DKNY/G-III APPAREL GROUP</t>
  </si>
  <si>
    <t>193151255167</t>
  </si>
  <si>
    <t>Nike Essential Water-Repellent Hood Gunsmoke S</t>
  </si>
  <si>
    <t>BV4723</t>
  </si>
  <si>
    <t>LT/PAS GRY</t>
  </si>
  <si>
    <t>NIKEMS/FUNACT</t>
  </si>
  <si>
    <t>NIKE</t>
  </si>
  <si>
    <t>192502701292</t>
  </si>
  <si>
    <t>Nike Plus Size Sportswear Mesh Jack Black 2X</t>
  </si>
  <si>
    <t>CI0156</t>
  </si>
  <si>
    <t>CHARCOAL</t>
  </si>
  <si>
    <t>2X</t>
  </si>
  <si>
    <t>ACTIVE PLUS</t>
  </si>
  <si>
    <t>NIKE USA INC</t>
  </si>
  <si>
    <t>193152061651</t>
  </si>
  <si>
    <t>Nike Sportswear Velour Heritage Jog Team RedUniversity Blue XL</t>
  </si>
  <si>
    <t>BV5035</t>
  </si>
  <si>
    <t>BRGHT PINK</t>
  </si>
  <si>
    <t>193146864435</t>
  </si>
  <si>
    <t>Nike Air Cropped Satin Track Jacket Echo Pink M</t>
  </si>
  <si>
    <t>BV4779</t>
  </si>
  <si>
    <t>LT/PASPINK</t>
  </si>
  <si>
    <t>M</t>
  </si>
  <si>
    <t>193152109919</t>
  </si>
  <si>
    <t>Nike Plus Size Sportswear Shine 12 Team RedMetallic Gold 2X</t>
  </si>
  <si>
    <t>CK8610</t>
  </si>
  <si>
    <t>193152109902</t>
  </si>
  <si>
    <t>Nike Plus Size Sportswear Shine 12 Team RedMetallic Gold 1X</t>
  </si>
  <si>
    <t>795731902883</t>
  </si>
  <si>
    <t>DKNY Tie-Dyed Hoodie Sneaker Dress Lapis XS</t>
  </si>
  <si>
    <t>DP9D4175</t>
  </si>
  <si>
    <t>193152056244</t>
  </si>
  <si>
    <t>Nike Sportswear Shine Metallic-Grap BlackGold L</t>
  </si>
  <si>
    <t>BV4990</t>
  </si>
  <si>
    <t>LARGE</t>
  </si>
  <si>
    <t>795731902852</t>
  </si>
  <si>
    <t>DKNY Tie-Dyed Hoodie Sneaker Dress Lapis M</t>
  </si>
  <si>
    <t>192501741695</t>
  </si>
  <si>
    <t>Nike Plus Size Air Cropped Running BlackWhite 1X</t>
  </si>
  <si>
    <t>CI0315</t>
  </si>
  <si>
    <t>192503591069</t>
  </si>
  <si>
    <t>Champion Super Fleece Faux-Fur Metallic Oxford Greychalk White S</t>
  </si>
  <si>
    <t>ML414550298</t>
  </si>
  <si>
    <t>WHITE</t>
  </si>
  <si>
    <t>A OR SMALL</t>
  </si>
  <si>
    <t>OTHER ACTIVE</t>
  </si>
  <si>
    <t>CHAMPION/HANESBRANDS INC</t>
  </si>
  <si>
    <t>192503659820</t>
  </si>
  <si>
    <t>Champion Reverse Weave Logo-Print Jogge Big Block Text Outline Black XL</t>
  </si>
  <si>
    <t>ML777P</t>
  </si>
  <si>
    <t>BLACK</t>
  </si>
  <si>
    <t>X LARGE</t>
  </si>
  <si>
    <t>192503623364</t>
  </si>
  <si>
    <t>Champion Reverse Weave Cropped Hoodie Paper Orchid XL</t>
  </si>
  <si>
    <t>WL659549302</t>
  </si>
  <si>
    <t>MED PINK</t>
  </si>
  <si>
    <t>192503659844</t>
  </si>
  <si>
    <t>Champion Reverse Weave Logo-Print Jogge Tossed C Logo Black XS</t>
  </si>
  <si>
    <t>XS NO CUP</t>
  </si>
  <si>
    <t>192503659790</t>
  </si>
  <si>
    <t>Champion Reverse Weave Logo-Print Jogge Big Block Text Outline Black S</t>
  </si>
  <si>
    <t>191480416730</t>
  </si>
  <si>
    <t>Under Armour HeatGear Jacket Black XXL</t>
  </si>
  <si>
    <t>2XL</t>
  </si>
  <si>
    <t>UNDERARMOUR R</t>
  </si>
  <si>
    <t>UNDER ARMOUR</t>
  </si>
  <si>
    <t>192502499892</t>
  </si>
  <si>
    <t>Nike Dri-FIT Just Do It Fleece Zip Carbon Heatherblack M</t>
  </si>
  <si>
    <t>BV5041</t>
  </si>
  <si>
    <t>GRAY</t>
  </si>
  <si>
    <t>193146862646</t>
  </si>
  <si>
    <t>Nike Air Fleece Sweatpants Blackbirch Heatherwhite L</t>
  </si>
  <si>
    <t>BV4775</t>
  </si>
  <si>
    <t>193146788540</t>
  </si>
  <si>
    <t>Nike Sportswear Print-Logo Cropped Phantom M</t>
  </si>
  <si>
    <t>BV2800</t>
  </si>
  <si>
    <t>MED GRAY</t>
  </si>
  <si>
    <t>193152060920</t>
  </si>
  <si>
    <t>Nike Sportswear Shine Metallic-Logo BlackGold L</t>
  </si>
  <si>
    <t>BV5033</t>
  </si>
  <si>
    <t>193146833523</t>
  </si>
  <si>
    <t>Nike Sportswear Logo Fleece Sweatsh BlackWhite S</t>
  </si>
  <si>
    <t>BV3933</t>
  </si>
  <si>
    <t>193146827928</t>
  </si>
  <si>
    <t>Nike Fast Dri-FIT Running Leggings Blackwhite M</t>
  </si>
  <si>
    <t>BV3802</t>
  </si>
  <si>
    <t>192503609511</t>
  </si>
  <si>
    <t>Champion Heritage Herringbone Zip Hoodi Venetian Purple S</t>
  </si>
  <si>
    <t>J4371550242</t>
  </si>
  <si>
    <t>DARKPURPLE</t>
  </si>
  <si>
    <t>192503609542</t>
  </si>
  <si>
    <t>Champion Heritage Herringbone Zip Hoodi Venetian Purple XL</t>
  </si>
  <si>
    <t>795733058472</t>
  </si>
  <si>
    <t>DKNY Velour Logo-Print Bomber Jacke Sangria L</t>
  </si>
  <si>
    <t>DP9J8570</t>
  </si>
  <si>
    <t>RED</t>
  </si>
  <si>
    <t>795731813295</t>
  </si>
  <si>
    <t>DKNY Melange Logo Joggers Grey Melange L</t>
  </si>
  <si>
    <t>DP9P2354</t>
  </si>
  <si>
    <t>795733058564</t>
  </si>
  <si>
    <t>DKNY Velour Logo-Print Bomber Jacke Black XL</t>
  </si>
  <si>
    <t>192503264581</t>
  </si>
  <si>
    <t>Champion Sleeveless Baseball Dress Black S</t>
  </si>
  <si>
    <t>WL931549991</t>
  </si>
  <si>
    <t>192503686857</t>
  </si>
  <si>
    <t>Champion Tricot Logo-Stripe Track Pants Black XL</t>
  </si>
  <si>
    <t>ML819J</t>
  </si>
  <si>
    <t>192502504688</t>
  </si>
  <si>
    <t>Nike Dri-FIT Camo Fleece Training T Black White L</t>
  </si>
  <si>
    <t>CD5421</t>
  </si>
  <si>
    <t>191888459742</t>
  </si>
  <si>
    <t>Nike Plus Size Sculpt Victory Leggi Black 2X</t>
  </si>
  <si>
    <t>AV9714</t>
  </si>
  <si>
    <t>193151875563</t>
  </si>
  <si>
    <t>Nike Gym Vintage Logo Hoodie CedarSail M</t>
  </si>
  <si>
    <t>193151862020</t>
  </si>
  <si>
    <t>Nike Sportswear Logo Fleece Pants Light Redwood XL</t>
  </si>
  <si>
    <t>BV3937</t>
  </si>
  <si>
    <t>ORANGE</t>
  </si>
  <si>
    <t>192503612290</t>
  </si>
  <si>
    <t>Champion Heritage Cotton Mixed-Texture Oxford Grey L</t>
  </si>
  <si>
    <t>W4367550243</t>
  </si>
  <si>
    <t>192341608776</t>
  </si>
  <si>
    <t>Puma XTG Logo Track Pants Puma Black M</t>
  </si>
  <si>
    <t>PUMA NORTH AMERICA</t>
  </si>
  <si>
    <t>192339283879</t>
  </si>
  <si>
    <t>Puma Chase Hoodie Black XS</t>
  </si>
  <si>
    <t>732998013570</t>
  </si>
  <si>
    <t>Ideology Plus Size Quilted Sherpa Jacke Shimmer Pink 3X</t>
  </si>
  <si>
    <t>100080378WN</t>
  </si>
  <si>
    <t>3X</t>
  </si>
  <si>
    <t>IDEOLOGY WMN</t>
  </si>
  <si>
    <t>IDEOLOGY-MMG</t>
  </si>
  <si>
    <t>192500573181</t>
  </si>
  <si>
    <t>Nike Plus Size Just Do It Cropped L Black 1X</t>
  </si>
  <si>
    <t>CI0300</t>
  </si>
  <si>
    <t>192609134351</t>
  </si>
  <si>
    <t>adidas Originals Vocal Cotton Pants Black M</t>
  </si>
  <si>
    <t>ED5851</t>
  </si>
  <si>
    <t>ADIDAS RTW</t>
  </si>
  <si>
    <t>ADIDAS AMERICA INC</t>
  </si>
  <si>
    <t>192609135556</t>
  </si>
  <si>
    <t>adidas Originals Vocal Cotton Pants Black XL</t>
  </si>
  <si>
    <t>192609134382</t>
  </si>
  <si>
    <t>adidas Originals Vocal Cotton Pants Black L</t>
  </si>
  <si>
    <t>192901831156</t>
  </si>
  <si>
    <t>Hi-Tec Snap-Front Wind-Resistant Top Tulipwood S</t>
  </si>
  <si>
    <t>H3F9F622</t>
  </si>
  <si>
    <t>LT/PAS PUR</t>
  </si>
  <si>
    <t>HI-TEC/THARANCO OUTDOORS LLC</t>
  </si>
  <si>
    <t>732997972052</t>
  </si>
  <si>
    <t>Ideology Snake-Print Quarter-Zip Top White Heather M</t>
  </si>
  <si>
    <t>100075778MS</t>
  </si>
  <si>
    <t>IDEOLOGY</t>
  </si>
  <si>
    <t>IDEOLOGY-MMG/ACTIVEWEAR FASHION</t>
  </si>
  <si>
    <t>732997906651</t>
  </si>
  <si>
    <t>Ideology Quilted Fleece Jacket Deep Black M</t>
  </si>
  <si>
    <t>100080378MS</t>
  </si>
  <si>
    <t>732998158059</t>
  </si>
  <si>
    <t>Ideology Faux-Fur Quarter-Zip Top Deep Pine L</t>
  </si>
  <si>
    <t>100075856MS</t>
  </si>
  <si>
    <t>DARK GREEN</t>
  </si>
  <si>
    <t>IDEOLOGY-MMG/NORTH BAY APPAREL</t>
  </si>
  <si>
    <t>732998158035</t>
  </si>
  <si>
    <t>Ideology Faux-Fur Quarter-Zip Top Deep Pine S</t>
  </si>
  <si>
    <t>732998158028</t>
  </si>
  <si>
    <t>Ideology Faux-Fur Quarter-Zip Top Deep Pine XS</t>
  </si>
  <si>
    <t>732998157984</t>
  </si>
  <si>
    <t>Ideology Faux-Fur Quarter-Zip Top Deep Black M</t>
  </si>
  <si>
    <t>732998157922</t>
  </si>
  <si>
    <t>Ideology Faux-Fur Quarter-Zip Top Deep Black XS</t>
  </si>
  <si>
    <t>192810295292</t>
  </si>
  <si>
    <t>Under Armour Speed Stride Half-Zip Running Oxford S</t>
  </si>
  <si>
    <t>732998158042</t>
  </si>
  <si>
    <t>Ideology Faux-Fur Quarter-Zip Top Deep Pine M</t>
  </si>
  <si>
    <t>732998903307</t>
  </si>
  <si>
    <t>Ideology Long-Line Rain Jacket Noir XL</t>
  </si>
  <si>
    <t>100082550MS</t>
  </si>
  <si>
    <t>795733056911</t>
  </si>
  <si>
    <t>DKNY Sumatra Half-Zip Hoodie Black XL</t>
  </si>
  <si>
    <t>DP9T6989</t>
  </si>
  <si>
    <t>795733058175</t>
  </si>
  <si>
    <t>DKNY Logo Velour Joggers Black L</t>
  </si>
  <si>
    <t>DP9P2067</t>
  </si>
  <si>
    <t>192340766668</t>
  </si>
  <si>
    <t>Puma Classics Cut-Out Dress Multi XS</t>
  </si>
  <si>
    <t>732997972014</t>
  </si>
  <si>
    <t>Ideology Printed Quarter-Zip Hoodie Noir XL</t>
  </si>
  <si>
    <t>100075777MS</t>
  </si>
  <si>
    <t>732998411857</t>
  </si>
  <si>
    <t>Ideology Snap-Front Wrap Deep Black M</t>
  </si>
  <si>
    <t>100077536MS</t>
  </si>
  <si>
    <t>732997727140</t>
  </si>
  <si>
    <t>Ideology Quilted Hooded Wrap Bright White XS</t>
  </si>
  <si>
    <t>100080379MS</t>
  </si>
  <si>
    <t>732998411833</t>
  </si>
  <si>
    <t>Ideology Snap-Front Wrap Deep Black XS</t>
  </si>
  <si>
    <t>732998411864</t>
  </si>
  <si>
    <t>Ideology Snap-Front Wrap Deep Black L</t>
  </si>
  <si>
    <t>732998411840</t>
  </si>
  <si>
    <t>Ideology Snap-Front Wrap Deep Black S</t>
  </si>
  <si>
    <t>732998411888</t>
  </si>
  <si>
    <t>Ideology Snap-Front Wrap Deep Black XXL</t>
  </si>
  <si>
    <t>191040780912</t>
  </si>
  <si>
    <t>adidas Believe This Ankle Leggings Black S</t>
  </si>
  <si>
    <t>D93727</t>
  </si>
  <si>
    <t>191040776595</t>
  </si>
  <si>
    <t>adidas Believe This Ankle Leggings Black XL</t>
  </si>
  <si>
    <t>192810766136</t>
  </si>
  <si>
    <t>Under Armour HeatGear Mesh Leggings Downpour GraySilver S</t>
  </si>
  <si>
    <t>192810766907</t>
  </si>
  <si>
    <t>Under Armour HeatGear Mesh Leggings BlackMetallic M</t>
  </si>
  <si>
    <t>732997729632</t>
  </si>
  <si>
    <t>Ideology Zip-Hem Hoodie Cherry Pie XL</t>
  </si>
  <si>
    <t>100069298MS</t>
  </si>
  <si>
    <t>MEDIUM RED</t>
  </si>
  <si>
    <t>732997729618</t>
  </si>
  <si>
    <t>Ideology Zip-Hem Hoodie Cherry Pie M</t>
  </si>
  <si>
    <t>732997729625</t>
  </si>
  <si>
    <t>Ideology Zip-Hem Hoodie Cherry Pie L</t>
  </si>
  <si>
    <t>192341534013</t>
  </si>
  <si>
    <t>Puma XTG Colorblocked High-Waist Le Ultramarine XS</t>
  </si>
  <si>
    <t>NAVY</t>
  </si>
  <si>
    <t>192810688797</t>
  </si>
  <si>
    <t>Under Armour Rival Fleece Training Pants BlackOnyx M</t>
  </si>
  <si>
    <t>732998901945</t>
  </si>
  <si>
    <t>Ideology Ruched-Sleeve Hooded Jacket Bright White XL</t>
  </si>
  <si>
    <t>100082546MS</t>
  </si>
  <si>
    <t>795731828602</t>
  </si>
  <si>
    <t>DKNY Printed-Logo Fleece Sweatshirt Black S</t>
  </si>
  <si>
    <t>DP9T7155</t>
  </si>
  <si>
    <t>795731809038</t>
  </si>
  <si>
    <t>DKNY Flocked-Logo Sweatshirt Neon Zest M</t>
  </si>
  <si>
    <t>DP9T7096</t>
  </si>
  <si>
    <t>MED YELLOW</t>
  </si>
  <si>
    <t>795733059530</t>
  </si>
  <si>
    <t>DKNY Metallic-Logo Cropped Hoodie Black S</t>
  </si>
  <si>
    <t>DP9T6893</t>
  </si>
  <si>
    <t>795733059523</t>
  </si>
  <si>
    <t>DKNY Metallic-Logo Cropped Hoodie Black M</t>
  </si>
  <si>
    <t>795731814063</t>
  </si>
  <si>
    <t>DKNY Flocked-Logo Joggers Black S</t>
  </si>
  <si>
    <t>DP9P2229</t>
  </si>
  <si>
    <t>732998203421</t>
  </si>
  <si>
    <t>Ideology Plus Size Printed-Panel Hoodie Luxe Iris 2X</t>
  </si>
  <si>
    <t>100077527WN</t>
  </si>
  <si>
    <t>MED PURPLE</t>
  </si>
  <si>
    <t>732998203445</t>
  </si>
  <si>
    <t>Ideology Plus Size Printed-Panel Hoodie Luxe Iris 3X</t>
  </si>
  <si>
    <t>732998333937</t>
  </si>
  <si>
    <t>Ideology Plus Size Split-Shoulder Mock- Bright White 2X</t>
  </si>
  <si>
    <t>100077551WN</t>
  </si>
  <si>
    <t>732998333982</t>
  </si>
  <si>
    <t>Ideology Plus Size Split-Shoulder Mock- Green Mist 3X</t>
  </si>
  <si>
    <t>LT/PAS GRN</t>
  </si>
  <si>
    <t>193146856621</t>
  </si>
  <si>
    <t>Nike Air Satin Shorts Echo Pink S</t>
  </si>
  <si>
    <t>BV4629</t>
  </si>
  <si>
    <t>885176949557</t>
  </si>
  <si>
    <t>Nike Pro Warm Leggings BlackWhite XL</t>
  </si>
  <si>
    <t>732997273678</t>
  </si>
  <si>
    <t>Ideology Printed Bell-Sleeve Hoodie White Heather S</t>
  </si>
  <si>
    <t>100058791MS</t>
  </si>
  <si>
    <t>732997574119</t>
  </si>
  <si>
    <t>Ideology Python Printed Leggings Indigo Sea M</t>
  </si>
  <si>
    <t>100062493MS</t>
  </si>
  <si>
    <t>791272236258</t>
  </si>
  <si>
    <t>Fila Ona Coloblocked Logo Leggings Peacoat L</t>
  </si>
  <si>
    <t>LW933315</t>
  </si>
  <si>
    <t>FILA USA INC</t>
  </si>
  <si>
    <t>608381124294</t>
  </si>
  <si>
    <t>Ideology Woven Cropped Pants Noir XXL</t>
  </si>
  <si>
    <t>192616040256</t>
  </si>
  <si>
    <t>adidas Design 2 Move 3-Stripe High-Ri BlackGlow Blue XL</t>
  </si>
  <si>
    <t>FI0828</t>
  </si>
  <si>
    <t>192616241929</t>
  </si>
  <si>
    <t>adidas Design 2 Move 3-Stripe High-Ri Tech Inkwhite XS</t>
  </si>
  <si>
    <t>EI4840</t>
  </si>
  <si>
    <t>BLUE</t>
  </si>
  <si>
    <t>192616237410</t>
  </si>
  <si>
    <t>adidas Design 2 Move 3-Stripe High-Ri Tech Inkwhite S</t>
  </si>
  <si>
    <t>732997718575</t>
  </si>
  <si>
    <t>Ideology Plus Size Printed Round-Hem Ho Bold Leopard 1X</t>
  </si>
  <si>
    <t>100075873WN</t>
  </si>
  <si>
    <t>BEIGEKHAKI</t>
  </si>
  <si>
    <t>1X</t>
  </si>
  <si>
    <t>732997718582</t>
  </si>
  <si>
    <t>Ideology Plus Size Printed Round-Hem Ho Bold Leopard 2X</t>
  </si>
  <si>
    <t>732996100210</t>
  </si>
  <si>
    <t>Ideology Lace-Up Zip Hoodie Black XS</t>
  </si>
  <si>
    <t>100052754MS</t>
  </si>
  <si>
    <t>732997905685</t>
  </si>
  <si>
    <t>Ideology Waffle-Knit Joggers Deep Charcoal M</t>
  </si>
  <si>
    <t>100069324MS</t>
  </si>
  <si>
    <t>DARK GRAY</t>
  </si>
  <si>
    <t>732998199298</t>
  </si>
  <si>
    <t>Ideology Printed-Panel Long Hoodie Luxe Iris S</t>
  </si>
  <si>
    <t>100077527MS</t>
  </si>
  <si>
    <t>732998199281</t>
  </si>
  <si>
    <t>Ideology Printed-Panel Long Hoodie Luxe Iris XS</t>
  </si>
  <si>
    <t>732998199311</t>
  </si>
  <si>
    <t>Ideology Printed-Panel Long Hoodie Luxe Iris L</t>
  </si>
  <si>
    <t>732998199328</t>
  </si>
  <si>
    <t>Ideology Printed-Panel Long Hoodie Luxe Iris XL</t>
  </si>
  <si>
    <t>194414883882</t>
  </si>
  <si>
    <t>Calvin Klein High-Low Hoodie Sherbert M</t>
  </si>
  <si>
    <t>PF0T3526</t>
  </si>
  <si>
    <t>LT/PAS ORG</t>
  </si>
  <si>
    <t>CK PERFORMNCE</t>
  </si>
  <si>
    <t>CK PERFORMANCE/G-III APPAREL GROUP</t>
  </si>
  <si>
    <t>194414883899</t>
  </si>
  <si>
    <t>Calvin Klein High-Low Hoodie Sherbert S</t>
  </si>
  <si>
    <t>732996997797</t>
  </si>
  <si>
    <t>Ideology Blanket-Stitch Leggings Deep Black XXL</t>
  </si>
  <si>
    <t>100058879MS</t>
  </si>
  <si>
    <t>194414928019</t>
  </si>
  <si>
    <t>Calvin Klein Cobra-Print Fleece Hoodie Pearl Grey Heather Combo XS</t>
  </si>
  <si>
    <t>PF0T1959</t>
  </si>
  <si>
    <t>194414938919</t>
  </si>
  <si>
    <t>Calvin Klein Floral-Print Leggings Flor Pop Pink Combo L</t>
  </si>
  <si>
    <t>PF0P7886</t>
  </si>
  <si>
    <t>194414938933</t>
  </si>
  <si>
    <t>Calvin Klein Floral-Print Leggings Flor Pop Pink Combo S</t>
  </si>
  <si>
    <t>194414938940</t>
  </si>
  <si>
    <t>Calvin Klein Floral-Print Leggings Flor Pop Pink Combo XS</t>
  </si>
  <si>
    <t>194414589838</t>
  </si>
  <si>
    <t>Calvin Klein Logo-Sleeve Hoodie Nude Beige XXL</t>
  </si>
  <si>
    <t>PF0T3191</t>
  </si>
  <si>
    <t>DARK BEIGE</t>
  </si>
  <si>
    <t>608356733445</t>
  </si>
  <si>
    <t>Ideology Plus Size Cowl-Neck Tulip-Hem Deep Charcoal 1X</t>
  </si>
  <si>
    <t>100042638WN</t>
  </si>
  <si>
    <t>608356733490</t>
  </si>
  <si>
    <t>Ideology Plus Size Cowl-Neck Tulip-Hem Deep Charcoal 2X</t>
  </si>
  <si>
    <t>608356739843</t>
  </si>
  <si>
    <t>Ideology Plus Size Cowl-Neck Tulip-Hem Winter Bloom 3X</t>
  </si>
  <si>
    <t>DARK RED</t>
  </si>
  <si>
    <t>608356739782</t>
  </si>
  <si>
    <t>Ideology Plus Size Cowl-Neck Tulip-Hem Deep Charcoal 3X</t>
  </si>
  <si>
    <t>883212977540</t>
  </si>
  <si>
    <t>Nike Dri-FIT Compression Cutout Rac BlackWhite M</t>
  </si>
  <si>
    <t>AH9049</t>
  </si>
  <si>
    <t>191169259863</t>
  </si>
  <si>
    <t>Under Armour UA Tech Play Up Capri Sweat Black L</t>
  </si>
  <si>
    <t>192341504627</t>
  </si>
  <si>
    <t>Puma Classics Ribbed Skirt Puma Black M</t>
  </si>
  <si>
    <t>732997718469</t>
  </si>
  <si>
    <t>Ideology Plus Size Snakeskin-Print Pock White 3X</t>
  </si>
  <si>
    <t>100080463WN</t>
  </si>
  <si>
    <t>193152619180</t>
  </si>
  <si>
    <t>Nike Sportswear Glam Dunk Cotton Pr Black M</t>
  </si>
  <si>
    <t>CI9355</t>
  </si>
  <si>
    <t>192502474639</t>
  </si>
  <si>
    <t>Nike Indy Printed Racerback Low-Imp BlackGunsmoke M</t>
  </si>
  <si>
    <t>CJ1387</t>
  </si>
  <si>
    <t>193146857468</t>
  </si>
  <si>
    <t>Nike Air Tank Top Bodysuit Black S</t>
  </si>
  <si>
    <t>BV4662</t>
  </si>
  <si>
    <t>193147777420</t>
  </si>
  <si>
    <t>Nike Plus Size Dry Side-Tie Trainin Pink QuartzEcho Pink 3X</t>
  </si>
  <si>
    <t>CJ7749</t>
  </si>
  <si>
    <t>193146857765</t>
  </si>
  <si>
    <t>Nike Air Tank Top Bodysuit Echo Pink S</t>
  </si>
  <si>
    <t>608381120036</t>
  </si>
  <si>
    <t>Ideology Woven Pants Noir S</t>
  </si>
  <si>
    <t>608381120067</t>
  </si>
  <si>
    <t>Ideology Woven Pants Noir L</t>
  </si>
  <si>
    <t>608381120029</t>
  </si>
  <si>
    <t>Ideology Woven Pants Noir XS</t>
  </si>
  <si>
    <t>608381120074</t>
  </si>
  <si>
    <t>Ideology Woven Pants Noir XL</t>
  </si>
  <si>
    <t>732997728529</t>
  </si>
  <si>
    <t>Ideology Leopard Round-Hem Hoodie Bold Leopard S</t>
  </si>
  <si>
    <t>100075873MS</t>
  </si>
  <si>
    <t>194414929283</t>
  </si>
  <si>
    <t>Calvin Klein Printed High-Waist Leggings Enigma Adore Combo XS</t>
  </si>
  <si>
    <t>PF0P7910</t>
  </si>
  <si>
    <t>193150352638</t>
  </si>
  <si>
    <t>Nike Plus Size Sportswear Tank BlackWhite 1X</t>
  </si>
  <si>
    <t>CK0254</t>
  </si>
  <si>
    <t>193623247010</t>
  </si>
  <si>
    <t>Calvin Klein Logo Hoodie Black L</t>
  </si>
  <si>
    <t>PF9T1595</t>
  </si>
  <si>
    <t>194414927852</t>
  </si>
  <si>
    <t>Calvin Klein Cobra-Print Logo Joggers Adore Combo XL</t>
  </si>
  <si>
    <t>PF0P6058</t>
  </si>
  <si>
    <t>193623220853</t>
  </si>
  <si>
    <t>Calvin Klein Quilted Cowlneck Top Pearl Grey Heather XXL</t>
  </si>
  <si>
    <t>PF9T1638</t>
  </si>
  <si>
    <t>732997728536</t>
  </si>
  <si>
    <t>Ideology Leopard Round-Hem Hoodie Bold Leopard M</t>
  </si>
  <si>
    <t>732997728512</t>
  </si>
  <si>
    <t>Ideology Leopard Round-Hem Hoodie Bold Leopard XS</t>
  </si>
  <si>
    <t>194414901913</t>
  </si>
  <si>
    <t>Calvin Klein Logo-Print High-Rise Leggings Heather Black Combo XL</t>
  </si>
  <si>
    <t>PF0P6067</t>
  </si>
  <si>
    <t>193150352652</t>
  </si>
  <si>
    <t>Nike Plus Size Sportswear Tank BlackWhite 3X</t>
  </si>
  <si>
    <t>193623220877</t>
  </si>
  <si>
    <t>Calvin Klein Quilted Cowlneck Top Black XXL</t>
  </si>
  <si>
    <t>732997728840</t>
  </si>
  <si>
    <t>Ideology Tonal-Stripe Tunic Dark Eggplant L</t>
  </si>
  <si>
    <t>100071221MS</t>
  </si>
  <si>
    <t>PURPLE</t>
  </si>
  <si>
    <t>732997727973</t>
  </si>
  <si>
    <t>Ideology Snake-Print Tunic White M</t>
  </si>
  <si>
    <t>100080463MS</t>
  </si>
  <si>
    <t>732997897959</t>
  </si>
  <si>
    <t>Ideology Lace-Up Hoodie Shimmer Pink XL</t>
  </si>
  <si>
    <t>100069258MS</t>
  </si>
  <si>
    <t>192616287873</t>
  </si>
  <si>
    <t>adidas Essentials Fleece 3-Stripe Jog Tech InkWhite XL</t>
  </si>
  <si>
    <t>EI0711</t>
  </si>
  <si>
    <t>DARK BLUE</t>
  </si>
  <si>
    <t>795733059929</t>
  </si>
  <si>
    <t>DKNY Sparkle-Logo Joggers Deep Ocean M</t>
  </si>
  <si>
    <t>DP9P2192</t>
  </si>
  <si>
    <t>802892155024</t>
  </si>
  <si>
    <t>DKNY DKNY Sport Mesh-Trimmed Top Lapis XL</t>
  </si>
  <si>
    <t>DP8T6294</t>
  </si>
  <si>
    <t>194414420698</t>
  </si>
  <si>
    <t>Calvin Klein Logo Tie-Dyed Hoodie Kensington Blue Sky Combo M</t>
  </si>
  <si>
    <t>PF0T3313</t>
  </si>
  <si>
    <t>732997819890</t>
  </si>
  <si>
    <t>Ideology Plus Size Blurred Tie-Dyed T-S Passion Berry 3X</t>
  </si>
  <si>
    <t>100075808WN</t>
  </si>
  <si>
    <t>PINK</t>
  </si>
  <si>
    <t>732997819876</t>
  </si>
  <si>
    <t>Ideology Plus Size Blurred Tie-Dyed T-S Passion Berry 1X</t>
  </si>
  <si>
    <t>192811067829</t>
  </si>
  <si>
    <t>Under Armour Rival Logo Fleece Hoodie Pink Fog S</t>
  </si>
  <si>
    <t>608381684002</t>
  </si>
  <si>
    <t>Ideology Long-Sleeve Tunic Noir Stripe 3X</t>
  </si>
  <si>
    <t>100022407WN</t>
  </si>
  <si>
    <t>888394190176</t>
  </si>
  <si>
    <t>Champion Clubhouse Strap Pack Peach ONE SIZE</t>
  </si>
  <si>
    <t>PMAM1504</t>
  </si>
  <si>
    <t>BRGHTORANG</t>
  </si>
  <si>
    <t>OSFA REG</t>
  </si>
  <si>
    <t>MSY ACTV SOCK</t>
  </si>
  <si>
    <t>PUMA/PUMA UNITED NORTH AMERICA LLC</t>
  </si>
  <si>
    <t>732996282756</t>
  </si>
  <si>
    <t>Ideology Tie-Dyed Leggings Tie Dye Navy M</t>
  </si>
  <si>
    <t>100052783MS</t>
  </si>
  <si>
    <t>192811068222</t>
  </si>
  <si>
    <t>Under Armour Under Armour Womens Fit Kit B WhiteBlack M</t>
  </si>
  <si>
    <t>192564847327</t>
  </si>
  <si>
    <t>Under Armour Relaxed Mesh T-Shirt Orange Dream M</t>
  </si>
  <si>
    <t>DARKORANGE</t>
  </si>
  <si>
    <t>194414900527</t>
  </si>
  <si>
    <t>Calvin Klein Ribbed Low-Impact Sports Bra Moss XL</t>
  </si>
  <si>
    <t>PFYT1918</t>
  </si>
  <si>
    <t>MED GREEN</t>
  </si>
  <si>
    <t>666032823019</t>
  </si>
  <si>
    <t>Nike Pro Classic Mid-Impact Dri-FIT WhiteBlack XS</t>
  </si>
  <si>
    <t>193655496530</t>
  </si>
  <si>
    <t>Nike Pro Dri-FIT Printed Cross-Back Valerian Bluelight Bone M</t>
  </si>
  <si>
    <t>CJ2460</t>
  </si>
  <si>
    <t>BRIGHTBLUE</t>
  </si>
  <si>
    <t>732994213257</t>
  </si>
  <si>
    <t>Ideology Long-Sleeve Tonal-Stripe Tunic Noir Stripes Combo S</t>
  </si>
  <si>
    <t>192351014536</t>
  </si>
  <si>
    <t>Calvin Klein Logo Sweatshirt Rose Punch XL</t>
  </si>
  <si>
    <t>PF9T1341</t>
  </si>
  <si>
    <t>193623312190</t>
  </si>
  <si>
    <t>Calvin Klein Logo-Stripe Mock-Neck T-Shirt Cameo S</t>
  </si>
  <si>
    <t>PF9T3368</t>
  </si>
  <si>
    <t>DARK PINK</t>
  </si>
  <si>
    <t>193623312237</t>
  </si>
  <si>
    <t>Calvin Klein Logo-Stripe Mock-Neck T-Shirt Black Heather L</t>
  </si>
  <si>
    <t>706254955799</t>
  </si>
  <si>
    <t>Ideology Woven Shorts Noir XXL</t>
  </si>
  <si>
    <t>100050097MS</t>
  </si>
  <si>
    <t>732997727478</t>
  </si>
  <si>
    <t>Ideology Mushy-Knit Joggers Deep Pine S</t>
  </si>
  <si>
    <t>100062486MS</t>
  </si>
  <si>
    <t>732998223962</t>
  </si>
  <si>
    <t>Ideology French Terry Tulip-Hem Top Mild Sage XS</t>
  </si>
  <si>
    <t>100091298MS</t>
  </si>
  <si>
    <t>732998223979</t>
  </si>
  <si>
    <t>Ideology French Terry Tulip-Hem Top Mild Sage S</t>
  </si>
  <si>
    <t>191241767187</t>
  </si>
  <si>
    <t>Puma Logo Fleece Hoodie Cotton Black S</t>
  </si>
  <si>
    <t>732998021841</t>
  </si>
  <si>
    <t>Ideology Tie-Dyed High-Low Hem Sweatshi Malaga L</t>
  </si>
  <si>
    <t>100075885MS</t>
  </si>
  <si>
    <t>732998021810</t>
  </si>
  <si>
    <t>Ideology Tie-Dyed High-Low Hem Sweatshi Malaga XS</t>
  </si>
  <si>
    <t>732997727447</t>
  </si>
  <si>
    <t>Ideology Mushy-Knit Joggers Grey Whisper Heather XL</t>
  </si>
  <si>
    <t>732997728161</t>
  </si>
  <si>
    <t>Ideology Plus Size Thumb-Hole Hoodie Deep Pine 2X</t>
  </si>
  <si>
    <t>100069313WN</t>
  </si>
  <si>
    <t>732997727430</t>
  </si>
  <si>
    <t>Ideology Mushy-Knit Joggers Grey Whisper Heather L</t>
  </si>
  <si>
    <t>732998021827</t>
  </si>
  <si>
    <t>Ideology Tie-Dyed High-Low Hem Sweatshi Malaga S</t>
  </si>
  <si>
    <t>732998021858</t>
  </si>
  <si>
    <t>Ideology Tie-Dyed High-Low Hem Sweatshi Malaga XL</t>
  </si>
  <si>
    <t>732998021834</t>
  </si>
  <si>
    <t>Ideology Tie-Dyed High-Low Hem Sweatshi Malaga M</t>
  </si>
  <si>
    <t>732997729076</t>
  </si>
  <si>
    <t>Ideology Mushy-Knit Hoodie Deep Pine M</t>
  </si>
  <si>
    <t>100069313MS</t>
  </si>
  <si>
    <t>190510578929</t>
  </si>
  <si>
    <t>Under Armour Snowcrest Pom-Pom Beanie Light Cream ONE SIZE</t>
  </si>
  <si>
    <t>YELLOW</t>
  </si>
  <si>
    <t>732997729380</t>
  </si>
  <si>
    <t>Ideology Mushy-Knit Hoodie Spring Tulip L</t>
  </si>
  <si>
    <t>732997729038</t>
  </si>
  <si>
    <t>Ideology Mushy-Knit Hoodie Grey Whisper XL</t>
  </si>
  <si>
    <t>732997728994</t>
  </si>
  <si>
    <t>Ideology Mushy-Knit Hoodie Grey Whisper XS</t>
  </si>
  <si>
    <t>732997729007</t>
  </si>
  <si>
    <t>Ideology Mushy-Knit Hoodie Grey Whisper S</t>
  </si>
  <si>
    <t>732997729373</t>
  </si>
  <si>
    <t>Ideology Mushy-Knit Hoodie Spring Tulip M</t>
  </si>
  <si>
    <t>732997729366</t>
  </si>
  <si>
    <t>Ideology Mushy-Knit Hoodie Spring Tulip S</t>
  </si>
  <si>
    <t>732997729397</t>
  </si>
  <si>
    <t>Ideology Mushy-Knit Hoodie Spring Tulip XL</t>
  </si>
  <si>
    <t>194414590599</t>
  </si>
  <si>
    <t>Calvin Klein Flared Cropped Sweatpants Nu Beige M</t>
  </si>
  <si>
    <t>PF0P7632</t>
  </si>
  <si>
    <t>732997548417</t>
  </si>
  <si>
    <t>Ideology Plus Size Printed Crossover-He Indigo Sea 3X</t>
  </si>
  <si>
    <t>100064286WN</t>
  </si>
  <si>
    <t>732997548394</t>
  </si>
  <si>
    <t>Ideology Plus Size Printed Crossover-He Indigo Sea 1X</t>
  </si>
  <si>
    <t>192498769511</t>
  </si>
  <si>
    <t>Nike Plus Size Shorts, Dri-FIT Temp Pink Rise 2X</t>
  </si>
  <si>
    <t>LT/PAS RED</t>
  </si>
  <si>
    <t>636202226476</t>
  </si>
  <si>
    <t>Ideology Space-Dyed Performance Legging Noir Space Dye XXL</t>
  </si>
  <si>
    <t>636202226469</t>
  </si>
  <si>
    <t>Ideology Space-Dyed Performance Legging Noir Space Dye XL</t>
  </si>
  <si>
    <t>795731905068</t>
  </si>
  <si>
    <t>DKNY Shadow-Logo T-Shirt White S</t>
  </si>
  <si>
    <t>DP9T7094</t>
  </si>
  <si>
    <t>795733173380</t>
  </si>
  <si>
    <t>DKNY Colorblocked-Logo T-Shirt Russet L</t>
  </si>
  <si>
    <t>DP9T5894</t>
  </si>
  <si>
    <t>BRIGHT RED</t>
  </si>
  <si>
    <t>732998005155</t>
  </si>
  <si>
    <t>Ideology Seamless High-Rise Leggings Dark Eggplant XL</t>
  </si>
  <si>
    <t>100080460MS</t>
  </si>
  <si>
    <t>732997729663</t>
  </si>
  <si>
    <t>Ideology Cowl-Neck Tulip-Hem Top Deep Olive Heather S</t>
  </si>
  <si>
    <t>100042638MS</t>
  </si>
  <si>
    <t>689439155910</t>
  </si>
  <si>
    <t>Ideology Cowl-Neck Tulip-Hem Top Infinity XL</t>
  </si>
  <si>
    <t>LT/PASBLUE</t>
  </si>
  <si>
    <t>689439155989</t>
  </si>
  <si>
    <t>Ideology Cowl-Neck Tulip-Hem Top Winter Bloom XS</t>
  </si>
  <si>
    <t>689439155873</t>
  </si>
  <si>
    <t>Ideology Cowl-Neck Tulip-Hem Top Infinity XS</t>
  </si>
  <si>
    <t>689439155903</t>
  </si>
  <si>
    <t>Ideology Cowl-Neck Tulip-Hem Top Infinity L</t>
  </si>
  <si>
    <t>689439155897</t>
  </si>
  <si>
    <t>Ideology Cowl-Neck Tulip-Hem Top Infinity M</t>
  </si>
  <si>
    <t>689439155859</t>
  </si>
  <si>
    <t>Ideology Cowl-Neck Tulip-Hem Top Deep Charcoal XL</t>
  </si>
  <si>
    <t>689439155835</t>
  </si>
  <si>
    <t>Ideology Cowl-Neck Tulip-Hem Top Deep Charcoal M</t>
  </si>
  <si>
    <t>689439155842</t>
  </si>
  <si>
    <t>Ideology Cowl-Neck Tulip-Hem Top Deep Charcoal L</t>
  </si>
  <si>
    <t>689439155828</t>
  </si>
  <si>
    <t>Ideology Cowl-Neck Tulip-Hem Top Deep Charcoal S</t>
  </si>
  <si>
    <t>608381457224</t>
  </si>
  <si>
    <t>Ideology Heathered Drop-Shoulder Top Grey Whisper XL</t>
  </si>
  <si>
    <t>90563503902</t>
  </si>
  <si>
    <t>Champion Plus Size Jogger Sweatpants Granite Heather 2X</t>
  </si>
  <si>
    <t>QM1240</t>
  </si>
  <si>
    <t>192166411568</t>
  </si>
  <si>
    <t>32 Degrees Funnel-Neck Top Twilight Purple XS</t>
  </si>
  <si>
    <t>TLF92587ME</t>
  </si>
  <si>
    <t>32 DEGREES HEAT/WEATHERPROOF GARMNT</t>
  </si>
  <si>
    <t>192166411650</t>
  </si>
  <si>
    <t>32 Degrees Funnel-Neck Top Black Acid Wash L</t>
  </si>
  <si>
    <t>732998469063</t>
  </si>
  <si>
    <t>Ideology Leopard-Print High-Waist Leggi Feathered Leopard XS</t>
  </si>
  <si>
    <t>100083447MS</t>
  </si>
  <si>
    <t>732998469087</t>
  </si>
  <si>
    <t>Ideology Leopard-Print High-Waist Leggi Feathered Leopard M</t>
  </si>
  <si>
    <t>732998469100</t>
  </si>
  <si>
    <t>Ideology Leopard-Print High-Waist Leggi Feathered Leopard L</t>
  </si>
  <si>
    <t>732997729922</t>
  </si>
  <si>
    <t>Ideology Heathered Drop-Shoulder Top Passion Berry L</t>
  </si>
  <si>
    <t>732997729915</t>
  </si>
  <si>
    <t>Ideology Heathered Drop-Shoulder Top Passion Berry M</t>
  </si>
  <si>
    <t>732996720616</t>
  </si>
  <si>
    <t>Ideology Plus Size Drawstring-Hem Top Hawthorn Rose 2X</t>
  </si>
  <si>
    <t>100058860WN</t>
  </si>
  <si>
    <t>191965886539</t>
  </si>
  <si>
    <t>adidas Floral Essential Tank Top Raw White XXL</t>
  </si>
  <si>
    <t>DV0534</t>
  </si>
  <si>
    <t>191031604715</t>
  </si>
  <si>
    <t>adidas AlphaSkin Medium-Support Sport Dark Grey HeatherBlack XXS</t>
  </si>
  <si>
    <t>CF6607</t>
  </si>
  <si>
    <t>XXS</t>
  </si>
  <si>
    <t>732998818816</t>
  </si>
  <si>
    <t>Ideology Tiger-Print Burnout Layered T- Sandy Mauve S</t>
  </si>
  <si>
    <t>100082540MS</t>
  </si>
  <si>
    <t>732997533994</t>
  </si>
  <si>
    <t>Ideology Plus Size Printed Dolman-Sleev Green Zinnia 3X</t>
  </si>
  <si>
    <t>100062453WN</t>
  </si>
  <si>
    <t>732996997551</t>
  </si>
  <si>
    <t>Ideology Printed Drawstring Top Deep Black XXL</t>
  </si>
  <si>
    <t>100058862MS</t>
  </si>
  <si>
    <t>192660309736</t>
  </si>
  <si>
    <t>Columbia Thermarator Gloves Beet XL</t>
  </si>
  <si>
    <t>192660309705</t>
  </si>
  <si>
    <t>Columbia Thermarator Gloves Beet L</t>
  </si>
  <si>
    <t>192660309934</t>
  </si>
  <si>
    <t>Columbia Thermarator Gloves Cactus Pink XL</t>
  </si>
  <si>
    <t>192660372037</t>
  </si>
  <si>
    <t>Columbia Hideaway Haven Slouchy Beanie City Grey ONE SIZE</t>
  </si>
  <si>
    <t>636206425943</t>
  </si>
  <si>
    <t>Ideology Cowl-Neck Sweater Cross-Over H Bright White Heather L</t>
  </si>
  <si>
    <t>636206425226</t>
  </si>
  <si>
    <t>Ideology Cowl-Neck Sweater Cross-Over H Noir XL</t>
  </si>
  <si>
    <t>194414920990</t>
  </si>
  <si>
    <t>Calvin Klein Logo T-Shirt White XL</t>
  </si>
  <si>
    <t>PF0T3550</t>
  </si>
  <si>
    <t>636206425684</t>
  </si>
  <si>
    <t>Ideology Cowl-Neck Sweater Cross-Over H Bright White Heather S</t>
  </si>
  <si>
    <t>636206425196</t>
  </si>
  <si>
    <t>Ideology Cowl-Neck Sweater Cross-Over H Noir S</t>
  </si>
  <si>
    <t>732996202815</t>
  </si>
  <si>
    <t>Ideology Weekend Graphic Split-Back T-S Deep Charcoal M</t>
  </si>
  <si>
    <t>100061373MS</t>
  </si>
  <si>
    <t>732996408767</t>
  </si>
  <si>
    <t>Ideology Cross-Back T-Shirt Holly Hock XS</t>
  </si>
  <si>
    <t>100058785MS</t>
  </si>
  <si>
    <t>732997488614</t>
  </si>
  <si>
    <t>Ideology Cowl-Neck Sweater Cross-Over H Dark Eggplant M</t>
  </si>
  <si>
    <t>636189529805</t>
  </si>
  <si>
    <t>Ideology Cowl-Neck Sweater Cross-Over H Ruby Slippers M</t>
  </si>
  <si>
    <t>732997488515</t>
  </si>
  <si>
    <t>Ideology Cowl-Neck Sweater Cross-Over H Deep Pine M</t>
  </si>
  <si>
    <t>732997488546</t>
  </si>
  <si>
    <t>Ideology Cowl-Neck Sweater Cross-Over H Deep Pine XL</t>
  </si>
  <si>
    <t>192503195458</t>
  </si>
  <si>
    <t>Champion Heritage Cotton V-Neck Tank To Imperial Indigo XS</t>
  </si>
  <si>
    <t>W4914549936</t>
  </si>
  <si>
    <t>732997392003</t>
  </si>
  <si>
    <t>Ideology Mesh-Hem T-Shirt Sweet Tart L</t>
  </si>
  <si>
    <t>100079496MS</t>
  </si>
  <si>
    <t>192341424567</t>
  </si>
  <si>
    <t>Puma Rebel Cotton Striped T-Shirt Light Gray Heather L</t>
  </si>
  <si>
    <t>732998168379</t>
  </si>
  <si>
    <t>Ideology Performance Yoga Pants Cherry Pie XS</t>
  </si>
  <si>
    <t>100066519MS</t>
  </si>
  <si>
    <t>732997392904</t>
  </si>
  <si>
    <t>Ideology Mesh-Back Tank Top Noir XS</t>
  </si>
  <si>
    <t>100077553MS</t>
  </si>
  <si>
    <t>732998719472</t>
  </si>
  <si>
    <t>Ideology Floral-Print Mesh-Back Tank To Stadium Grey M</t>
  </si>
  <si>
    <t>100090788MS</t>
  </si>
  <si>
    <t>732998719373</t>
  </si>
  <si>
    <t>Ideology Leopard-Print Mesh-Back Tank T Feathered Leo M</t>
  </si>
  <si>
    <t>100090789MS</t>
  </si>
  <si>
    <t>732998719465</t>
  </si>
  <si>
    <t>Ideology Floral-Print Mesh-Back Tank To Stadium Grey S</t>
  </si>
  <si>
    <t>732998719526</t>
  </si>
  <si>
    <t>Ideology Floral-Print Mesh-Back Tank To Stadium Grey XXL</t>
  </si>
  <si>
    <t>732998719496</t>
  </si>
  <si>
    <t>Ideology Floral-Print Mesh-Back Tank To Stadium Grey XL</t>
  </si>
  <si>
    <t>732998800088</t>
  </si>
  <si>
    <t>Ideology Mesh-Back T-Shirt Lemonista XL</t>
  </si>
  <si>
    <t>100079493MS</t>
  </si>
  <si>
    <t>LT/PAS YEL</t>
  </si>
  <si>
    <t>732998800057</t>
  </si>
  <si>
    <t>Ideology Mesh-Back T-Shirt Lemonista S</t>
  </si>
  <si>
    <t>732998800002</t>
  </si>
  <si>
    <t>Ideology Mesh-Back T-Shirt Perfect Mint M</t>
  </si>
  <si>
    <t>732998800033</t>
  </si>
  <si>
    <t>Ideology Mesh-Back T-Shirt Perfect Mint XXL</t>
  </si>
  <si>
    <t>732998799986</t>
  </si>
  <si>
    <t>Ideology Mesh-Back T-Shirt Perfect Mint XS</t>
  </si>
  <si>
    <t>732998799191</t>
  </si>
  <si>
    <t>Ideology Mesh-Back Tank Top Bright White S</t>
  </si>
  <si>
    <t>732998799214</t>
  </si>
  <si>
    <t>Ideology Mesh-Back Tank Top Bright White L</t>
  </si>
  <si>
    <t>732998799207</t>
  </si>
  <si>
    <t>Ideology Mesh-Back Tank Top Bright White M</t>
  </si>
  <si>
    <t>732996062655</t>
  </si>
  <si>
    <t>Ideology Plus Size Colorblocked Cropped Tropical Melon 2X</t>
  </si>
  <si>
    <t>100066518WN</t>
  </si>
  <si>
    <t>732997309872</t>
  </si>
  <si>
    <t>Ideology Colorblocked Cropped Leggings Barbell Lime XS</t>
  </si>
  <si>
    <t>100066518MS</t>
  </si>
  <si>
    <t>GOLD</t>
  </si>
  <si>
    <t>732998388098</t>
  </si>
  <si>
    <t>Ideology Colorblocked Cropped Leggings Barbell Lime L</t>
  </si>
  <si>
    <t>732998388067</t>
  </si>
  <si>
    <t>732996055879</t>
  </si>
  <si>
    <t>Ideology Colorblocked Cropped Leggings Tropical Melon Coral XS</t>
  </si>
  <si>
    <t>732998168089</t>
  </si>
  <si>
    <t>Ideology Colorblocked Cropped Leggings Blue Light XS</t>
  </si>
  <si>
    <t>732997730607</t>
  </si>
  <si>
    <t>Ideology Heathered Short-Sleeve Tee Viola Dusk L</t>
  </si>
  <si>
    <t>732996407821</t>
  </si>
  <si>
    <t>Ideology Heathered Keyhole-Back Tank To Sweet Tart XL</t>
  </si>
  <si>
    <t>192351450372</t>
  </si>
  <si>
    <t>WM VELOUR PULLOVEP21</t>
  </si>
  <si>
    <t>PF8T3281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</si>
</sst>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_);[Red]\(&quot;$&quot;#,##0.00\)"/>
  </numFmts>
  <fonts count="8">
    <font>
      <sz val="11.0"/>
      <color theme="1"/>
      <name val="Arial"/>
    </font>
    <font>
      <sz val="11.0"/>
      <color theme="1"/>
    </font>
    <font>
      <b/>
      <sz val="9.0"/>
      <color theme="1"/>
      <name val="Arial"/>
    </font>
    <font/>
    <font>
      <sz val="9.0"/>
      <color theme="1"/>
      <name val="Arial"/>
    </font>
    <font>
      <b/>
      <sz val="9.0"/>
      <color rgb="FFFF0000"/>
      <name val="Arial"/>
    </font>
    <font>
      <u/>
      <sz val="9.0"/>
      <color rgb="FF0000FF"/>
      <name val="Arial"/>
    </font>
    <font>
      <u/>
      <sz val="9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2" numFmtId="1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1" xfId="0" applyAlignment="1" applyBorder="1" applyFont="1" applyNumberFormat="1">
      <alignment horizontal="center" shrinkToFit="0" vertical="center" wrapText="1"/>
    </xf>
    <xf borderId="1" fillId="0" fontId="4" numFmtId="164" xfId="0" applyAlignment="1" applyBorder="1" applyFont="1" applyNumberFormat="1">
      <alignment horizontal="center" shrinkToFit="0" vertical="center" wrapText="1"/>
    </xf>
    <xf borderId="1" fillId="0" fontId="5" numFmtId="164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1" xfId="0" applyAlignment="1" applyFont="1" applyNumberFormat="1">
      <alignment horizontal="center"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4" numFmtId="2" xfId="0" applyAlignment="1" applyFont="1" applyNumberFormat="1">
      <alignment horizontal="center" shrinkToFit="0" vertical="center" wrapText="1"/>
    </xf>
    <xf borderId="1" fillId="0" fontId="4" numFmtId="49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9.5"/>
    <col customWidth="1" min="3" max="3" width="13.13"/>
    <col customWidth="1" min="4" max="5" width="20.63"/>
    <col customWidth="1" min="6" max="6" width="9.0"/>
    <col customWidth="1" min="7" max="8" width="10.5"/>
    <col customWidth="1" min="9" max="10" width="10.0"/>
    <col customWidth="1" min="11" max="11" width="15.5"/>
    <col customWidth="1" min="12" max="12" width="16.25"/>
    <col customWidth="1" min="13" max="13" width="9.5"/>
    <col customWidth="1" min="14" max="14" width="10.63"/>
    <col customWidth="1" min="15" max="26" width="7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4" t="s">
        <v>11</v>
      </c>
      <c r="B3" s="5">
        <v>1.2866941E7</v>
      </c>
      <c r="C3" s="6" t="s">
        <v>12</v>
      </c>
      <c r="D3" s="7" t="s">
        <v>13</v>
      </c>
      <c r="E3" s="7" t="s">
        <v>14</v>
      </c>
      <c r="F3" s="7">
        <v>1.0</v>
      </c>
      <c r="G3" s="6">
        <v>6.0</v>
      </c>
      <c r="H3" s="8">
        <v>16128.45</v>
      </c>
      <c r="I3" s="6">
        <v>310.0</v>
      </c>
      <c r="J3" s="9">
        <v>3984.0</v>
      </c>
      <c r="K3" s="9">
        <f>J3/I3</f>
        <v>12.8516129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10"/>
      <c r="B4" s="11"/>
      <c r="C4" s="11"/>
      <c r="D4" s="10"/>
      <c r="E4" s="10"/>
      <c r="F4" s="11"/>
      <c r="G4" s="11"/>
      <c r="H4" s="11"/>
      <c r="I4" s="10"/>
      <c r="J4" s="12"/>
      <c r="K4" s="12"/>
      <c r="L4" s="10"/>
      <c r="M4" s="12"/>
      <c r="N4" s="1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3"/>
      <c r="B6" s="13"/>
      <c r="C6" s="13"/>
      <c r="D6" s="1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14"/>
      <c r="B7" s="10"/>
      <c r="C7" s="12"/>
      <c r="D7" s="1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2" t="s">
        <v>15</v>
      </c>
      <c r="B9" s="2" t="s">
        <v>16</v>
      </c>
      <c r="C9" s="2" t="s">
        <v>17</v>
      </c>
      <c r="D9" s="2" t="s">
        <v>18</v>
      </c>
      <c r="E9" s="2" t="s">
        <v>7</v>
      </c>
      <c r="F9" s="2" t="s">
        <v>19</v>
      </c>
      <c r="G9" s="2" t="s">
        <v>20</v>
      </c>
      <c r="H9" s="2" t="s">
        <v>21</v>
      </c>
      <c r="I9" s="2" t="s">
        <v>22</v>
      </c>
      <c r="J9" s="2" t="s">
        <v>23</v>
      </c>
      <c r="K9" s="2" t="s">
        <v>24</v>
      </c>
      <c r="L9" s="2" t="s">
        <v>25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15" t="s">
        <v>26</v>
      </c>
      <c r="B10" s="6" t="s">
        <v>27</v>
      </c>
      <c r="C10" s="7">
        <v>1.0</v>
      </c>
      <c r="D10" s="8">
        <v>119.99</v>
      </c>
      <c r="E10" s="8">
        <v>119.99</v>
      </c>
      <c r="F10" s="7">
        <v>1748311.0</v>
      </c>
      <c r="G10" s="6" t="s">
        <v>28</v>
      </c>
      <c r="H10" s="15" t="s">
        <v>29</v>
      </c>
      <c r="I10" s="6" t="s">
        <v>30</v>
      </c>
      <c r="J10" s="6" t="s">
        <v>31</v>
      </c>
      <c r="K10" s="6" t="s">
        <v>32</v>
      </c>
      <c r="L10" s="16" t="str">
        <f t="shared" ref="L10:L11" si="1">HYPERLINK("http://slimages.macys.com/is/image/MCY/15068581 ")</f>
        <v>http://slimages.macys.com/is/image/MCY/15068581 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15" t="s">
        <v>33</v>
      </c>
      <c r="B11" s="6" t="s">
        <v>34</v>
      </c>
      <c r="C11" s="7">
        <v>1.0</v>
      </c>
      <c r="D11" s="8">
        <v>119.99</v>
      </c>
      <c r="E11" s="8">
        <v>119.99</v>
      </c>
      <c r="F11" s="7">
        <v>1748311.0</v>
      </c>
      <c r="G11" s="6" t="s">
        <v>35</v>
      </c>
      <c r="H11" s="15" t="s">
        <v>36</v>
      </c>
      <c r="I11" s="6" t="s">
        <v>30</v>
      </c>
      <c r="J11" s="6" t="s">
        <v>31</v>
      </c>
      <c r="K11" s="6" t="s">
        <v>32</v>
      </c>
      <c r="L11" s="16" t="str">
        <f t="shared" si="1"/>
        <v>http://slimages.macys.com/is/image/MCY/15068581 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15" t="s">
        <v>37</v>
      </c>
      <c r="B12" s="6" t="s">
        <v>38</v>
      </c>
      <c r="C12" s="7">
        <v>1.0</v>
      </c>
      <c r="D12" s="8">
        <v>159.0</v>
      </c>
      <c r="E12" s="8">
        <v>159.0</v>
      </c>
      <c r="F12" s="7" t="s">
        <v>39</v>
      </c>
      <c r="G12" s="6" t="s">
        <v>40</v>
      </c>
      <c r="H12" s="15" t="s">
        <v>41</v>
      </c>
      <c r="I12" s="6" t="s">
        <v>30</v>
      </c>
      <c r="J12" s="6" t="s">
        <v>42</v>
      </c>
      <c r="K12" s="6" t="s">
        <v>43</v>
      </c>
      <c r="L12" s="16" t="str">
        <f>HYPERLINK("http://slimages.macys.com/is/image/MCY/15134294 ")</f>
        <v>http://slimages.macys.com/is/image/MCY/15134294 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15" t="s">
        <v>44</v>
      </c>
      <c r="B13" s="6" t="s">
        <v>45</v>
      </c>
      <c r="C13" s="7">
        <v>1.0</v>
      </c>
      <c r="D13" s="8">
        <v>100.0</v>
      </c>
      <c r="E13" s="8">
        <v>100.0</v>
      </c>
      <c r="F13" s="7" t="s">
        <v>46</v>
      </c>
      <c r="G13" s="6" t="s">
        <v>47</v>
      </c>
      <c r="H13" s="15" t="s">
        <v>41</v>
      </c>
      <c r="I13" s="6" t="s">
        <v>30</v>
      </c>
      <c r="J13" s="6" t="s">
        <v>48</v>
      </c>
      <c r="K13" s="6" t="s">
        <v>49</v>
      </c>
      <c r="L13" s="16" t="str">
        <f>HYPERLINK("http://slimages.macys.com/is/image/MCY/15100458 ")</f>
        <v>http://slimages.macys.com/is/image/MCY/15100458 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15" t="s">
        <v>50</v>
      </c>
      <c r="B14" s="6" t="s">
        <v>51</v>
      </c>
      <c r="C14" s="7">
        <v>1.0</v>
      </c>
      <c r="D14" s="8">
        <v>85.0</v>
      </c>
      <c r="E14" s="8">
        <v>85.0</v>
      </c>
      <c r="F14" s="7" t="s">
        <v>52</v>
      </c>
      <c r="G14" s="6" t="s">
        <v>53</v>
      </c>
      <c r="H14" s="15" t="s">
        <v>54</v>
      </c>
      <c r="I14" s="6" t="s">
        <v>30</v>
      </c>
      <c r="J14" s="6" t="s">
        <v>55</v>
      </c>
      <c r="K14" s="6" t="s">
        <v>56</v>
      </c>
      <c r="L14" s="16" t="str">
        <f>HYPERLINK("http://slimages.macys.com/is/image/MCY/12269333 ")</f>
        <v>http://slimages.macys.com/is/image/MCY/12269333 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15" t="s">
        <v>57</v>
      </c>
      <c r="B15" s="6" t="s">
        <v>58</v>
      </c>
      <c r="C15" s="7">
        <v>1.0</v>
      </c>
      <c r="D15" s="8">
        <v>75.0</v>
      </c>
      <c r="E15" s="8">
        <v>75.0</v>
      </c>
      <c r="F15" s="7" t="s">
        <v>59</v>
      </c>
      <c r="G15" s="6" t="s">
        <v>60</v>
      </c>
      <c r="H15" s="15" t="s">
        <v>36</v>
      </c>
      <c r="I15" s="6" t="s">
        <v>30</v>
      </c>
      <c r="J15" s="6" t="s">
        <v>48</v>
      </c>
      <c r="K15" s="6" t="s">
        <v>49</v>
      </c>
      <c r="L15" s="16" t="str">
        <f>HYPERLINK("http://slimages.macys.com/is/image/MCY/15421193 ")</f>
        <v>http://slimages.macys.com/is/image/MCY/15421193 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15" t="s">
        <v>61</v>
      </c>
      <c r="B16" s="6" t="s">
        <v>62</v>
      </c>
      <c r="C16" s="7">
        <v>1.0</v>
      </c>
      <c r="D16" s="8">
        <v>75.0</v>
      </c>
      <c r="E16" s="8">
        <v>75.0</v>
      </c>
      <c r="F16" s="7" t="s">
        <v>63</v>
      </c>
      <c r="G16" s="6" t="s">
        <v>64</v>
      </c>
      <c r="H16" s="15" t="s">
        <v>65</v>
      </c>
      <c r="I16" s="6" t="s">
        <v>30</v>
      </c>
      <c r="J16" s="6" t="s">
        <v>48</v>
      </c>
      <c r="K16" s="6" t="s">
        <v>49</v>
      </c>
      <c r="L16" s="16" t="str">
        <f>HYPERLINK("http://slimages.macys.com/is/image/MCY/14530831 ")</f>
        <v>http://slimages.macys.com/is/image/MCY/14530831 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15" t="s">
        <v>66</v>
      </c>
      <c r="B17" s="6" t="s">
        <v>67</v>
      </c>
      <c r="C17" s="7">
        <v>2.0</v>
      </c>
      <c r="D17" s="8">
        <v>70.0</v>
      </c>
      <c r="E17" s="8">
        <v>140.0</v>
      </c>
      <c r="F17" s="7" t="s">
        <v>68</v>
      </c>
      <c r="G17" s="6" t="s">
        <v>60</v>
      </c>
      <c r="H17" s="15" t="s">
        <v>54</v>
      </c>
      <c r="I17" s="6" t="s">
        <v>30</v>
      </c>
      <c r="J17" s="6" t="s">
        <v>55</v>
      </c>
      <c r="K17" s="6" t="s">
        <v>56</v>
      </c>
      <c r="L17" s="16" t="str">
        <f t="shared" ref="L17:L18" si="2">HYPERLINK("http://slimages.macys.com/is/image/MCY/15173208 ")</f>
        <v>http://slimages.macys.com/is/image/MCY/15173208 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15" t="s">
        <v>69</v>
      </c>
      <c r="B18" s="6" t="s">
        <v>70</v>
      </c>
      <c r="C18" s="7">
        <v>3.0</v>
      </c>
      <c r="D18" s="8">
        <v>70.0</v>
      </c>
      <c r="E18" s="8">
        <v>210.0</v>
      </c>
      <c r="F18" s="7" t="s">
        <v>68</v>
      </c>
      <c r="G18" s="6" t="s">
        <v>60</v>
      </c>
      <c r="H18" s="15" t="s">
        <v>36</v>
      </c>
      <c r="I18" s="6" t="s">
        <v>30</v>
      </c>
      <c r="J18" s="6" t="s">
        <v>55</v>
      </c>
      <c r="K18" s="6" t="s">
        <v>56</v>
      </c>
      <c r="L18" s="16" t="str">
        <f t="shared" si="2"/>
        <v>http://slimages.macys.com/is/image/MCY/15173208 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15" t="s">
        <v>71</v>
      </c>
      <c r="B19" s="6" t="s">
        <v>72</v>
      </c>
      <c r="C19" s="7">
        <v>1.0</v>
      </c>
      <c r="D19" s="8">
        <v>89.0</v>
      </c>
      <c r="E19" s="8">
        <v>89.0</v>
      </c>
      <c r="F19" s="7" t="s">
        <v>73</v>
      </c>
      <c r="G19" s="6" t="s">
        <v>35</v>
      </c>
      <c r="H19" s="15" t="s">
        <v>29</v>
      </c>
      <c r="I19" s="6" t="s">
        <v>30</v>
      </c>
      <c r="J19" s="6" t="s">
        <v>42</v>
      </c>
      <c r="K19" s="6" t="s">
        <v>43</v>
      </c>
      <c r="L19" s="16" t="str">
        <f>HYPERLINK("http://slimages.macys.com/is/image/MCY/15900043 ")</f>
        <v>http://slimages.macys.com/is/image/MCY/15900043 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15" t="s">
        <v>74</v>
      </c>
      <c r="B20" s="6" t="s">
        <v>75</v>
      </c>
      <c r="C20" s="7">
        <v>1.0</v>
      </c>
      <c r="D20" s="8">
        <v>70.0</v>
      </c>
      <c r="E20" s="8">
        <v>70.0</v>
      </c>
      <c r="F20" s="7" t="s">
        <v>76</v>
      </c>
      <c r="G20" s="6" t="s">
        <v>53</v>
      </c>
      <c r="H20" s="15" t="s">
        <v>77</v>
      </c>
      <c r="I20" s="6" t="s">
        <v>30</v>
      </c>
      <c r="J20" s="6" t="s">
        <v>48</v>
      </c>
      <c r="K20" s="6" t="s">
        <v>49</v>
      </c>
      <c r="L20" s="16" t="str">
        <f>HYPERLINK("http://slimages.macys.com/is/image/MCY/15522266 ")</f>
        <v>http://slimages.macys.com/is/image/MCY/15522266 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15" t="s">
        <v>78</v>
      </c>
      <c r="B21" s="6" t="s">
        <v>79</v>
      </c>
      <c r="C21" s="7">
        <v>1.0</v>
      </c>
      <c r="D21" s="8">
        <v>89.0</v>
      </c>
      <c r="E21" s="8">
        <v>89.0</v>
      </c>
      <c r="F21" s="7" t="s">
        <v>73</v>
      </c>
      <c r="G21" s="6" t="s">
        <v>35</v>
      </c>
      <c r="H21" s="15" t="s">
        <v>65</v>
      </c>
      <c r="I21" s="6" t="s">
        <v>30</v>
      </c>
      <c r="J21" s="6" t="s">
        <v>42</v>
      </c>
      <c r="K21" s="6" t="s">
        <v>43</v>
      </c>
      <c r="L21" s="16" t="str">
        <f>HYPERLINK("http://slimages.macys.com/is/image/MCY/15900043 ")</f>
        <v>http://slimages.macys.com/is/image/MCY/15900043 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15" t="s">
        <v>80</v>
      </c>
      <c r="B22" s="6" t="s">
        <v>81</v>
      </c>
      <c r="C22" s="7">
        <v>1.0</v>
      </c>
      <c r="D22" s="8">
        <v>65.0</v>
      </c>
      <c r="E22" s="8">
        <v>65.0</v>
      </c>
      <c r="F22" s="7" t="s">
        <v>82</v>
      </c>
      <c r="G22" s="6" t="s">
        <v>53</v>
      </c>
      <c r="H22" s="15" t="s">
        <v>36</v>
      </c>
      <c r="I22" s="6" t="s">
        <v>30</v>
      </c>
      <c r="J22" s="6" t="s">
        <v>55</v>
      </c>
      <c r="K22" s="6" t="s">
        <v>56</v>
      </c>
      <c r="L22" s="16" t="str">
        <f>HYPERLINK("http://slimages.macys.com/is/image/MCY/12266046 ")</f>
        <v>http://slimages.macys.com/is/image/MCY/12266046 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15" t="s">
        <v>83</v>
      </c>
      <c r="B23" s="6" t="s">
        <v>84</v>
      </c>
      <c r="C23" s="7">
        <v>1.0</v>
      </c>
      <c r="D23" s="8">
        <v>65.0</v>
      </c>
      <c r="E23" s="8">
        <v>65.0</v>
      </c>
      <c r="F23" s="7" t="s">
        <v>85</v>
      </c>
      <c r="G23" s="6" t="s">
        <v>86</v>
      </c>
      <c r="H23" s="15" t="s">
        <v>87</v>
      </c>
      <c r="I23" s="6" t="s">
        <v>30</v>
      </c>
      <c r="J23" s="6" t="s">
        <v>88</v>
      </c>
      <c r="K23" s="6" t="s">
        <v>89</v>
      </c>
      <c r="L23" s="16" t="str">
        <f>HYPERLINK("http://slimages.macys.com/is/image/MCY/15754638 ")</f>
        <v>http://slimages.macys.com/is/image/MCY/15754638 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15" t="s">
        <v>90</v>
      </c>
      <c r="B24" s="6" t="s">
        <v>91</v>
      </c>
      <c r="C24" s="7">
        <v>1.0</v>
      </c>
      <c r="D24" s="8">
        <v>65.0</v>
      </c>
      <c r="E24" s="8">
        <v>65.0</v>
      </c>
      <c r="F24" s="7" t="s">
        <v>92</v>
      </c>
      <c r="G24" s="6" t="s">
        <v>93</v>
      </c>
      <c r="H24" s="15" t="s">
        <v>94</v>
      </c>
      <c r="I24" s="6" t="s">
        <v>30</v>
      </c>
      <c r="J24" s="6" t="s">
        <v>88</v>
      </c>
      <c r="K24" s="6" t="s">
        <v>89</v>
      </c>
      <c r="L24" s="16" t="str">
        <f>HYPERLINK("http://slimages.macys.com/is/image/MCY/14307811 ")</f>
        <v>http://slimages.macys.com/is/image/MCY/14307811 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15" t="s">
        <v>95</v>
      </c>
      <c r="B25" s="6" t="s">
        <v>96</v>
      </c>
      <c r="C25" s="7">
        <v>1.0</v>
      </c>
      <c r="D25" s="8">
        <v>65.0</v>
      </c>
      <c r="E25" s="8">
        <v>65.0</v>
      </c>
      <c r="F25" s="7" t="s">
        <v>97</v>
      </c>
      <c r="G25" s="6" t="s">
        <v>98</v>
      </c>
      <c r="H25" s="15" t="s">
        <v>94</v>
      </c>
      <c r="I25" s="6" t="s">
        <v>30</v>
      </c>
      <c r="J25" s="6" t="s">
        <v>88</v>
      </c>
      <c r="K25" s="6" t="s">
        <v>89</v>
      </c>
      <c r="L25" s="16" t="str">
        <f>HYPERLINK("http://slimages.macys.com/is/image/MCY/10205612 ")</f>
        <v>http://slimages.macys.com/is/image/MCY/10205612 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15" t="s">
        <v>99</v>
      </c>
      <c r="B26" s="6" t="s">
        <v>100</v>
      </c>
      <c r="C26" s="7">
        <v>1.0</v>
      </c>
      <c r="D26" s="8">
        <v>65.0</v>
      </c>
      <c r="E26" s="8">
        <v>65.0</v>
      </c>
      <c r="F26" s="7" t="s">
        <v>92</v>
      </c>
      <c r="G26" s="6" t="s">
        <v>93</v>
      </c>
      <c r="H26" s="15" t="s">
        <v>101</v>
      </c>
      <c r="I26" s="6" t="s">
        <v>30</v>
      </c>
      <c r="J26" s="6" t="s">
        <v>88</v>
      </c>
      <c r="K26" s="6" t="s">
        <v>89</v>
      </c>
      <c r="L26" s="16" t="str">
        <f t="shared" ref="L26:L27" si="3">HYPERLINK("http://slimages.macys.com/is/image/MCY/14307811 ")</f>
        <v>http://slimages.macys.com/is/image/MCY/14307811 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15" t="s">
        <v>102</v>
      </c>
      <c r="B27" s="6" t="s">
        <v>103</v>
      </c>
      <c r="C27" s="7">
        <v>1.0</v>
      </c>
      <c r="D27" s="8">
        <v>65.0</v>
      </c>
      <c r="E27" s="8">
        <v>65.0</v>
      </c>
      <c r="F27" s="7" t="s">
        <v>92</v>
      </c>
      <c r="G27" s="6" t="s">
        <v>93</v>
      </c>
      <c r="H27" s="15" t="s">
        <v>87</v>
      </c>
      <c r="I27" s="6" t="s">
        <v>30</v>
      </c>
      <c r="J27" s="6" t="s">
        <v>88</v>
      </c>
      <c r="K27" s="6" t="s">
        <v>89</v>
      </c>
      <c r="L27" s="16" t="str">
        <f t="shared" si="3"/>
        <v>http://slimages.macys.com/is/image/MCY/14307811 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15" t="s">
        <v>104</v>
      </c>
      <c r="B28" s="6" t="s">
        <v>105</v>
      </c>
      <c r="C28" s="7">
        <v>1.0</v>
      </c>
      <c r="D28" s="8">
        <v>65.0</v>
      </c>
      <c r="E28" s="8">
        <v>65.0</v>
      </c>
      <c r="F28" s="7">
        <v>1320589.0</v>
      </c>
      <c r="G28" s="6" t="s">
        <v>93</v>
      </c>
      <c r="H28" s="15" t="s">
        <v>106</v>
      </c>
      <c r="I28" s="6" t="s">
        <v>30</v>
      </c>
      <c r="J28" s="6" t="s">
        <v>107</v>
      </c>
      <c r="K28" s="6" t="s">
        <v>108</v>
      </c>
      <c r="L28" s="16" t="str">
        <f>HYPERLINK("http://slimages.macys.com/is/image/MCY/9236649 ")</f>
        <v>http://slimages.macys.com/is/image/MCY/9236649 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15" t="s">
        <v>109</v>
      </c>
      <c r="B29" s="6" t="s">
        <v>110</v>
      </c>
      <c r="C29" s="7">
        <v>1.0</v>
      </c>
      <c r="D29" s="8">
        <v>65.0</v>
      </c>
      <c r="E29" s="8">
        <v>65.0</v>
      </c>
      <c r="F29" s="7" t="s">
        <v>111</v>
      </c>
      <c r="G29" s="6" t="s">
        <v>112</v>
      </c>
      <c r="H29" s="15" t="s">
        <v>65</v>
      </c>
      <c r="I29" s="6" t="s">
        <v>30</v>
      </c>
      <c r="J29" s="6" t="s">
        <v>48</v>
      </c>
      <c r="K29" s="6" t="s">
        <v>49</v>
      </c>
      <c r="L29" s="16" t="str">
        <f>HYPERLINK("http://slimages.macys.com/is/image/MCY/14309990 ")</f>
        <v>http://slimages.macys.com/is/image/MCY/14309990 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15" t="s">
        <v>113</v>
      </c>
      <c r="B30" s="6" t="s">
        <v>114</v>
      </c>
      <c r="C30" s="7">
        <v>1.0</v>
      </c>
      <c r="D30" s="8">
        <v>65.0</v>
      </c>
      <c r="E30" s="8">
        <v>65.0</v>
      </c>
      <c r="F30" s="7" t="s">
        <v>115</v>
      </c>
      <c r="G30" s="6" t="s">
        <v>53</v>
      </c>
      <c r="H30" s="15" t="s">
        <v>77</v>
      </c>
      <c r="I30" s="6" t="s">
        <v>30</v>
      </c>
      <c r="J30" s="6" t="s">
        <v>48</v>
      </c>
      <c r="K30" s="6" t="s">
        <v>49</v>
      </c>
      <c r="L30" s="16" t="str">
        <f>HYPERLINK("http://slimages.macys.com/is/image/MCY/14528956 ")</f>
        <v>http://slimages.macys.com/is/image/MCY/14528956 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15" t="s">
        <v>116</v>
      </c>
      <c r="B31" s="6" t="s">
        <v>117</v>
      </c>
      <c r="C31" s="7">
        <v>1.0</v>
      </c>
      <c r="D31" s="8">
        <v>65.0</v>
      </c>
      <c r="E31" s="8">
        <v>65.0</v>
      </c>
      <c r="F31" s="7" t="s">
        <v>118</v>
      </c>
      <c r="G31" s="6" t="s">
        <v>119</v>
      </c>
      <c r="H31" s="15" t="s">
        <v>65</v>
      </c>
      <c r="I31" s="6" t="s">
        <v>30</v>
      </c>
      <c r="J31" s="6" t="s">
        <v>48</v>
      </c>
      <c r="K31" s="6" t="s">
        <v>49</v>
      </c>
      <c r="L31" s="16" t="str">
        <f>HYPERLINK("http://slimages.macys.com/is/image/MCY/14314063 ")</f>
        <v>http://slimages.macys.com/is/image/MCY/14314063 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15" t="s">
        <v>120</v>
      </c>
      <c r="B32" s="6" t="s">
        <v>121</v>
      </c>
      <c r="C32" s="7">
        <v>1.0</v>
      </c>
      <c r="D32" s="8">
        <v>65.0</v>
      </c>
      <c r="E32" s="8">
        <v>65.0</v>
      </c>
      <c r="F32" s="7" t="s">
        <v>122</v>
      </c>
      <c r="G32" s="6" t="s">
        <v>53</v>
      </c>
      <c r="H32" s="15" t="s">
        <v>77</v>
      </c>
      <c r="I32" s="6" t="s">
        <v>30</v>
      </c>
      <c r="J32" s="6" t="s">
        <v>48</v>
      </c>
      <c r="K32" s="6" t="s">
        <v>49</v>
      </c>
      <c r="L32" s="16" t="str">
        <f>HYPERLINK("http://slimages.macys.com/is/image/MCY/15548912 ")</f>
        <v>http://slimages.macys.com/is/image/MCY/15548912 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15" t="s">
        <v>123</v>
      </c>
      <c r="B33" s="6" t="s">
        <v>124</v>
      </c>
      <c r="C33" s="7">
        <v>1.0</v>
      </c>
      <c r="D33" s="8">
        <v>65.0</v>
      </c>
      <c r="E33" s="8">
        <v>65.0</v>
      </c>
      <c r="F33" s="7" t="s">
        <v>125</v>
      </c>
      <c r="G33" s="6" t="s">
        <v>53</v>
      </c>
      <c r="H33" s="15" t="s">
        <v>41</v>
      </c>
      <c r="I33" s="6" t="s">
        <v>30</v>
      </c>
      <c r="J33" s="6" t="s">
        <v>48</v>
      </c>
      <c r="K33" s="6" t="s">
        <v>49</v>
      </c>
      <c r="L33" s="16" t="str">
        <f>HYPERLINK("http://slimages.macys.com/is/image/MCY/15691645 ")</f>
        <v>http://slimages.macys.com/is/image/MCY/15691645 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15" t="s">
        <v>126</v>
      </c>
      <c r="B34" s="6" t="s">
        <v>127</v>
      </c>
      <c r="C34" s="7">
        <v>1.0</v>
      </c>
      <c r="D34" s="8">
        <v>65.0</v>
      </c>
      <c r="E34" s="8">
        <v>65.0</v>
      </c>
      <c r="F34" s="7" t="s">
        <v>128</v>
      </c>
      <c r="G34" s="6" t="s">
        <v>53</v>
      </c>
      <c r="H34" s="15" t="s">
        <v>65</v>
      </c>
      <c r="I34" s="6" t="s">
        <v>30</v>
      </c>
      <c r="J34" s="6" t="s">
        <v>48</v>
      </c>
      <c r="K34" s="6" t="s">
        <v>49</v>
      </c>
      <c r="L34" s="16" t="str">
        <f>HYPERLINK("http://slimages.macys.com/is/image/MCY/14527692 ")</f>
        <v>http://slimages.macys.com/is/image/MCY/14527692 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15" t="s">
        <v>129</v>
      </c>
      <c r="B35" s="6" t="s">
        <v>130</v>
      </c>
      <c r="C35" s="7">
        <v>1.0</v>
      </c>
      <c r="D35" s="8">
        <v>65.0</v>
      </c>
      <c r="E35" s="8">
        <v>65.0</v>
      </c>
      <c r="F35" s="7" t="s">
        <v>131</v>
      </c>
      <c r="G35" s="6" t="s">
        <v>132</v>
      </c>
      <c r="H35" s="15" t="s">
        <v>87</v>
      </c>
      <c r="I35" s="6" t="s">
        <v>30</v>
      </c>
      <c r="J35" s="6" t="s">
        <v>88</v>
      </c>
      <c r="K35" s="6" t="s">
        <v>89</v>
      </c>
      <c r="L35" s="16" t="str">
        <f t="shared" ref="L35:L36" si="4">HYPERLINK("http://slimages.macys.com/is/image/MCY/15523084 ")</f>
        <v>http://slimages.macys.com/is/image/MCY/15523084 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15" t="s">
        <v>133</v>
      </c>
      <c r="B36" s="6" t="s">
        <v>134</v>
      </c>
      <c r="C36" s="7">
        <v>1.0</v>
      </c>
      <c r="D36" s="8">
        <v>65.0</v>
      </c>
      <c r="E36" s="8">
        <v>65.0</v>
      </c>
      <c r="F36" s="7" t="s">
        <v>131</v>
      </c>
      <c r="G36" s="6" t="s">
        <v>132</v>
      </c>
      <c r="H36" s="15" t="s">
        <v>94</v>
      </c>
      <c r="I36" s="6" t="s">
        <v>30</v>
      </c>
      <c r="J36" s="6" t="s">
        <v>88</v>
      </c>
      <c r="K36" s="6" t="s">
        <v>89</v>
      </c>
      <c r="L36" s="16" t="str">
        <f t="shared" si="4"/>
        <v>http://slimages.macys.com/is/image/MCY/15523084 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15" t="s">
        <v>135</v>
      </c>
      <c r="B37" s="6" t="s">
        <v>136</v>
      </c>
      <c r="C37" s="7">
        <v>1.0</v>
      </c>
      <c r="D37" s="8">
        <v>79.0</v>
      </c>
      <c r="E37" s="8">
        <v>79.0</v>
      </c>
      <c r="F37" s="7" t="s">
        <v>137</v>
      </c>
      <c r="G37" s="6" t="s">
        <v>138</v>
      </c>
      <c r="H37" s="15" t="s">
        <v>77</v>
      </c>
      <c r="I37" s="6" t="s">
        <v>30</v>
      </c>
      <c r="J37" s="6" t="s">
        <v>42</v>
      </c>
      <c r="K37" s="6" t="s">
        <v>43</v>
      </c>
      <c r="L37" s="16" t="str">
        <f>HYPERLINK("http://slimages.macys.com/is/image/MCY/15764865 ")</f>
        <v>http://slimages.macys.com/is/image/MCY/15764865 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15" t="s">
        <v>139</v>
      </c>
      <c r="B38" s="6" t="s">
        <v>140</v>
      </c>
      <c r="C38" s="7">
        <v>1.0</v>
      </c>
      <c r="D38" s="8">
        <v>79.0</v>
      </c>
      <c r="E38" s="8">
        <v>79.0</v>
      </c>
      <c r="F38" s="7" t="s">
        <v>141</v>
      </c>
      <c r="G38" s="6" t="s">
        <v>112</v>
      </c>
      <c r="H38" s="15" t="s">
        <v>77</v>
      </c>
      <c r="I38" s="6" t="s">
        <v>30</v>
      </c>
      <c r="J38" s="6" t="s">
        <v>42</v>
      </c>
      <c r="K38" s="6" t="s">
        <v>43</v>
      </c>
      <c r="L38" s="16" t="str">
        <f>HYPERLINK("http://slimages.macys.com/is/image/MCY/15941608 ")</f>
        <v>http://slimages.macys.com/is/image/MCY/15941608 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15" t="s">
        <v>142</v>
      </c>
      <c r="B39" s="6" t="s">
        <v>143</v>
      </c>
      <c r="C39" s="7">
        <v>1.0</v>
      </c>
      <c r="D39" s="8">
        <v>79.0</v>
      </c>
      <c r="E39" s="8">
        <v>79.0</v>
      </c>
      <c r="F39" s="7" t="s">
        <v>137</v>
      </c>
      <c r="G39" s="6" t="s">
        <v>93</v>
      </c>
      <c r="H39" s="15" t="s">
        <v>36</v>
      </c>
      <c r="I39" s="6" t="s">
        <v>30</v>
      </c>
      <c r="J39" s="6" t="s">
        <v>42</v>
      </c>
      <c r="K39" s="6" t="s">
        <v>43</v>
      </c>
      <c r="L39" s="16" t="str">
        <f>HYPERLINK("http://slimages.macys.com/is/image/MCY/15764865 ")</f>
        <v>http://slimages.macys.com/is/image/MCY/15764865 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15" t="s">
        <v>144</v>
      </c>
      <c r="B40" s="6" t="s">
        <v>145</v>
      </c>
      <c r="C40" s="7">
        <v>1.0</v>
      </c>
      <c r="D40" s="8">
        <v>60.0</v>
      </c>
      <c r="E40" s="8">
        <v>60.0</v>
      </c>
      <c r="F40" s="7" t="s">
        <v>146</v>
      </c>
      <c r="G40" s="6" t="s">
        <v>93</v>
      </c>
      <c r="H40" s="15" t="s">
        <v>87</v>
      </c>
      <c r="I40" s="6" t="s">
        <v>30</v>
      </c>
      <c r="J40" s="6" t="s">
        <v>88</v>
      </c>
      <c r="K40" s="6" t="s">
        <v>89</v>
      </c>
      <c r="L40" s="16" t="str">
        <f>HYPERLINK("http://slimages.macys.com/is/image/MCY/12851915 ")</f>
        <v>http://slimages.macys.com/is/image/MCY/12851915 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15" t="s">
        <v>147</v>
      </c>
      <c r="B41" s="6" t="s">
        <v>148</v>
      </c>
      <c r="C41" s="7">
        <v>1.0</v>
      </c>
      <c r="D41" s="8">
        <v>60.0</v>
      </c>
      <c r="E41" s="8">
        <v>60.0</v>
      </c>
      <c r="F41" s="7" t="s">
        <v>149</v>
      </c>
      <c r="G41" s="6" t="s">
        <v>93</v>
      </c>
      <c r="H41" s="15" t="s">
        <v>94</v>
      </c>
      <c r="I41" s="6" t="s">
        <v>30</v>
      </c>
      <c r="J41" s="6" t="s">
        <v>88</v>
      </c>
      <c r="K41" s="6" t="s">
        <v>89</v>
      </c>
      <c r="L41" s="16" t="str">
        <f>HYPERLINK("http://slimages.macys.com/is/image/MCY/14308226 ")</f>
        <v>http://slimages.macys.com/is/image/MCY/14308226 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15" t="s">
        <v>150</v>
      </c>
      <c r="B42" s="6" t="s">
        <v>151</v>
      </c>
      <c r="C42" s="7">
        <v>1.0</v>
      </c>
      <c r="D42" s="8">
        <v>60.0</v>
      </c>
      <c r="E42" s="8">
        <v>60.0</v>
      </c>
      <c r="F42" s="7" t="s">
        <v>152</v>
      </c>
      <c r="G42" s="6" t="s">
        <v>53</v>
      </c>
      <c r="H42" s="15" t="s">
        <v>77</v>
      </c>
      <c r="I42" s="6" t="s">
        <v>30</v>
      </c>
      <c r="J42" s="6" t="s">
        <v>48</v>
      </c>
      <c r="K42" s="6" t="s">
        <v>49</v>
      </c>
      <c r="L42" s="16" t="str">
        <f>HYPERLINK("http://slimages.macys.com/is/image/MCY/13312125 ")</f>
        <v>http://slimages.macys.com/is/image/MCY/13312125 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15" t="s">
        <v>153</v>
      </c>
      <c r="B43" s="6" t="s">
        <v>154</v>
      </c>
      <c r="C43" s="7">
        <v>1.0</v>
      </c>
      <c r="D43" s="8">
        <v>60.0</v>
      </c>
      <c r="E43" s="8">
        <v>60.0</v>
      </c>
      <c r="F43" s="7" t="s">
        <v>155</v>
      </c>
      <c r="G43" s="6" t="s">
        <v>53</v>
      </c>
      <c r="H43" s="15" t="s">
        <v>54</v>
      </c>
      <c r="I43" s="6" t="s">
        <v>30</v>
      </c>
      <c r="J43" s="6" t="s">
        <v>55</v>
      </c>
      <c r="K43" s="6" t="s">
        <v>56</v>
      </c>
      <c r="L43" s="16" t="str">
        <f>HYPERLINK("http://slimages.macys.com/is/image/MCY/12034040 ")</f>
        <v>http://slimages.macys.com/is/image/MCY/12034040 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15" t="s">
        <v>156</v>
      </c>
      <c r="B44" s="6" t="s">
        <v>157</v>
      </c>
      <c r="C44" s="7">
        <v>1.0</v>
      </c>
      <c r="D44" s="8">
        <v>60.0</v>
      </c>
      <c r="E44" s="8">
        <v>60.0</v>
      </c>
      <c r="F44" s="7">
        <v>914414.0</v>
      </c>
      <c r="G44" s="6" t="s">
        <v>98</v>
      </c>
      <c r="H44" s="15" t="s">
        <v>65</v>
      </c>
      <c r="I44" s="6" t="s">
        <v>30</v>
      </c>
      <c r="J44" s="6" t="s">
        <v>48</v>
      </c>
      <c r="K44" s="6" t="s">
        <v>49</v>
      </c>
      <c r="L44" s="16" t="str">
        <f>HYPERLINK("http://slimages.macys.com/is/image/MCY/15716453 ")</f>
        <v>http://slimages.macys.com/is/image/MCY/15716453 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15" t="s">
        <v>158</v>
      </c>
      <c r="B45" s="6" t="s">
        <v>159</v>
      </c>
      <c r="C45" s="7">
        <v>1.0</v>
      </c>
      <c r="D45" s="8">
        <v>60.0</v>
      </c>
      <c r="E45" s="8">
        <v>60.0</v>
      </c>
      <c r="F45" s="7" t="s">
        <v>160</v>
      </c>
      <c r="G45" s="6" t="s">
        <v>161</v>
      </c>
      <c r="H45" s="15" t="s">
        <v>36</v>
      </c>
      <c r="I45" s="6" t="s">
        <v>30</v>
      </c>
      <c r="J45" s="6" t="s">
        <v>48</v>
      </c>
      <c r="K45" s="6" t="s">
        <v>49</v>
      </c>
      <c r="L45" s="16" t="str">
        <f>HYPERLINK("http://slimages.macys.com/is/image/MCY/15329728 ")</f>
        <v>http://slimages.macys.com/is/image/MCY/15329728 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15" t="s">
        <v>162</v>
      </c>
      <c r="B46" s="6" t="s">
        <v>163</v>
      </c>
      <c r="C46" s="7">
        <v>1.0</v>
      </c>
      <c r="D46" s="8">
        <v>60.0</v>
      </c>
      <c r="E46" s="8">
        <v>60.0</v>
      </c>
      <c r="F46" s="7" t="s">
        <v>164</v>
      </c>
      <c r="G46" s="6" t="s">
        <v>119</v>
      </c>
      <c r="H46" s="15" t="s">
        <v>77</v>
      </c>
      <c r="I46" s="6" t="s">
        <v>30</v>
      </c>
      <c r="J46" s="6" t="s">
        <v>88</v>
      </c>
      <c r="K46" s="6" t="s">
        <v>89</v>
      </c>
      <c r="L46" s="16" t="str">
        <f>HYPERLINK("http://slimages.macys.com/is/image/MCY/15522961 ")</f>
        <v>http://slimages.macys.com/is/image/MCY/15522961 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15" t="s">
        <v>165</v>
      </c>
      <c r="B47" s="6" t="s">
        <v>166</v>
      </c>
      <c r="C47" s="7">
        <v>1.0</v>
      </c>
      <c r="D47" s="8">
        <v>65.0</v>
      </c>
      <c r="E47" s="8">
        <v>65.0</v>
      </c>
      <c r="F47" s="7">
        <v>5.9537201E7</v>
      </c>
      <c r="G47" s="6" t="s">
        <v>93</v>
      </c>
      <c r="H47" s="15" t="s">
        <v>65</v>
      </c>
      <c r="I47" s="6" t="s">
        <v>30</v>
      </c>
      <c r="J47" s="6" t="s">
        <v>88</v>
      </c>
      <c r="K47" s="6" t="s">
        <v>167</v>
      </c>
      <c r="L47" s="16" t="str">
        <f>HYPERLINK("http://slimages.macys.com/is/image/MCY/15631886 ")</f>
        <v>http://slimages.macys.com/is/image/MCY/15631886 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15" t="s">
        <v>168</v>
      </c>
      <c r="B48" s="6" t="s">
        <v>169</v>
      </c>
      <c r="C48" s="7">
        <v>1.0</v>
      </c>
      <c r="D48" s="8">
        <v>65.0</v>
      </c>
      <c r="E48" s="8">
        <v>65.0</v>
      </c>
      <c r="F48" s="7">
        <v>5.7850401E7</v>
      </c>
      <c r="G48" s="6" t="s">
        <v>93</v>
      </c>
      <c r="H48" s="15" t="s">
        <v>29</v>
      </c>
      <c r="I48" s="6" t="s">
        <v>30</v>
      </c>
      <c r="J48" s="6" t="s">
        <v>88</v>
      </c>
      <c r="K48" s="6" t="s">
        <v>167</v>
      </c>
      <c r="L48" s="16" t="str">
        <f>HYPERLINK("http://slimages.macys.com/is/image/MCY/11851634 ")</f>
        <v>http://slimages.macys.com/is/image/MCY/11851634 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15" t="s">
        <v>170</v>
      </c>
      <c r="B49" s="6" t="s">
        <v>171</v>
      </c>
      <c r="C49" s="7">
        <v>1.0</v>
      </c>
      <c r="D49" s="8">
        <v>84.5</v>
      </c>
      <c r="E49" s="8">
        <v>84.5</v>
      </c>
      <c r="F49" s="7" t="s">
        <v>172</v>
      </c>
      <c r="G49" s="6" t="s">
        <v>64</v>
      </c>
      <c r="H49" s="15" t="s">
        <v>173</v>
      </c>
      <c r="I49" s="6" t="s">
        <v>30</v>
      </c>
      <c r="J49" s="6" t="s">
        <v>174</v>
      </c>
      <c r="K49" s="6" t="s">
        <v>175</v>
      </c>
      <c r="L49" s="16" t="str">
        <f>HYPERLINK("http://slimages.macys.com/is/image/MCY/15083852 ")</f>
        <v>http://slimages.macys.com/is/image/MCY/15083852 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15" t="s">
        <v>176</v>
      </c>
      <c r="B50" s="6" t="s">
        <v>177</v>
      </c>
      <c r="C50" s="7">
        <v>1.0</v>
      </c>
      <c r="D50" s="8">
        <v>55.0</v>
      </c>
      <c r="E50" s="8">
        <v>55.0</v>
      </c>
      <c r="F50" s="7" t="s">
        <v>178</v>
      </c>
      <c r="G50" s="6" t="s">
        <v>53</v>
      </c>
      <c r="H50" s="15" t="s">
        <v>36</v>
      </c>
      <c r="I50" s="6" t="s">
        <v>30</v>
      </c>
      <c r="J50" s="6" t="s">
        <v>55</v>
      </c>
      <c r="K50" s="6" t="s">
        <v>56</v>
      </c>
      <c r="L50" s="16" t="str">
        <f>HYPERLINK("http://slimages.macys.com/is/image/MCY/12075963 ")</f>
        <v>http://slimages.macys.com/is/image/MCY/12075963 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15" t="s">
        <v>179</v>
      </c>
      <c r="B51" s="6" t="s">
        <v>180</v>
      </c>
      <c r="C51" s="7">
        <v>1.0</v>
      </c>
      <c r="D51" s="8">
        <v>60.0</v>
      </c>
      <c r="E51" s="8">
        <v>60.0</v>
      </c>
      <c r="F51" s="7" t="s">
        <v>181</v>
      </c>
      <c r="G51" s="6" t="s">
        <v>93</v>
      </c>
      <c r="H51" s="15" t="s">
        <v>65</v>
      </c>
      <c r="I51" s="6" t="s">
        <v>30</v>
      </c>
      <c r="J51" s="6" t="s">
        <v>182</v>
      </c>
      <c r="K51" s="6" t="s">
        <v>183</v>
      </c>
      <c r="L51" s="16" t="str">
        <f t="shared" ref="L51:L53" si="5">HYPERLINK("http://slimages.macys.com/is/image/MCY/14433696 ")</f>
        <v>http://slimages.macys.com/is/image/MCY/14433696 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15" t="s">
        <v>184</v>
      </c>
      <c r="B52" s="6" t="s">
        <v>185</v>
      </c>
      <c r="C52" s="7">
        <v>1.0</v>
      </c>
      <c r="D52" s="8">
        <v>60.0</v>
      </c>
      <c r="E52" s="8">
        <v>60.0</v>
      </c>
      <c r="F52" s="7" t="s">
        <v>181</v>
      </c>
      <c r="G52" s="6" t="s">
        <v>93</v>
      </c>
      <c r="H52" s="15" t="s">
        <v>36</v>
      </c>
      <c r="I52" s="6" t="s">
        <v>30</v>
      </c>
      <c r="J52" s="6" t="s">
        <v>182</v>
      </c>
      <c r="K52" s="6" t="s">
        <v>183</v>
      </c>
      <c r="L52" s="16" t="str">
        <f t="shared" si="5"/>
        <v>http://slimages.macys.com/is/image/MCY/14433696 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15" t="s">
        <v>186</v>
      </c>
      <c r="B53" s="6" t="s">
        <v>187</v>
      </c>
      <c r="C53" s="7">
        <v>2.0</v>
      </c>
      <c r="D53" s="8">
        <v>60.0</v>
      </c>
      <c r="E53" s="8">
        <v>120.0</v>
      </c>
      <c r="F53" s="7" t="s">
        <v>181</v>
      </c>
      <c r="G53" s="6" t="s">
        <v>93</v>
      </c>
      <c r="H53" s="15" t="s">
        <v>77</v>
      </c>
      <c r="I53" s="6" t="s">
        <v>30</v>
      </c>
      <c r="J53" s="6" t="s">
        <v>182</v>
      </c>
      <c r="K53" s="6" t="s">
        <v>183</v>
      </c>
      <c r="L53" s="16" t="str">
        <f t="shared" si="5"/>
        <v>http://slimages.macys.com/is/image/MCY/14433696 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15" t="s">
        <v>188</v>
      </c>
      <c r="B54" s="6" t="s">
        <v>189</v>
      </c>
      <c r="C54" s="7">
        <v>1.0</v>
      </c>
      <c r="D54" s="8">
        <v>50.0</v>
      </c>
      <c r="E54" s="8">
        <v>50.0</v>
      </c>
      <c r="F54" s="7" t="s">
        <v>190</v>
      </c>
      <c r="G54" s="6" t="s">
        <v>191</v>
      </c>
      <c r="H54" s="15" t="s">
        <v>87</v>
      </c>
      <c r="I54" s="6" t="s">
        <v>30</v>
      </c>
      <c r="J54" s="6" t="s">
        <v>31</v>
      </c>
      <c r="K54" s="6" t="s">
        <v>192</v>
      </c>
      <c r="L54" s="16" t="str">
        <f>HYPERLINK("http://slimages.macys.com/is/image/MCY/14518829 ")</f>
        <v>http://slimages.macys.com/is/image/MCY/14518829 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15" t="s">
        <v>193</v>
      </c>
      <c r="B55" s="6" t="s">
        <v>194</v>
      </c>
      <c r="C55" s="7">
        <v>1.0</v>
      </c>
      <c r="D55" s="8">
        <v>69.5</v>
      </c>
      <c r="E55" s="8">
        <v>69.5</v>
      </c>
      <c r="F55" s="7" t="s">
        <v>195</v>
      </c>
      <c r="G55" s="6" t="s">
        <v>86</v>
      </c>
      <c r="H55" s="15" t="s">
        <v>65</v>
      </c>
      <c r="I55" s="6" t="s">
        <v>30</v>
      </c>
      <c r="J55" s="6" t="s">
        <v>196</v>
      </c>
      <c r="K55" s="6" t="s">
        <v>197</v>
      </c>
      <c r="L55" s="16" t="str">
        <f>HYPERLINK("http://slimages.macys.com/is/image/MCY/15179778 ")</f>
        <v>http://slimages.macys.com/is/image/MCY/15179778 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15" t="s">
        <v>198</v>
      </c>
      <c r="B56" s="6" t="s">
        <v>199</v>
      </c>
      <c r="C56" s="7">
        <v>1.0</v>
      </c>
      <c r="D56" s="8">
        <v>79.5</v>
      </c>
      <c r="E56" s="8">
        <v>79.5</v>
      </c>
      <c r="F56" s="7" t="s">
        <v>200</v>
      </c>
      <c r="G56" s="6" t="s">
        <v>93</v>
      </c>
      <c r="H56" s="15" t="s">
        <v>65</v>
      </c>
      <c r="I56" s="6" t="s">
        <v>30</v>
      </c>
      <c r="J56" s="6" t="s">
        <v>196</v>
      </c>
      <c r="K56" s="6" t="s">
        <v>197</v>
      </c>
      <c r="L56" s="16" t="str">
        <f>HYPERLINK("http://slimages.macys.com/is/image/MCY/15185894 ")</f>
        <v>http://slimages.macys.com/is/image/MCY/15185894 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15" t="s">
        <v>201</v>
      </c>
      <c r="B57" s="6" t="s">
        <v>202</v>
      </c>
      <c r="C57" s="7">
        <v>1.0</v>
      </c>
      <c r="D57" s="8">
        <v>79.5</v>
      </c>
      <c r="E57" s="8">
        <v>79.5</v>
      </c>
      <c r="F57" s="7" t="s">
        <v>203</v>
      </c>
      <c r="G57" s="6" t="s">
        <v>204</v>
      </c>
      <c r="H57" s="15" t="s">
        <v>77</v>
      </c>
      <c r="I57" s="6" t="s">
        <v>30</v>
      </c>
      <c r="J57" s="6" t="s">
        <v>196</v>
      </c>
      <c r="K57" s="6" t="s">
        <v>205</v>
      </c>
      <c r="L57" s="16" t="str">
        <f t="shared" ref="L57:L61" si="6">HYPERLINK("http://slimages.macys.com/is/image/MCY/15440414 ")</f>
        <v>http://slimages.macys.com/is/image/MCY/15440414 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15" t="s">
        <v>206</v>
      </c>
      <c r="B58" s="6" t="s">
        <v>207</v>
      </c>
      <c r="C58" s="7">
        <v>1.0</v>
      </c>
      <c r="D58" s="8">
        <v>79.5</v>
      </c>
      <c r="E58" s="8">
        <v>79.5</v>
      </c>
      <c r="F58" s="7" t="s">
        <v>203</v>
      </c>
      <c r="G58" s="6" t="s">
        <v>204</v>
      </c>
      <c r="H58" s="15" t="s">
        <v>41</v>
      </c>
      <c r="I58" s="6" t="s">
        <v>30</v>
      </c>
      <c r="J58" s="6" t="s">
        <v>196</v>
      </c>
      <c r="K58" s="6" t="s">
        <v>205</v>
      </c>
      <c r="L58" s="16" t="str">
        <f t="shared" si="6"/>
        <v>http://slimages.macys.com/is/image/MCY/15440414 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15" t="s">
        <v>208</v>
      </c>
      <c r="B59" s="6" t="s">
        <v>209</v>
      </c>
      <c r="C59" s="7">
        <v>1.0</v>
      </c>
      <c r="D59" s="8">
        <v>79.5</v>
      </c>
      <c r="E59" s="8">
        <v>79.5</v>
      </c>
      <c r="F59" s="7" t="s">
        <v>203</v>
      </c>
      <c r="G59" s="6" t="s">
        <v>204</v>
      </c>
      <c r="H59" s="15" t="s">
        <v>29</v>
      </c>
      <c r="I59" s="6" t="s">
        <v>30</v>
      </c>
      <c r="J59" s="6" t="s">
        <v>196</v>
      </c>
      <c r="K59" s="6" t="s">
        <v>205</v>
      </c>
      <c r="L59" s="16" t="str">
        <f t="shared" si="6"/>
        <v>http://slimages.macys.com/is/image/MCY/15440414 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15" t="s">
        <v>210</v>
      </c>
      <c r="B60" s="6" t="s">
        <v>211</v>
      </c>
      <c r="C60" s="7">
        <v>1.0</v>
      </c>
      <c r="D60" s="8">
        <v>79.5</v>
      </c>
      <c r="E60" s="8">
        <v>79.5</v>
      </c>
      <c r="F60" s="7" t="s">
        <v>203</v>
      </c>
      <c r="G60" s="6" t="s">
        <v>93</v>
      </c>
      <c r="H60" s="15" t="s">
        <v>65</v>
      </c>
      <c r="I60" s="6" t="s">
        <v>30</v>
      </c>
      <c r="J60" s="6" t="s">
        <v>196</v>
      </c>
      <c r="K60" s="6" t="s">
        <v>205</v>
      </c>
      <c r="L60" s="16" t="str">
        <f t="shared" si="6"/>
        <v>http://slimages.macys.com/is/image/MCY/15440414 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15" t="s">
        <v>212</v>
      </c>
      <c r="B61" s="6" t="s">
        <v>213</v>
      </c>
      <c r="C61" s="7">
        <v>1.0</v>
      </c>
      <c r="D61" s="8">
        <v>79.5</v>
      </c>
      <c r="E61" s="8">
        <v>79.5</v>
      </c>
      <c r="F61" s="7" t="s">
        <v>203</v>
      </c>
      <c r="G61" s="6" t="s">
        <v>93</v>
      </c>
      <c r="H61" s="15" t="s">
        <v>29</v>
      </c>
      <c r="I61" s="6" t="s">
        <v>30</v>
      </c>
      <c r="J61" s="6" t="s">
        <v>196</v>
      </c>
      <c r="K61" s="6" t="s">
        <v>205</v>
      </c>
      <c r="L61" s="16" t="str">
        <f t="shared" si="6"/>
        <v>http://slimages.macys.com/is/image/MCY/15440414 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15" t="s">
        <v>214</v>
      </c>
      <c r="B62" s="6" t="s">
        <v>215</v>
      </c>
      <c r="C62" s="7">
        <v>1.0</v>
      </c>
      <c r="D62" s="8">
        <v>55.0</v>
      </c>
      <c r="E62" s="8">
        <v>55.0</v>
      </c>
      <c r="F62" s="7">
        <v>1342778.0</v>
      </c>
      <c r="G62" s="6" t="s">
        <v>93</v>
      </c>
      <c r="H62" s="15" t="s">
        <v>41</v>
      </c>
      <c r="I62" s="6" t="s">
        <v>30</v>
      </c>
      <c r="J62" s="6" t="s">
        <v>107</v>
      </c>
      <c r="K62" s="6" t="s">
        <v>108</v>
      </c>
      <c r="L62" s="16" t="str">
        <f>HYPERLINK("http://slimages.macys.com/is/image/MCY/15942288 ")</f>
        <v>http://slimages.macys.com/is/image/MCY/15942288 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15" t="s">
        <v>216</v>
      </c>
      <c r="B63" s="6" t="s">
        <v>217</v>
      </c>
      <c r="C63" s="7">
        <v>2.0</v>
      </c>
      <c r="D63" s="8">
        <v>79.5</v>
      </c>
      <c r="E63" s="8">
        <v>159.0</v>
      </c>
      <c r="F63" s="7" t="s">
        <v>203</v>
      </c>
      <c r="G63" s="6" t="s">
        <v>204</v>
      </c>
      <c r="H63" s="15" t="s">
        <v>65</v>
      </c>
      <c r="I63" s="6" t="s">
        <v>30</v>
      </c>
      <c r="J63" s="6" t="s">
        <v>196</v>
      </c>
      <c r="K63" s="6" t="s">
        <v>205</v>
      </c>
      <c r="L63" s="16" t="str">
        <f>HYPERLINK("http://slimages.macys.com/is/image/MCY/15440414 ")</f>
        <v>http://slimages.macys.com/is/image/MCY/15440414 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15" t="s">
        <v>218</v>
      </c>
      <c r="B64" s="6" t="s">
        <v>219</v>
      </c>
      <c r="C64" s="7">
        <v>1.0</v>
      </c>
      <c r="D64" s="8">
        <v>79.5</v>
      </c>
      <c r="E64" s="8">
        <v>79.5</v>
      </c>
      <c r="F64" s="7" t="s">
        <v>220</v>
      </c>
      <c r="G64" s="6" t="s">
        <v>93</v>
      </c>
      <c r="H64" s="15" t="s">
        <v>36</v>
      </c>
      <c r="I64" s="6" t="s">
        <v>30</v>
      </c>
      <c r="J64" s="6" t="s">
        <v>196</v>
      </c>
      <c r="K64" s="6" t="s">
        <v>197</v>
      </c>
      <c r="L64" s="16" t="str">
        <f>HYPERLINK("http://slimages.macys.com/is/image/MCY/16702013 ")</f>
        <v>http://slimages.macys.com/is/image/MCY/16702013 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15" t="s">
        <v>221</v>
      </c>
      <c r="B65" s="6" t="s">
        <v>222</v>
      </c>
      <c r="C65" s="7">
        <v>1.0</v>
      </c>
      <c r="D65" s="8">
        <v>69.0</v>
      </c>
      <c r="E65" s="8">
        <v>69.0</v>
      </c>
      <c r="F65" s="7" t="s">
        <v>223</v>
      </c>
      <c r="G65" s="6" t="s">
        <v>93</v>
      </c>
      <c r="H65" s="15" t="s">
        <v>36</v>
      </c>
      <c r="I65" s="6" t="s">
        <v>30</v>
      </c>
      <c r="J65" s="6" t="s">
        <v>42</v>
      </c>
      <c r="K65" s="6" t="s">
        <v>43</v>
      </c>
      <c r="L65" s="16" t="str">
        <f>HYPERLINK("http://slimages.macys.com/is/image/MCY/15764967 ")</f>
        <v>http://slimages.macys.com/is/image/MCY/15764967 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15" t="s">
        <v>224</v>
      </c>
      <c r="B66" s="6" t="s">
        <v>225</v>
      </c>
      <c r="C66" s="7">
        <v>1.0</v>
      </c>
      <c r="D66" s="8">
        <v>69.0</v>
      </c>
      <c r="E66" s="8">
        <v>69.0</v>
      </c>
      <c r="F66" s="7" t="s">
        <v>226</v>
      </c>
      <c r="G66" s="6" t="s">
        <v>93</v>
      </c>
      <c r="H66" s="15" t="s">
        <v>77</v>
      </c>
      <c r="I66" s="6" t="s">
        <v>30</v>
      </c>
      <c r="J66" s="6" t="s">
        <v>42</v>
      </c>
      <c r="K66" s="6" t="s">
        <v>43</v>
      </c>
      <c r="L66" s="16" t="str">
        <f>HYPERLINK("http://slimages.macys.com/is/image/MCY/15764792 ")</f>
        <v>http://slimages.macys.com/is/image/MCY/15764792 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15" t="s">
        <v>227</v>
      </c>
      <c r="B67" s="6" t="s">
        <v>228</v>
      </c>
      <c r="C67" s="7">
        <v>1.0</v>
      </c>
      <c r="D67" s="8">
        <v>60.0</v>
      </c>
      <c r="E67" s="8">
        <v>60.0</v>
      </c>
      <c r="F67" s="7">
        <v>5.7958811E7</v>
      </c>
      <c r="G67" s="6" t="s">
        <v>93</v>
      </c>
      <c r="H67" s="15" t="s">
        <v>29</v>
      </c>
      <c r="I67" s="6" t="s">
        <v>30</v>
      </c>
      <c r="J67" s="6" t="s">
        <v>88</v>
      </c>
      <c r="K67" s="6" t="s">
        <v>167</v>
      </c>
      <c r="L67" s="16" t="str">
        <f>HYPERLINK("http://slimages.macys.com/is/image/MCY/12851290 ")</f>
        <v>http://slimages.macys.com/is/image/MCY/12851290 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15" t="s">
        <v>229</v>
      </c>
      <c r="B68" s="6" t="s">
        <v>230</v>
      </c>
      <c r="C68" s="7">
        <v>1.0</v>
      </c>
      <c r="D68" s="8">
        <v>69.5</v>
      </c>
      <c r="E68" s="8">
        <v>69.5</v>
      </c>
      <c r="F68" s="7" t="s">
        <v>231</v>
      </c>
      <c r="G68" s="6" t="s">
        <v>93</v>
      </c>
      <c r="H68" s="15" t="s">
        <v>36</v>
      </c>
      <c r="I68" s="6" t="s">
        <v>30</v>
      </c>
      <c r="J68" s="6" t="s">
        <v>196</v>
      </c>
      <c r="K68" s="6" t="s">
        <v>197</v>
      </c>
      <c r="L68" s="16" t="str">
        <f>HYPERLINK("http://slimages.macys.com/is/image/MCY/15237133 ")</f>
        <v>http://slimages.macys.com/is/image/MCY/15237133 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15" t="s">
        <v>232</v>
      </c>
      <c r="B69" s="6" t="s">
        <v>233</v>
      </c>
      <c r="C69" s="7">
        <v>3.0</v>
      </c>
      <c r="D69" s="8">
        <v>69.5</v>
      </c>
      <c r="E69" s="8">
        <v>208.5</v>
      </c>
      <c r="F69" s="7" t="s">
        <v>234</v>
      </c>
      <c r="G69" s="6" t="s">
        <v>93</v>
      </c>
      <c r="H69" s="15" t="s">
        <v>65</v>
      </c>
      <c r="I69" s="6" t="s">
        <v>30</v>
      </c>
      <c r="J69" s="6" t="s">
        <v>196</v>
      </c>
      <c r="K69" s="6" t="s">
        <v>197</v>
      </c>
      <c r="L69" s="16" t="str">
        <f>HYPERLINK("http://slimages.macys.com/is/image/MCY/15766450 ")</f>
        <v>http://slimages.macys.com/is/image/MCY/15766450 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15" t="s">
        <v>235</v>
      </c>
      <c r="B70" s="6" t="s">
        <v>236</v>
      </c>
      <c r="C70" s="7">
        <v>2.0</v>
      </c>
      <c r="D70" s="8">
        <v>69.5</v>
      </c>
      <c r="E70" s="8">
        <v>139.0</v>
      </c>
      <c r="F70" s="7" t="s">
        <v>237</v>
      </c>
      <c r="G70" s="6" t="s">
        <v>86</v>
      </c>
      <c r="H70" s="15" t="s">
        <v>29</v>
      </c>
      <c r="I70" s="6" t="s">
        <v>30</v>
      </c>
      <c r="J70" s="6" t="s">
        <v>196</v>
      </c>
      <c r="K70" s="6" t="s">
        <v>197</v>
      </c>
      <c r="L70" s="16" t="str">
        <f>HYPERLINK("http://slimages.macys.com/is/image/MCY/15345868 ")</f>
        <v>http://slimages.macys.com/is/image/MCY/15345868 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15" t="s">
        <v>238</v>
      </c>
      <c r="B71" s="6" t="s">
        <v>239</v>
      </c>
      <c r="C71" s="7">
        <v>1.0</v>
      </c>
      <c r="D71" s="8">
        <v>69.5</v>
      </c>
      <c r="E71" s="8">
        <v>69.5</v>
      </c>
      <c r="F71" s="7" t="s">
        <v>234</v>
      </c>
      <c r="G71" s="6" t="s">
        <v>93</v>
      </c>
      <c r="H71" s="15" t="s">
        <v>29</v>
      </c>
      <c r="I71" s="6" t="s">
        <v>30</v>
      </c>
      <c r="J71" s="6" t="s">
        <v>196</v>
      </c>
      <c r="K71" s="6" t="s">
        <v>197</v>
      </c>
      <c r="L71" s="16" t="str">
        <f t="shared" ref="L71:L74" si="7">HYPERLINK("http://slimages.macys.com/is/image/MCY/15766450 ")</f>
        <v>http://slimages.macys.com/is/image/MCY/15766450 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15" t="s">
        <v>240</v>
      </c>
      <c r="B72" s="6" t="s">
        <v>241</v>
      </c>
      <c r="C72" s="7">
        <v>1.0</v>
      </c>
      <c r="D72" s="8">
        <v>69.5</v>
      </c>
      <c r="E72" s="8">
        <v>69.5</v>
      </c>
      <c r="F72" s="7" t="s">
        <v>234</v>
      </c>
      <c r="G72" s="6" t="s">
        <v>93</v>
      </c>
      <c r="H72" s="15" t="s">
        <v>77</v>
      </c>
      <c r="I72" s="6" t="s">
        <v>30</v>
      </c>
      <c r="J72" s="6" t="s">
        <v>196</v>
      </c>
      <c r="K72" s="6" t="s">
        <v>197</v>
      </c>
      <c r="L72" s="16" t="str">
        <f t="shared" si="7"/>
        <v>http://slimages.macys.com/is/image/MCY/15766450 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15" t="s">
        <v>242</v>
      </c>
      <c r="B73" s="6" t="s">
        <v>243</v>
      </c>
      <c r="C73" s="7">
        <v>3.0</v>
      </c>
      <c r="D73" s="8">
        <v>69.5</v>
      </c>
      <c r="E73" s="8">
        <v>208.5</v>
      </c>
      <c r="F73" s="7" t="s">
        <v>234</v>
      </c>
      <c r="G73" s="6" t="s">
        <v>93</v>
      </c>
      <c r="H73" s="15" t="s">
        <v>41</v>
      </c>
      <c r="I73" s="6" t="s">
        <v>30</v>
      </c>
      <c r="J73" s="6" t="s">
        <v>196</v>
      </c>
      <c r="K73" s="6" t="s">
        <v>197</v>
      </c>
      <c r="L73" s="16" t="str">
        <f t="shared" si="7"/>
        <v>http://slimages.macys.com/is/image/MCY/15766450 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15" t="s">
        <v>244</v>
      </c>
      <c r="B74" s="6" t="s">
        <v>245</v>
      </c>
      <c r="C74" s="7">
        <v>1.0</v>
      </c>
      <c r="D74" s="8">
        <v>69.5</v>
      </c>
      <c r="E74" s="8">
        <v>69.5</v>
      </c>
      <c r="F74" s="7" t="s">
        <v>234</v>
      </c>
      <c r="G74" s="6" t="s">
        <v>93</v>
      </c>
      <c r="H74" s="15" t="s">
        <v>106</v>
      </c>
      <c r="I74" s="6" t="s">
        <v>30</v>
      </c>
      <c r="J74" s="6" t="s">
        <v>196</v>
      </c>
      <c r="K74" s="6" t="s">
        <v>197</v>
      </c>
      <c r="L74" s="16" t="str">
        <f t="shared" si="7"/>
        <v>http://slimages.macys.com/is/image/MCY/15766450 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15" t="s">
        <v>246</v>
      </c>
      <c r="B75" s="6" t="s">
        <v>247</v>
      </c>
      <c r="C75" s="7">
        <v>1.0</v>
      </c>
      <c r="D75" s="8">
        <v>55.0</v>
      </c>
      <c r="E75" s="8">
        <v>55.0</v>
      </c>
      <c r="F75" s="7" t="s">
        <v>248</v>
      </c>
      <c r="G75" s="6" t="s">
        <v>93</v>
      </c>
      <c r="H75" s="15" t="s">
        <v>87</v>
      </c>
      <c r="I75" s="6" t="s">
        <v>30</v>
      </c>
      <c r="J75" s="6" t="s">
        <v>182</v>
      </c>
      <c r="K75" s="6" t="s">
        <v>183</v>
      </c>
      <c r="L75" s="16" t="str">
        <f t="shared" ref="L75:L76" si="8">HYPERLINK("http://slimages.macys.com/is/image/MCY/9343048 ")</f>
        <v>http://slimages.macys.com/is/image/MCY/9343048 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15" t="s">
        <v>249</v>
      </c>
      <c r="B76" s="6" t="s">
        <v>250</v>
      </c>
      <c r="C76" s="7">
        <v>1.0</v>
      </c>
      <c r="D76" s="8">
        <v>55.0</v>
      </c>
      <c r="E76" s="8">
        <v>55.0</v>
      </c>
      <c r="F76" s="7" t="s">
        <v>248</v>
      </c>
      <c r="G76" s="6" t="s">
        <v>93</v>
      </c>
      <c r="H76" s="15" t="s">
        <v>94</v>
      </c>
      <c r="I76" s="6" t="s">
        <v>30</v>
      </c>
      <c r="J76" s="6" t="s">
        <v>182</v>
      </c>
      <c r="K76" s="6" t="s">
        <v>183</v>
      </c>
      <c r="L76" s="16" t="str">
        <f t="shared" si="8"/>
        <v>http://slimages.macys.com/is/image/MCY/9343048 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15" t="s">
        <v>251</v>
      </c>
      <c r="B77" s="6" t="s">
        <v>252</v>
      </c>
      <c r="C77" s="7">
        <v>1.0</v>
      </c>
      <c r="D77" s="8">
        <v>50.0</v>
      </c>
      <c r="E77" s="8">
        <v>50.0</v>
      </c>
      <c r="F77" s="7">
        <v>1348023.0</v>
      </c>
      <c r="G77" s="6" t="s">
        <v>40</v>
      </c>
      <c r="H77" s="15" t="s">
        <v>41</v>
      </c>
      <c r="I77" s="6" t="s">
        <v>30</v>
      </c>
      <c r="J77" s="6" t="s">
        <v>107</v>
      </c>
      <c r="K77" s="6" t="s">
        <v>108</v>
      </c>
      <c r="L77" s="16" t="str">
        <f t="shared" ref="L77:L78" si="9">HYPERLINK("http://slimages.macys.com/is/image/MCY/14365824 ")</f>
        <v>http://slimages.macys.com/is/image/MCY/14365824 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15" t="s">
        <v>253</v>
      </c>
      <c r="B78" s="6" t="s">
        <v>254</v>
      </c>
      <c r="C78" s="7">
        <v>1.0</v>
      </c>
      <c r="D78" s="8">
        <v>50.0</v>
      </c>
      <c r="E78" s="8">
        <v>50.0</v>
      </c>
      <c r="F78" s="7">
        <v>1348023.0</v>
      </c>
      <c r="G78" s="6" t="s">
        <v>93</v>
      </c>
      <c r="H78" s="15" t="s">
        <v>65</v>
      </c>
      <c r="I78" s="6" t="s">
        <v>30</v>
      </c>
      <c r="J78" s="6" t="s">
        <v>107</v>
      </c>
      <c r="K78" s="6" t="s">
        <v>108</v>
      </c>
      <c r="L78" s="16" t="str">
        <f t="shared" si="9"/>
        <v>http://slimages.macys.com/is/image/MCY/14365824 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15" t="s">
        <v>255</v>
      </c>
      <c r="B79" s="6" t="s">
        <v>256</v>
      </c>
      <c r="C79" s="7">
        <v>1.0</v>
      </c>
      <c r="D79" s="8">
        <v>69.5</v>
      </c>
      <c r="E79" s="8">
        <v>69.5</v>
      </c>
      <c r="F79" s="7" t="s">
        <v>257</v>
      </c>
      <c r="G79" s="6" t="s">
        <v>258</v>
      </c>
      <c r="H79" s="15" t="s">
        <v>36</v>
      </c>
      <c r="I79" s="6" t="s">
        <v>30</v>
      </c>
      <c r="J79" s="6" t="s">
        <v>196</v>
      </c>
      <c r="K79" s="6" t="s">
        <v>197</v>
      </c>
      <c r="L79" s="16" t="str">
        <f t="shared" ref="L79:L81" si="10">HYPERLINK("http://slimages.macys.com/is/image/MCY/15345774 ")</f>
        <v>http://slimages.macys.com/is/image/MCY/15345774 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15" t="s">
        <v>259</v>
      </c>
      <c r="B80" s="6" t="s">
        <v>260</v>
      </c>
      <c r="C80" s="7">
        <v>1.0</v>
      </c>
      <c r="D80" s="8">
        <v>69.5</v>
      </c>
      <c r="E80" s="8">
        <v>69.5</v>
      </c>
      <c r="F80" s="7" t="s">
        <v>257</v>
      </c>
      <c r="G80" s="6" t="s">
        <v>258</v>
      </c>
      <c r="H80" s="15" t="s">
        <v>65</v>
      </c>
      <c r="I80" s="6" t="s">
        <v>30</v>
      </c>
      <c r="J80" s="6" t="s">
        <v>196</v>
      </c>
      <c r="K80" s="6" t="s">
        <v>197</v>
      </c>
      <c r="L80" s="16" t="str">
        <f t="shared" si="10"/>
        <v>http://slimages.macys.com/is/image/MCY/15345774 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15" t="s">
        <v>261</v>
      </c>
      <c r="B81" s="6" t="s">
        <v>262</v>
      </c>
      <c r="C81" s="7">
        <v>1.0</v>
      </c>
      <c r="D81" s="8">
        <v>69.5</v>
      </c>
      <c r="E81" s="8">
        <v>69.5</v>
      </c>
      <c r="F81" s="7" t="s">
        <v>257</v>
      </c>
      <c r="G81" s="6" t="s">
        <v>258</v>
      </c>
      <c r="H81" s="15" t="s">
        <v>77</v>
      </c>
      <c r="I81" s="6" t="s">
        <v>30</v>
      </c>
      <c r="J81" s="6" t="s">
        <v>196</v>
      </c>
      <c r="K81" s="6" t="s">
        <v>197</v>
      </c>
      <c r="L81" s="16" t="str">
        <f t="shared" si="10"/>
        <v>http://slimages.macys.com/is/image/MCY/15345774 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15" t="s">
        <v>263</v>
      </c>
      <c r="B82" s="6" t="s">
        <v>264</v>
      </c>
      <c r="C82" s="7">
        <v>1.0</v>
      </c>
      <c r="D82" s="8">
        <v>55.0</v>
      </c>
      <c r="E82" s="8">
        <v>55.0</v>
      </c>
      <c r="F82" s="7">
        <v>5.9524484E7</v>
      </c>
      <c r="G82" s="6" t="s">
        <v>265</v>
      </c>
      <c r="H82" s="15" t="s">
        <v>29</v>
      </c>
      <c r="I82" s="6" t="s">
        <v>30</v>
      </c>
      <c r="J82" s="6" t="s">
        <v>88</v>
      </c>
      <c r="K82" s="6" t="s">
        <v>167</v>
      </c>
      <c r="L82" s="16" t="str">
        <f>HYPERLINK("http://slimages.macys.com/is/image/MCY/15926145 ")</f>
        <v>http://slimages.macys.com/is/image/MCY/15926145 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15" t="s">
        <v>266</v>
      </c>
      <c r="B83" s="6" t="s">
        <v>267</v>
      </c>
      <c r="C83" s="7">
        <v>1.0</v>
      </c>
      <c r="D83" s="8">
        <v>55.0</v>
      </c>
      <c r="E83" s="8">
        <v>55.0</v>
      </c>
      <c r="F83" s="7">
        <v>1348548.0</v>
      </c>
      <c r="G83" s="6" t="s">
        <v>93</v>
      </c>
      <c r="H83" s="15" t="s">
        <v>65</v>
      </c>
      <c r="I83" s="6" t="s">
        <v>30</v>
      </c>
      <c r="J83" s="6" t="s">
        <v>107</v>
      </c>
      <c r="K83" s="6" t="s">
        <v>108</v>
      </c>
      <c r="L83" s="16" t="str">
        <f>HYPERLINK("http://slimages.macys.com/is/image/MCY/14599707 ")</f>
        <v>http://slimages.macys.com/is/image/MCY/14599707 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15" t="s">
        <v>268</v>
      </c>
      <c r="B84" s="6" t="s">
        <v>269</v>
      </c>
      <c r="C84" s="7">
        <v>2.0</v>
      </c>
      <c r="D84" s="8">
        <v>79.5</v>
      </c>
      <c r="E84" s="8">
        <v>159.0</v>
      </c>
      <c r="F84" s="7" t="s">
        <v>270</v>
      </c>
      <c r="G84" s="6" t="s">
        <v>86</v>
      </c>
      <c r="H84" s="15" t="s">
        <v>36</v>
      </c>
      <c r="I84" s="6" t="s">
        <v>30</v>
      </c>
      <c r="J84" s="6" t="s">
        <v>196</v>
      </c>
      <c r="K84" s="6" t="s">
        <v>197</v>
      </c>
      <c r="L84" s="16" t="str">
        <f>HYPERLINK("http://slimages.macys.com/is/image/MCY/16469858 ")</f>
        <v>http://slimages.macys.com/is/image/MCY/16469858 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15" t="s">
        <v>271</v>
      </c>
      <c r="B85" s="6" t="s">
        <v>272</v>
      </c>
      <c r="C85" s="7">
        <v>1.0</v>
      </c>
      <c r="D85" s="8">
        <v>59.0</v>
      </c>
      <c r="E85" s="8">
        <v>59.0</v>
      </c>
      <c r="F85" s="7" t="s">
        <v>273</v>
      </c>
      <c r="G85" s="6" t="s">
        <v>93</v>
      </c>
      <c r="H85" s="15" t="s">
        <v>41</v>
      </c>
      <c r="I85" s="6" t="s">
        <v>30</v>
      </c>
      <c r="J85" s="6" t="s">
        <v>42</v>
      </c>
      <c r="K85" s="6" t="s">
        <v>43</v>
      </c>
      <c r="L85" s="16" t="str">
        <f>HYPERLINK("http://slimages.macys.com/is/image/MCY/16620274 ")</f>
        <v>http://slimages.macys.com/is/image/MCY/16620274 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15" t="s">
        <v>274</v>
      </c>
      <c r="B86" s="6" t="s">
        <v>275</v>
      </c>
      <c r="C86" s="7">
        <v>1.0</v>
      </c>
      <c r="D86" s="8">
        <v>59.0</v>
      </c>
      <c r="E86" s="8">
        <v>59.0</v>
      </c>
      <c r="F86" s="7" t="s">
        <v>276</v>
      </c>
      <c r="G86" s="6" t="s">
        <v>277</v>
      </c>
      <c r="H86" s="15" t="s">
        <v>65</v>
      </c>
      <c r="I86" s="6" t="s">
        <v>30</v>
      </c>
      <c r="J86" s="6" t="s">
        <v>42</v>
      </c>
      <c r="K86" s="6" t="s">
        <v>43</v>
      </c>
      <c r="L86" s="16" t="str">
        <f>HYPERLINK("http://slimages.macys.com/is/image/MCY/16692850 ")</f>
        <v>http://slimages.macys.com/is/image/MCY/16692850 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15" t="s">
        <v>278</v>
      </c>
      <c r="B87" s="6" t="s">
        <v>279</v>
      </c>
      <c r="C87" s="7">
        <v>1.0</v>
      </c>
      <c r="D87" s="8">
        <v>59.0</v>
      </c>
      <c r="E87" s="8">
        <v>59.0</v>
      </c>
      <c r="F87" s="7" t="s">
        <v>280</v>
      </c>
      <c r="G87" s="6" t="s">
        <v>93</v>
      </c>
      <c r="H87" s="15" t="s">
        <v>41</v>
      </c>
      <c r="I87" s="6" t="s">
        <v>30</v>
      </c>
      <c r="J87" s="6" t="s">
        <v>42</v>
      </c>
      <c r="K87" s="6" t="s">
        <v>43</v>
      </c>
      <c r="L87" s="16" t="str">
        <f t="shared" ref="L87:L88" si="11">HYPERLINK("http://slimages.macys.com/is/image/MCY/15133666 ")</f>
        <v>http://slimages.macys.com/is/image/MCY/15133666 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15" t="s">
        <v>281</v>
      </c>
      <c r="B88" s="6" t="s">
        <v>282</v>
      </c>
      <c r="C88" s="7">
        <v>1.0</v>
      </c>
      <c r="D88" s="8">
        <v>59.0</v>
      </c>
      <c r="E88" s="8">
        <v>59.0</v>
      </c>
      <c r="F88" s="7" t="s">
        <v>280</v>
      </c>
      <c r="G88" s="6" t="s">
        <v>93</v>
      </c>
      <c r="H88" s="15" t="s">
        <v>65</v>
      </c>
      <c r="I88" s="6" t="s">
        <v>30</v>
      </c>
      <c r="J88" s="6" t="s">
        <v>42</v>
      </c>
      <c r="K88" s="6" t="s">
        <v>43</v>
      </c>
      <c r="L88" s="16" t="str">
        <f t="shared" si="11"/>
        <v>http://slimages.macys.com/is/image/MCY/15133666 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15" t="s">
        <v>283</v>
      </c>
      <c r="B89" s="6" t="s">
        <v>284</v>
      </c>
      <c r="C89" s="7">
        <v>1.0</v>
      </c>
      <c r="D89" s="8">
        <v>59.0</v>
      </c>
      <c r="E89" s="8">
        <v>59.0</v>
      </c>
      <c r="F89" s="7" t="s">
        <v>285</v>
      </c>
      <c r="G89" s="6" t="s">
        <v>93</v>
      </c>
      <c r="H89" s="15" t="s">
        <v>41</v>
      </c>
      <c r="I89" s="6" t="s">
        <v>30</v>
      </c>
      <c r="J89" s="6" t="s">
        <v>42</v>
      </c>
      <c r="K89" s="6" t="s">
        <v>43</v>
      </c>
      <c r="L89" s="16" t="str">
        <f>HYPERLINK("http://slimages.macys.com/is/image/MCY/16601293 ")</f>
        <v>http://slimages.macys.com/is/image/MCY/16601293 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15" t="s">
        <v>286</v>
      </c>
      <c r="B90" s="6" t="s">
        <v>287</v>
      </c>
      <c r="C90" s="7">
        <v>2.0</v>
      </c>
      <c r="D90" s="8">
        <v>64.5</v>
      </c>
      <c r="E90" s="8">
        <v>129.0</v>
      </c>
      <c r="F90" s="7" t="s">
        <v>288</v>
      </c>
      <c r="G90" s="6" t="s">
        <v>289</v>
      </c>
      <c r="H90" s="15" t="s">
        <v>54</v>
      </c>
      <c r="I90" s="6" t="s">
        <v>30</v>
      </c>
      <c r="J90" s="6" t="s">
        <v>174</v>
      </c>
      <c r="K90" s="6" t="s">
        <v>175</v>
      </c>
      <c r="L90" s="16" t="str">
        <f t="shared" ref="L90:L91" si="12">HYPERLINK("http://slimages.macys.com/is/image/MCY/15723841 ")</f>
        <v>http://slimages.macys.com/is/image/MCY/15723841 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15" t="s">
        <v>290</v>
      </c>
      <c r="B91" s="6" t="s">
        <v>291</v>
      </c>
      <c r="C91" s="7">
        <v>1.0</v>
      </c>
      <c r="D91" s="8">
        <v>64.5</v>
      </c>
      <c r="E91" s="8">
        <v>64.5</v>
      </c>
      <c r="F91" s="7" t="s">
        <v>288</v>
      </c>
      <c r="G91" s="6" t="s">
        <v>289</v>
      </c>
      <c r="H91" s="15" t="s">
        <v>173</v>
      </c>
      <c r="I91" s="6" t="s">
        <v>30</v>
      </c>
      <c r="J91" s="6" t="s">
        <v>174</v>
      </c>
      <c r="K91" s="6" t="s">
        <v>175</v>
      </c>
      <c r="L91" s="16" t="str">
        <f t="shared" si="12"/>
        <v>http://slimages.macys.com/is/image/MCY/15723841 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15" t="s">
        <v>292</v>
      </c>
      <c r="B92" s="6" t="s">
        <v>293</v>
      </c>
      <c r="C92" s="7">
        <v>1.0</v>
      </c>
      <c r="D92" s="8">
        <v>64.5</v>
      </c>
      <c r="E92" s="8">
        <v>64.5</v>
      </c>
      <c r="F92" s="7" t="s">
        <v>294</v>
      </c>
      <c r="G92" s="6" t="s">
        <v>86</v>
      </c>
      <c r="H92" s="15" t="s">
        <v>54</v>
      </c>
      <c r="I92" s="6" t="s">
        <v>30</v>
      </c>
      <c r="J92" s="6" t="s">
        <v>174</v>
      </c>
      <c r="K92" s="6" t="s">
        <v>175</v>
      </c>
      <c r="L92" s="16" t="str">
        <f t="shared" ref="L92:L93" si="13">HYPERLINK("http://slimages.macys.com/is/image/MCY/15916760 ")</f>
        <v>http://slimages.macys.com/is/image/MCY/15916760 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15" t="s">
        <v>295</v>
      </c>
      <c r="B93" s="6" t="s">
        <v>296</v>
      </c>
      <c r="C93" s="7">
        <v>1.0</v>
      </c>
      <c r="D93" s="8">
        <v>64.5</v>
      </c>
      <c r="E93" s="8">
        <v>64.5</v>
      </c>
      <c r="F93" s="7" t="s">
        <v>294</v>
      </c>
      <c r="G93" s="6" t="s">
        <v>297</v>
      </c>
      <c r="H93" s="15" t="s">
        <v>173</v>
      </c>
      <c r="I93" s="6" t="s">
        <v>30</v>
      </c>
      <c r="J93" s="6" t="s">
        <v>174</v>
      </c>
      <c r="K93" s="6" t="s">
        <v>175</v>
      </c>
      <c r="L93" s="16" t="str">
        <f t="shared" si="13"/>
        <v>http://slimages.macys.com/is/image/MCY/15916760 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15" t="s">
        <v>298</v>
      </c>
      <c r="B94" s="6" t="s">
        <v>299</v>
      </c>
      <c r="C94" s="7">
        <v>1.0</v>
      </c>
      <c r="D94" s="8">
        <v>45.0</v>
      </c>
      <c r="E94" s="8">
        <v>45.0</v>
      </c>
      <c r="F94" s="7" t="s">
        <v>300</v>
      </c>
      <c r="G94" s="6" t="s">
        <v>64</v>
      </c>
      <c r="H94" s="15" t="s">
        <v>41</v>
      </c>
      <c r="I94" s="6" t="s">
        <v>30</v>
      </c>
      <c r="J94" s="6" t="s">
        <v>48</v>
      </c>
      <c r="K94" s="6" t="s">
        <v>49</v>
      </c>
      <c r="L94" s="16" t="str">
        <f>HYPERLINK("http://slimages.macys.com/is/image/MCY/14530263 ")</f>
        <v>http://slimages.macys.com/is/image/MCY/14530263 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15" t="s">
        <v>301</v>
      </c>
      <c r="B95" s="6" t="s">
        <v>302</v>
      </c>
      <c r="C95" s="7">
        <v>1.0</v>
      </c>
      <c r="D95" s="8">
        <v>50.0</v>
      </c>
      <c r="E95" s="8">
        <v>50.0</v>
      </c>
      <c r="F95" s="7">
        <v>932078.0</v>
      </c>
      <c r="G95" s="6" t="s">
        <v>53</v>
      </c>
      <c r="H95" s="15" t="s">
        <v>36</v>
      </c>
      <c r="I95" s="6" t="s">
        <v>30</v>
      </c>
      <c r="J95" s="6" t="s">
        <v>48</v>
      </c>
      <c r="K95" s="6" t="s">
        <v>49</v>
      </c>
      <c r="L95" s="16" t="str">
        <f>HYPERLINK("http://slimages.macys.com/is/image/MCY/10312279 ")</f>
        <v>http://slimages.macys.com/is/image/MCY/10312279 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15" t="s">
        <v>303</v>
      </c>
      <c r="B96" s="6" t="s">
        <v>304</v>
      </c>
      <c r="C96" s="7">
        <v>1.0</v>
      </c>
      <c r="D96" s="8">
        <v>59.5</v>
      </c>
      <c r="E96" s="8">
        <v>59.5</v>
      </c>
      <c r="F96" s="7" t="s">
        <v>305</v>
      </c>
      <c r="G96" s="6" t="s">
        <v>86</v>
      </c>
      <c r="H96" s="15" t="s">
        <v>41</v>
      </c>
      <c r="I96" s="6" t="s">
        <v>30</v>
      </c>
      <c r="J96" s="6" t="s">
        <v>196</v>
      </c>
      <c r="K96" s="6" t="s">
        <v>197</v>
      </c>
      <c r="L96" s="16" t="str">
        <f>HYPERLINK("http://slimages.macys.com/is/image/MCY/13121648 ")</f>
        <v>http://slimages.macys.com/is/image/MCY/13121648 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15" t="s">
        <v>306</v>
      </c>
      <c r="B97" s="6" t="s">
        <v>307</v>
      </c>
      <c r="C97" s="7">
        <v>1.0</v>
      </c>
      <c r="D97" s="8">
        <v>59.5</v>
      </c>
      <c r="E97" s="8">
        <v>59.5</v>
      </c>
      <c r="F97" s="7" t="s">
        <v>308</v>
      </c>
      <c r="G97" s="6" t="s">
        <v>265</v>
      </c>
      <c r="H97" s="15" t="s">
        <v>65</v>
      </c>
      <c r="I97" s="6" t="s">
        <v>30</v>
      </c>
      <c r="J97" s="6" t="s">
        <v>196</v>
      </c>
      <c r="K97" s="6" t="s">
        <v>197</v>
      </c>
      <c r="L97" s="16" t="str">
        <f>HYPERLINK("http://slimages.macys.com/is/image/MCY/14427307 ")</f>
        <v>http://slimages.macys.com/is/image/MCY/14427307 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15" t="s">
        <v>309</v>
      </c>
      <c r="B98" s="6" t="s">
        <v>310</v>
      </c>
      <c r="C98" s="7">
        <v>1.0</v>
      </c>
      <c r="D98" s="8">
        <v>45.0</v>
      </c>
      <c r="E98" s="8">
        <v>45.0</v>
      </c>
      <c r="F98" s="7" t="s">
        <v>311</v>
      </c>
      <c r="G98" s="6" t="s">
        <v>265</v>
      </c>
      <c r="H98" s="15" t="s">
        <v>77</v>
      </c>
      <c r="I98" s="6" t="s">
        <v>30</v>
      </c>
      <c r="J98" s="6" t="s">
        <v>88</v>
      </c>
      <c r="K98" s="6" t="s">
        <v>312</v>
      </c>
      <c r="L98" s="16" t="str">
        <f>HYPERLINK("http://slimages.macys.com/is/image/MCY/13118864 ")</f>
        <v>http://slimages.macys.com/is/image/MCY/13118864 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15" t="s">
        <v>313</v>
      </c>
      <c r="B99" s="6" t="s">
        <v>314</v>
      </c>
      <c r="C99" s="7">
        <v>1.0</v>
      </c>
      <c r="D99" s="8">
        <v>59.5</v>
      </c>
      <c r="E99" s="8">
        <v>59.5</v>
      </c>
      <c r="F99" s="7">
        <v>1.00022614E10</v>
      </c>
      <c r="G99" s="6" t="s">
        <v>93</v>
      </c>
      <c r="H99" s="15" t="s">
        <v>106</v>
      </c>
      <c r="I99" s="6" t="s">
        <v>30</v>
      </c>
      <c r="J99" s="6" t="s">
        <v>196</v>
      </c>
      <c r="K99" s="6" t="s">
        <v>197</v>
      </c>
      <c r="L99" s="16" t="str">
        <f>HYPERLINK("http://slimages.macys.com/is/image/MCY/11524581 ")</f>
        <v>http://slimages.macys.com/is/image/MCY/11524581 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15" t="s">
        <v>315</v>
      </c>
      <c r="B100" s="6" t="s">
        <v>316</v>
      </c>
      <c r="C100" s="7">
        <v>1.0</v>
      </c>
      <c r="D100" s="8">
        <v>50.0</v>
      </c>
      <c r="E100" s="8">
        <v>50.0</v>
      </c>
      <c r="F100" s="7" t="s">
        <v>317</v>
      </c>
      <c r="G100" s="6" t="s">
        <v>93</v>
      </c>
      <c r="H100" s="15" t="s">
        <v>94</v>
      </c>
      <c r="I100" s="6" t="s">
        <v>30</v>
      </c>
      <c r="J100" s="6" t="s">
        <v>182</v>
      </c>
      <c r="K100" s="6" t="s">
        <v>183</v>
      </c>
      <c r="L100" s="16" t="str">
        <f t="shared" ref="L100:L102" si="14">HYPERLINK("http://slimages.macys.com/is/image/MCY/14366826 ")</f>
        <v>http://slimages.macys.com/is/image/MCY/14366826 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15" t="s">
        <v>318</v>
      </c>
      <c r="B101" s="6" t="s">
        <v>319</v>
      </c>
      <c r="C101" s="7">
        <v>1.0</v>
      </c>
      <c r="D101" s="8">
        <v>50.0</v>
      </c>
      <c r="E101" s="8">
        <v>50.0</v>
      </c>
      <c r="F101" s="7" t="s">
        <v>320</v>
      </c>
      <c r="G101" s="6" t="s">
        <v>321</v>
      </c>
      <c r="H101" s="15" t="s">
        <v>101</v>
      </c>
      <c r="I101" s="6" t="s">
        <v>30</v>
      </c>
      <c r="J101" s="6" t="s">
        <v>182</v>
      </c>
      <c r="K101" s="6" t="s">
        <v>183</v>
      </c>
      <c r="L101" s="16" t="str">
        <f t="shared" si="14"/>
        <v>http://slimages.macys.com/is/image/MCY/14366826 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15" t="s">
        <v>322</v>
      </c>
      <c r="B102" s="6" t="s">
        <v>323</v>
      </c>
      <c r="C102" s="7">
        <v>1.0</v>
      </c>
      <c r="D102" s="8">
        <v>50.0</v>
      </c>
      <c r="E102" s="8">
        <v>50.0</v>
      </c>
      <c r="F102" s="7" t="s">
        <v>320</v>
      </c>
      <c r="G102" s="6" t="s">
        <v>321</v>
      </c>
      <c r="H102" s="15" t="s">
        <v>87</v>
      </c>
      <c r="I102" s="6" t="s">
        <v>30</v>
      </c>
      <c r="J102" s="6" t="s">
        <v>182</v>
      </c>
      <c r="K102" s="6" t="s">
        <v>183</v>
      </c>
      <c r="L102" s="16" t="str">
        <f t="shared" si="14"/>
        <v>http://slimages.macys.com/is/image/MCY/14366826 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15" t="s">
        <v>324</v>
      </c>
      <c r="B103" s="6" t="s">
        <v>325</v>
      </c>
      <c r="C103" s="7">
        <v>1.0</v>
      </c>
      <c r="D103" s="8">
        <v>64.5</v>
      </c>
      <c r="E103" s="8">
        <v>64.5</v>
      </c>
      <c r="F103" s="7" t="s">
        <v>326</v>
      </c>
      <c r="G103" s="6" t="s">
        <v>327</v>
      </c>
      <c r="H103" s="15" t="s">
        <v>328</v>
      </c>
      <c r="I103" s="6" t="s">
        <v>30</v>
      </c>
      <c r="J103" s="6" t="s">
        <v>174</v>
      </c>
      <c r="K103" s="6" t="s">
        <v>175</v>
      </c>
      <c r="L103" s="16" t="str">
        <f t="shared" ref="L103:L104" si="15">HYPERLINK("http://slimages.macys.com/is/image/MCY/14885109 ")</f>
        <v>http://slimages.macys.com/is/image/MCY/14885109 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15" t="s">
        <v>329</v>
      </c>
      <c r="B104" s="6" t="s">
        <v>330</v>
      </c>
      <c r="C104" s="7">
        <v>2.0</v>
      </c>
      <c r="D104" s="8">
        <v>64.5</v>
      </c>
      <c r="E104" s="8">
        <v>129.0</v>
      </c>
      <c r="F104" s="7" t="s">
        <v>326</v>
      </c>
      <c r="G104" s="6" t="s">
        <v>327</v>
      </c>
      <c r="H104" s="15" t="s">
        <v>54</v>
      </c>
      <c r="I104" s="6" t="s">
        <v>30</v>
      </c>
      <c r="J104" s="6" t="s">
        <v>174</v>
      </c>
      <c r="K104" s="6" t="s">
        <v>175</v>
      </c>
      <c r="L104" s="16" t="str">
        <f t="shared" si="15"/>
        <v>http://slimages.macys.com/is/image/MCY/14885109 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15" t="s">
        <v>331</v>
      </c>
      <c r="B105" s="6" t="s">
        <v>332</v>
      </c>
      <c r="C105" s="7">
        <v>1.0</v>
      </c>
      <c r="D105" s="8">
        <v>54.5</v>
      </c>
      <c r="E105" s="8">
        <v>54.5</v>
      </c>
      <c r="F105" s="7" t="s">
        <v>333</v>
      </c>
      <c r="G105" s="6" t="s">
        <v>93</v>
      </c>
      <c r="H105" s="15" t="s">
        <v>29</v>
      </c>
      <c r="I105" s="6" t="s">
        <v>30</v>
      </c>
      <c r="J105" s="6" t="s">
        <v>196</v>
      </c>
      <c r="K105" s="6" t="s">
        <v>197</v>
      </c>
      <c r="L105" s="16" t="str">
        <f>HYPERLINK("http://slimages.macys.com/is/image/MCY/12145146 ")</f>
        <v>http://slimages.macys.com/is/image/MCY/12145146 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15" t="s">
        <v>334</v>
      </c>
      <c r="B106" s="6" t="s">
        <v>335</v>
      </c>
      <c r="C106" s="7">
        <v>1.0</v>
      </c>
      <c r="D106" s="8">
        <v>59.5</v>
      </c>
      <c r="E106" s="8">
        <v>59.5</v>
      </c>
      <c r="F106" s="7" t="s">
        <v>336</v>
      </c>
      <c r="G106" s="6" t="s">
        <v>337</v>
      </c>
      <c r="H106" s="15" t="s">
        <v>65</v>
      </c>
      <c r="I106" s="6" t="s">
        <v>30</v>
      </c>
      <c r="J106" s="6" t="s">
        <v>196</v>
      </c>
      <c r="K106" s="6" t="s">
        <v>197</v>
      </c>
      <c r="L106" s="16" t="str">
        <f>HYPERLINK("http://slimages.macys.com/is/image/MCY/15346039 ")</f>
        <v>http://slimages.macys.com/is/image/MCY/15346039 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15" t="s">
        <v>338</v>
      </c>
      <c r="B107" s="6" t="s">
        <v>339</v>
      </c>
      <c r="C107" s="7">
        <v>3.0</v>
      </c>
      <c r="D107" s="8">
        <v>59.5</v>
      </c>
      <c r="E107" s="8">
        <v>178.5</v>
      </c>
      <c r="F107" s="7" t="s">
        <v>340</v>
      </c>
      <c r="G107" s="6" t="s">
        <v>289</v>
      </c>
      <c r="H107" s="15" t="s">
        <v>41</v>
      </c>
      <c r="I107" s="6" t="s">
        <v>30</v>
      </c>
      <c r="J107" s="6" t="s">
        <v>196</v>
      </c>
      <c r="K107" s="6" t="s">
        <v>197</v>
      </c>
      <c r="L107" s="16" t="str">
        <f t="shared" ref="L107:L110" si="16">HYPERLINK("http://slimages.macys.com/is/image/MCY/15766428 ")</f>
        <v>http://slimages.macys.com/is/image/MCY/15766428 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15" t="s">
        <v>341</v>
      </c>
      <c r="B108" s="6" t="s">
        <v>342</v>
      </c>
      <c r="C108" s="7">
        <v>1.0</v>
      </c>
      <c r="D108" s="8">
        <v>59.5</v>
      </c>
      <c r="E108" s="8">
        <v>59.5</v>
      </c>
      <c r="F108" s="7" t="s">
        <v>340</v>
      </c>
      <c r="G108" s="6" t="s">
        <v>289</v>
      </c>
      <c r="H108" s="15" t="s">
        <v>29</v>
      </c>
      <c r="I108" s="6" t="s">
        <v>30</v>
      </c>
      <c r="J108" s="6" t="s">
        <v>196</v>
      </c>
      <c r="K108" s="6" t="s">
        <v>197</v>
      </c>
      <c r="L108" s="16" t="str">
        <f t="shared" si="16"/>
        <v>http://slimages.macys.com/is/image/MCY/15766428 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15" t="s">
        <v>343</v>
      </c>
      <c r="B109" s="6" t="s">
        <v>344</v>
      </c>
      <c r="C109" s="7">
        <v>2.0</v>
      </c>
      <c r="D109" s="8">
        <v>59.5</v>
      </c>
      <c r="E109" s="8">
        <v>119.0</v>
      </c>
      <c r="F109" s="7" t="s">
        <v>340</v>
      </c>
      <c r="G109" s="6" t="s">
        <v>289</v>
      </c>
      <c r="H109" s="15" t="s">
        <v>77</v>
      </c>
      <c r="I109" s="6" t="s">
        <v>30</v>
      </c>
      <c r="J109" s="6" t="s">
        <v>196</v>
      </c>
      <c r="K109" s="6" t="s">
        <v>197</v>
      </c>
      <c r="L109" s="16" t="str">
        <f t="shared" si="16"/>
        <v>http://slimages.macys.com/is/image/MCY/15766428 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15" t="s">
        <v>345</v>
      </c>
      <c r="B110" s="6" t="s">
        <v>346</v>
      </c>
      <c r="C110" s="7">
        <v>1.0</v>
      </c>
      <c r="D110" s="8">
        <v>59.5</v>
      </c>
      <c r="E110" s="8">
        <v>59.5</v>
      </c>
      <c r="F110" s="7" t="s">
        <v>340</v>
      </c>
      <c r="G110" s="6" t="s">
        <v>289</v>
      </c>
      <c r="H110" s="15" t="s">
        <v>36</v>
      </c>
      <c r="I110" s="6" t="s">
        <v>30</v>
      </c>
      <c r="J110" s="6" t="s">
        <v>196</v>
      </c>
      <c r="K110" s="6" t="s">
        <v>197</v>
      </c>
      <c r="L110" s="16" t="str">
        <f t="shared" si="16"/>
        <v>http://slimages.macys.com/is/image/MCY/15766428 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15" t="s">
        <v>347</v>
      </c>
      <c r="B111" s="6" t="s">
        <v>348</v>
      </c>
      <c r="C111" s="7">
        <v>2.0</v>
      </c>
      <c r="D111" s="8">
        <v>59.5</v>
      </c>
      <c r="E111" s="8">
        <v>119.0</v>
      </c>
      <c r="F111" s="7" t="s">
        <v>349</v>
      </c>
      <c r="G111" s="6" t="s">
        <v>350</v>
      </c>
      <c r="H111" s="15" t="s">
        <v>65</v>
      </c>
      <c r="I111" s="6" t="s">
        <v>30</v>
      </c>
      <c r="J111" s="6" t="s">
        <v>351</v>
      </c>
      <c r="K111" s="6" t="s">
        <v>352</v>
      </c>
      <c r="L111" s="16" t="str">
        <f t="shared" ref="L111:L112" si="17">HYPERLINK("http://slimages.macys.com/is/image/MCY/16134110 ")</f>
        <v>http://slimages.macys.com/is/image/MCY/16134110 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15" t="s">
        <v>353</v>
      </c>
      <c r="B112" s="6" t="s">
        <v>354</v>
      </c>
      <c r="C112" s="7">
        <v>3.0</v>
      </c>
      <c r="D112" s="8">
        <v>59.5</v>
      </c>
      <c r="E112" s="8">
        <v>178.5</v>
      </c>
      <c r="F112" s="7" t="s">
        <v>349</v>
      </c>
      <c r="G112" s="6" t="s">
        <v>350</v>
      </c>
      <c r="H112" s="15" t="s">
        <v>41</v>
      </c>
      <c r="I112" s="6" t="s">
        <v>30</v>
      </c>
      <c r="J112" s="6" t="s">
        <v>351</v>
      </c>
      <c r="K112" s="6" t="s">
        <v>352</v>
      </c>
      <c r="L112" s="16" t="str">
        <f t="shared" si="17"/>
        <v>http://slimages.macys.com/is/image/MCY/16134110 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15" t="s">
        <v>355</v>
      </c>
      <c r="B113" s="6" t="s">
        <v>356</v>
      </c>
      <c r="C113" s="7">
        <v>1.0</v>
      </c>
      <c r="D113" s="8">
        <v>59.5</v>
      </c>
      <c r="E113" s="8">
        <v>59.5</v>
      </c>
      <c r="F113" s="7" t="s">
        <v>357</v>
      </c>
      <c r="G113" s="6" t="s">
        <v>93</v>
      </c>
      <c r="H113" s="15" t="s">
        <v>106</v>
      </c>
      <c r="I113" s="6" t="s">
        <v>30</v>
      </c>
      <c r="J113" s="6" t="s">
        <v>196</v>
      </c>
      <c r="K113" s="6" t="s">
        <v>197</v>
      </c>
      <c r="L113" s="16" t="str">
        <f>HYPERLINK("http://slimages.macys.com/is/image/MCY/13330243 ")</f>
        <v>http://slimages.macys.com/is/image/MCY/13330243 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15" t="s">
        <v>358</v>
      </c>
      <c r="B114" s="6" t="s">
        <v>359</v>
      </c>
      <c r="C114" s="7">
        <v>1.0</v>
      </c>
      <c r="D114" s="8">
        <v>59.5</v>
      </c>
      <c r="E114" s="8">
        <v>59.5</v>
      </c>
      <c r="F114" s="7" t="s">
        <v>360</v>
      </c>
      <c r="G114" s="6" t="s">
        <v>47</v>
      </c>
      <c r="H114" s="15" t="s">
        <v>29</v>
      </c>
      <c r="I114" s="6" t="s">
        <v>30</v>
      </c>
      <c r="J114" s="6" t="s">
        <v>351</v>
      </c>
      <c r="K114" s="6" t="s">
        <v>352</v>
      </c>
      <c r="L114" s="16" t="str">
        <f>HYPERLINK("http://slimages.macys.com/is/image/MCY/15830011 ")</f>
        <v>http://slimages.macys.com/is/image/MCY/15830011 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15" t="s">
        <v>361</v>
      </c>
      <c r="B115" s="6" t="s">
        <v>362</v>
      </c>
      <c r="C115" s="7">
        <v>1.0</v>
      </c>
      <c r="D115" s="8">
        <v>59.5</v>
      </c>
      <c r="E115" s="8">
        <v>59.5</v>
      </c>
      <c r="F115" s="7" t="s">
        <v>363</v>
      </c>
      <c r="G115" s="6" t="s">
        <v>98</v>
      </c>
      <c r="H115" s="15" t="s">
        <v>77</v>
      </c>
      <c r="I115" s="6" t="s">
        <v>30</v>
      </c>
      <c r="J115" s="6" t="s">
        <v>351</v>
      </c>
      <c r="K115" s="6" t="s">
        <v>352</v>
      </c>
      <c r="L115" s="16" t="str">
        <f t="shared" ref="L115:L117" si="18">HYPERLINK("http://slimages.macys.com/is/image/MCY/16134497 ")</f>
        <v>http://slimages.macys.com/is/image/MCY/16134497 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15" t="s">
        <v>364</v>
      </c>
      <c r="B116" s="6" t="s">
        <v>365</v>
      </c>
      <c r="C116" s="7">
        <v>1.0</v>
      </c>
      <c r="D116" s="8">
        <v>59.5</v>
      </c>
      <c r="E116" s="8">
        <v>59.5</v>
      </c>
      <c r="F116" s="7" t="s">
        <v>363</v>
      </c>
      <c r="G116" s="6" t="s">
        <v>98</v>
      </c>
      <c r="H116" s="15" t="s">
        <v>41</v>
      </c>
      <c r="I116" s="6" t="s">
        <v>30</v>
      </c>
      <c r="J116" s="6" t="s">
        <v>351</v>
      </c>
      <c r="K116" s="6" t="s">
        <v>352</v>
      </c>
      <c r="L116" s="16" t="str">
        <f t="shared" si="18"/>
        <v>http://slimages.macys.com/is/image/MCY/16134497 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15" t="s">
        <v>366</v>
      </c>
      <c r="B117" s="6" t="s">
        <v>367</v>
      </c>
      <c r="C117" s="7">
        <v>3.0</v>
      </c>
      <c r="D117" s="8">
        <v>59.5</v>
      </c>
      <c r="E117" s="8">
        <v>178.5</v>
      </c>
      <c r="F117" s="7" t="s">
        <v>363</v>
      </c>
      <c r="G117" s="6" t="s">
        <v>98</v>
      </c>
      <c r="H117" s="15" t="s">
        <v>29</v>
      </c>
      <c r="I117" s="6" t="s">
        <v>30</v>
      </c>
      <c r="J117" s="6" t="s">
        <v>351</v>
      </c>
      <c r="K117" s="6" t="s">
        <v>352</v>
      </c>
      <c r="L117" s="16" t="str">
        <f t="shared" si="18"/>
        <v>http://slimages.macys.com/is/image/MCY/16134497 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15" t="s">
        <v>368</v>
      </c>
      <c r="B118" s="6" t="s">
        <v>369</v>
      </c>
      <c r="C118" s="7">
        <v>1.0</v>
      </c>
      <c r="D118" s="8">
        <v>59.5</v>
      </c>
      <c r="E118" s="8">
        <v>59.5</v>
      </c>
      <c r="F118" s="7" t="s">
        <v>370</v>
      </c>
      <c r="G118" s="6" t="s">
        <v>371</v>
      </c>
      <c r="H118" s="15" t="s">
        <v>106</v>
      </c>
      <c r="I118" s="6" t="s">
        <v>30</v>
      </c>
      <c r="J118" s="6" t="s">
        <v>351</v>
      </c>
      <c r="K118" s="6" t="s">
        <v>352</v>
      </c>
      <c r="L118" s="16" t="str">
        <f>HYPERLINK("http://slimages.macys.com/is/image/MCY/16697118 ")</f>
        <v>http://slimages.macys.com/is/image/MCY/16697118 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15" t="s">
        <v>372</v>
      </c>
      <c r="B119" s="6" t="s">
        <v>373</v>
      </c>
      <c r="C119" s="7">
        <v>3.0</v>
      </c>
      <c r="D119" s="8">
        <v>54.5</v>
      </c>
      <c r="E119" s="8">
        <v>163.5</v>
      </c>
      <c r="F119" s="7" t="s">
        <v>374</v>
      </c>
      <c r="G119" s="6" t="s">
        <v>337</v>
      </c>
      <c r="H119" s="15" t="s">
        <v>328</v>
      </c>
      <c r="I119" s="6" t="s">
        <v>30</v>
      </c>
      <c r="J119" s="6" t="s">
        <v>174</v>
      </c>
      <c r="K119" s="6" t="s">
        <v>175</v>
      </c>
      <c r="L119" s="16" t="str">
        <f t="shared" ref="L119:L122" si="19">HYPERLINK("http://slimages.macys.com/is/image/MCY/10488500 ")</f>
        <v>http://slimages.macys.com/is/image/MCY/10488500 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15" t="s">
        <v>375</v>
      </c>
      <c r="B120" s="6" t="s">
        <v>376</v>
      </c>
      <c r="C120" s="7">
        <v>2.0</v>
      </c>
      <c r="D120" s="8">
        <v>54.5</v>
      </c>
      <c r="E120" s="8">
        <v>109.0</v>
      </c>
      <c r="F120" s="7" t="s">
        <v>374</v>
      </c>
      <c r="G120" s="6" t="s">
        <v>337</v>
      </c>
      <c r="H120" s="15" t="s">
        <v>54</v>
      </c>
      <c r="I120" s="6" t="s">
        <v>30</v>
      </c>
      <c r="J120" s="6" t="s">
        <v>174</v>
      </c>
      <c r="K120" s="6" t="s">
        <v>175</v>
      </c>
      <c r="L120" s="16" t="str">
        <f t="shared" si="19"/>
        <v>http://slimages.macys.com/is/image/MCY/10488500 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15" t="s">
        <v>377</v>
      </c>
      <c r="B121" s="6" t="s">
        <v>378</v>
      </c>
      <c r="C121" s="7">
        <v>3.0</v>
      </c>
      <c r="D121" s="8">
        <v>54.5</v>
      </c>
      <c r="E121" s="8">
        <v>163.5</v>
      </c>
      <c r="F121" s="7" t="s">
        <v>374</v>
      </c>
      <c r="G121" s="6" t="s">
        <v>379</v>
      </c>
      <c r="H121" s="15" t="s">
        <v>173</v>
      </c>
      <c r="I121" s="6" t="s">
        <v>30</v>
      </c>
      <c r="J121" s="6" t="s">
        <v>174</v>
      </c>
      <c r="K121" s="6" t="s">
        <v>175</v>
      </c>
      <c r="L121" s="16" t="str">
        <f t="shared" si="19"/>
        <v>http://slimages.macys.com/is/image/MCY/10488500 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15" t="s">
        <v>380</v>
      </c>
      <c r="B122" s="6" t="s">
        <v>381</v>
      </c>
      <c r="C122" s="7">
        <v>3.0</v>
      </c>
      <c r="D122" s="8">
        <v>54.5</v>
      </c>
      <c r="E122" s="8">
        <v>163.5</v>
      </c>
      <c r="F122" s="7" t="s">
        <v>374</v>
      </c>
      <c r="G122" s="6" t="s">
        <v>337</v>
      </c>
      <c r="H122" s="15" t="s">
        <v>173</v>
      </c>
      <c r="I122" s="6" t="s">
        <v>30</v>
      </c>
      <c r="J122" s="6" t="s">
        <v>174</v>
      </c>
      <c r="K122" s="6" t="s">
        <v>175</v>
      </c>
      <c r="L122" s="16" t="str">
        <f t="shared" si="19"/>
        <v>http://slimages.macys.com/is/image/MCY/10488500 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15" t="s">
        <v>382</v>
      </c>
      <c r="B123" s="6" t="s">
        <v>383</v>
      </c>
      <c r="C123" s="7">
        <v>1.0</v>
      </c>
      <c r="D123" s="8">
        <v>40.0</v>
      </c>
      <c r="E123" s="8">
        <v>40.0</v>
      </c>
      <c r="F123" s="7" t="s">
        <v>384</v>
      </c>
      <c r="G123" s="6" t="s">
        <v>53</v>
      </c>
      <c r="H123" s="15" t="s">
        <v>65</v>
      </c>
      <c r="I123" s="6" t="s">
        <v>30</v>
      </c>
      <c r="J123" s="6" t="s">
        <v>48</v>
      </c>
      <c r="K123" s="6" t="s">
        <v>49</v>
      </c>
      <c r="L123" s="16" t="str">
        <f>HYPERLINK("http://slimages.macys.com/is/image/MCY/9919555 ")</f>
        <v>http://slimages.macys.com/is/image/MCY/9919555 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15" t="s">
        <v>385</v>
      </c>
      <c r="B124" s="6" t="s">
        <v>386</v>
      </c>
      <c r="C124" s="7">
        <v>1.0</v>
      </c>
      <c r="D124" s="8">
        <v>40.0</v>
      </c>
      <c r="E124" s="8">
        <v>40.0</v>
      </c>
      <c r="F124" s="7">
        <v>1311334.0</v>
      </c>
      <c r="G124" s="6" t="s">
        <v>93</v>
      </c>
      <c r="H124" s="15" t="s">
        <v>77</v>
      </c>
      <c r="I124" s="6" t="s">
        <v>30</v>
      </c>
      <c r="J124" s="6" t="s">
        <v>107</v>
      </c>
      <c r="K124" s="6" t="s">
        <v>108</v>
      </c>
      <c r="L124" s="16" t="str">
        <f>HYPERLINK("http://slimages.macys.com/is/image/MCY/9411694 ")</f>
        <v>http://slimages.macys.com/is/image/MCY/9411694 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15" t="s">
        <v>387</v>
      </c>
      <c r="B125" s="6" t="s">
        <v>388</v>
      </c>
      <c r="C125" s="7">
        <v>1.0</v>
      </c>
      <c r="D125" s="8">
        <v>45.0</v>
      </c>
      <c r="E125" s="8">
        <v>45.0</v>
      </c>
      <c r="F125" s="7">
        <v>5.9520701E7</v>
      </c>
      <c r="G125" s="6" t="s">
        <v>93</v>
      </c>
      <c r="H125" s="15" t="s">
        <v>65</v>
      </c>
      <c r="I125" s="6" t="s">
        <v>30</v>
      </c>
      <c r="J125" s="6" t="s">
        <v>88</v>
      </c>
      <c r="K125" s="6" t="s">
        <v>167</v>
      </c>
      <c r="L125" s="16" t="str">
        <f>HYPERLINK("http://slimages.macys.com/is/image/MCY/14599520 ")</f>
        <v>http://slimages.macys.com/is/image/MCY/14599520 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15" t="s">
        <v>389</v>
      </c>
      <c r="B126" s="6" t="s">
        <v>390</v>
      </c>
      <c r="C126" s="7">
        <v>1.0</v>
      </c>
      <c r="D126" s="8">
        <v>59.5</v>
      </c>
      <c r="E126" s="8">
        <v>59.5</v>
      </c>
      <c r="F126" s="7" t="s">
        <v>391</v>
      </c>
      <c r="G126" s="6" t="s">
        <v>86</v>
      </c>
      <c r="H126" s="15" t="s">
        <v>173</v>
      </c>
      <c r="I126" s="6" t="s">
        <v>30</v>
      </c>
      <c r="J126" s="6" t="s">
        <v>174</v>
      </c>
      <c r="K126" s="6" t="s">
        <v>175</v>
      </c>
      <c r="L126" s="16" t="str">
        <f>HYPERLINK("http://slimages.macys.com/is/image/MCY/15083730 ")</f>
        <v>http://slimages.macys.com/is/image/MCY/15083730 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15" t="s">
        <v>392</v>
      </c>
      <c r="B127" s="6" t="s">
        <v>393</v>
      </c>
      <c r="C127" s="7">
        <v>1.0</v>
      </c>
      <c r="D127" s="8">
        <v>40.0</v>
      </c>
      <c r="E127" s="8">
        <v>40.0</v>
      </c>
      <c r="F127" s="7" t="s">
        <v>394</v>
      </c>
      <c r="G127" s="6" t="s">
        <v>53</v>
      </c>
      <c r="H127" s="15" t="s">
        <v>65</v>
      </c>
      <c r="I127" s="6" t="s">
        <v>30</v>
      </c>
      <c r="J127" s="6" t="s">
        <v>48</v>
      </c>
      <c r="K127" s="6" t="s">
        <v>49</v>
      </c>
      <c r="L127" s="16" t="str">
        <f>HYPERLINK("http://slimages.macys.com/is/image/MCY/15419320 ")</f>
        <v>http://slimages.macys.com/is/image/MCY/15419320 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15" t="s">
        <v>395</v>
      </c>
      <c r="B128" s="6" t="s">
        <v>396</v>
      </c>
      <c r="C128" s="7">
        <v>1.0</v>
      </c>
      <c r="D128" s="8">
        <v>40.0</v>
      </c>
      <c r="E128" s="8">
        <v>40.0</v>
      </c>
      <c r="F128" s="7" t="s">
        <v>397</v>
      </c>
      <c r="G128" s="6" t="s">
        <v>53</v>
      </c>
      <c r="H128" s="15" t="s">
        <v>65</v>
      </c>
      <c r="I128" s="6" t="s">
        <v>30</v>
      </c>
      <c r="J128" s="6" t="s">
        <v>48</v>
      </c>
      <c r="K128" s="6" t="s">
        <v>49</v>
      </c>
      <c r="L128" s="16" t="str">
        <f>HYPERLINK("http://slimages.macys.com/is/image/MCY/13849088 ")</f>
        <v>http://slimages.macys.com/is/image/MCY/13849088 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15" t="s">
        <v>398</v>
      </c>
      <c r="B129" s="6" t="s">
        <v>399</v>
      </c>
      <c r="C129" s="7">
        <v>1.0</v>
      </c>
      <c r="D129" s="8">
        <v>40.0</v>
      </c>
      <c r="E129" s="8">
        <v>40.0</v>
      </c>
      <c r="F129" s="7" t="s">
        <v>400</v>
      </c>
      <c r="G129" s="6" t="s">
        <v>53</v>
      </c>
      <c r="H129" s="15" t="s">
        <v>41</v>
      </c>
      <c r="I129" s="6" t="s">
        <v>30</v>
      </c>
      <c r="J129" s="6" t="s">
        <v>48</v>
      </c>
      <c r="K129" s="6" t="s">
        <v>49</v>
      </c>
      <c r="L129" s="16" t="str">
        <f>HYPERLINK("http://slimages.macys.com/is/image/MCY/14528841 ")</f>
        <v>http://slimages.macys.com/is/image/MCY/14528841 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15" t="s">
        <v>401</v>
      </c>
      <c r="B130" s="6" t="s">
        <v>402</v>
      </c>
      <c r="C130" s="7">
        <v>1.0</v>
      </c>
      <c r="D130" s="8">
        <v>40.0</v>
      </c>
      <c r="E130" s="8">
        <v>40.0</v>
      </c>
      <c r="F130" s="7" t="s">
        <v>403</v>
      </c>
      <c r="G130" s="6" t="s">
        <v>379</v>
      </c>
      <c r="H130" s="15" t="s">
        <v>173</v>
      </c>
      <c r="I130" s="6" t="s">
        <v>30</v>
      </c>
      <c r="J130" s="6" t="s">
        <v>55</v>
      </c>
      <c r="K130" s="6" t="s">
        <v>56</v>
      </c>
      <c r="L130" s="16" t="str">
        <f>HYPERLINK("http://slimages.macys.com/is/image/MCY/13760047 ")</f>
        <v>http://slimages.macys.com/is/image/MCY/13760047 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15" t="s">
        <v>404</v>
      </c>
      <c r="B131" s="6" t="s">
        <v>405</v>
      </c>
      <c r="C131" s="7">
        <v>1.0</v>
      </c>
      <c r="D131" s="8">
        <v>40.0</v>
      </c>
      <c r="E131" s="8">
        <v>40.0</v>
      </c>
      <c r="F131" s="7" t="s">
        <v>400</v>
      </c>
      <c r="G131" s="6" t="s">
        <v>64</v>
      </c>
      <c r="H131" s="15" t="s">
        <v>41</v>
      </c>
      <c r="I131" s="6" t="s">
        <v>30</v>
      </c>
      <c r="J131" s="6" t="s">
        <v>48</v>
      </c>
      <c r="K131" s="6" t="s">
        <v>49</v>
      </c>
      <c r="L131" s="16" t="str">
        <f>HYPERLINK("http://slimages.macys.com/is/image/MCY/14528841 ")</f>
        <v>http://slimages.macys.com/is/image/MCY/14528841 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15" t="s">
        <v>406</v>
      </c>
      <c r="B132" s="6" t="s">
        <v>407</v>
      </c>
      <c r="C132" s="7">
        <v>1.0</v>
      </c>
      <c r="D132" s="8">
        <v>59.5</v>
      </c>
      <c r="E132" s="8">
        <v>59.5</v>
      </c>
      <c r="F132" s="7">
        <v>1.00022608E10</v>
      </c>
      <c r="G132" s="6" t="s">
        <v>93</v>
      </c>
      <c r="H132" s="15" t="s">
        <v>41</v>
      </c>
      <c r="I132" s="6" t="s">
        <v>30</v>
      </c>
      <c r="J132" s="6" t="s">
        <v>196</v>
      </c>
      <c r="K132" s="6" t="s">
        <v>197</v>
      </c>
      <c r="L132" s="16" t="str">
        <f t="shared" ref="L132:L135" si="20">HYPERLINK("http://slimages.macys.com/is/image/MCY/10073788 ")</f>
        <v>http://slimages.macys.com/is/image/MCY/10073788 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15" t="s">
        <v>408</v>
      </c>
      <c r="B133" s="6" t="s">
        <v>409</v>
      </c>
      <c r="C133" s="7">
        <v>1.0</v>
      </c>
      <c r="D133" s="8">
        <v>59.5</v>
      </c>
      <c r="E133" s="8">
        <v>59.5</v>
      </c>
      <c r="F133" s="7">
        <v>1.00022608E10</v>
      </c>
      <c r="G133" s="6" t="s">
        <v>93</v>
      </c>
      <c r="H133" s="15" t="s">
        <v>77</v>
      </c>
      <c r="I133" s="6" t="s">
        <v>30</v>
      </c>
      <c r="J133" s="6" t="s">
        <v>196</v>
      </c>
      <c r="K133" s="6" t="s">
        <v>197</v>
      </c>
      <c r="L133" s="16" t="str">
        <f t="shared" si="20"/>
        <v>http://slimages.macys.com/is/image/MCY/10073788 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15" t="s">
        <v>410</v>
      </c>
      <c r="B134" s="6" t="s">
        <v>411</v>
      </c>
      <c r="C134" s="7">
        <v>1.0</v>
      </c>
      <c r="D134" s="8">
        <v>59.5</v>
      </c>
      <c r="E134" s="8">
        <v>59.5</v>
      </c>
      <c r="F134" s="7">
        <v>1.00022608E10</v>
      </c>
      <c r="G134" s="6" t="s">
        <v>93</v>
      </c>
      <c r="H134" s="15" t="s">
        <v>29</v>
      </c>
      <c r="I134" s="6" t="s">
        <v>30</v>
      </c>
      <c r="J134" s="6" t="s">
        <v>196</v>
      </c>
      <c r="K134" s="6" t="s">
        <v>197</v>
      </c>
      <c r="L134" s="16" t="str">
        <f t="shared" si="20"/>
        <v>http://slimages.macys.com/is/image/MCY/10073788 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15" t="s">
        <v>412</v>
      </c>
      <c r="B135" s="6" t="s">
        <v>413</v>
      </c>
      <c r="C135" s="7">
        <v>1.0</v>
      </c>
      <c r="D135" s="8">
        <v>59.5</v>
      </c>
      <c r="E135" s="8">
        <v>59.5</v>
      </c>
      <c r="F135" s="7">
        <v>1.00022608E10</v>
      </c>
      <c r="G135" s="6" t="s">
        <v>93</v>
      </c>
      <c r="H135" s="15" t="s">
        <v>36</v>
      </c>
      <c r="I135" s="6" t="s">
        <v>30</v>
      </c>
      <c r="J135" s="6" t="s">
        <v>196</v>
      </c>
      <c r="K135" s="6" t="s">
        <v>197</v>
      </c>
      <c r="L135" s="16" t="str">
        <f t="shared" si="20"/>
        <v>http://slimages.macys.com/is/image/MCY/10073788 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15" t="s">
        <v>414</v>
      </c>
      <c r="B136" s="6" t="s">
        <v>415</v>
      </c>
      <c r="C136" s="7">
        <v>3.0</v>
      </c>
      <c r="D136" s="8">
        <v>59.5</v>
      </c>
      <c r="E136" s="8">
        <v>178.5</v>
      </c>
      <c r="F136" s="7" t="s">
        <v>416</v>
      </c>
      <c r="G136" s="6" t="s">
        <v>327</v>
      </c>
      <c r="H136" s="15" t="s">
        <v>41</v>
      </c>
      <c r="I136" s="6" t="s">
        <v>30</v>
      </c>
      <c r="J136" s="6" t="s">
        <v>196</v>
      </c>
      <c r="K136" s="6" t="s">
        <v>197</v>
      </c>
      <c r="L136" s="16" t="str">
        <f>HYPERLINK("http://slimages.macys.com/is/image/MCY/15177809 ")</f>
        <v>http://slimages.macys.com/is/image/MCY/15177809 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15" t="s">
        <v>417</v>
      </c>
      <c r="B137" s="6" t="s">
        <v>418</v>
      </c>
      <c r="C137" s="7">
        <v>1.0</v>
      </c>
      <c r="D137" s="8">
        <v>59.5</v>
      </c>
      <c r="E137" s="8">
        <v>59.5</v>
      </c>
      <c r="F137" s="7" t="s">
        <v>419</v>
      </c>
      <c r="G137" s="6" t="s">
        <v>98</v>
      </c>
      <c r="H137" s="15" t="s">
        <v>29</v>
      </c>
      <c r="I137" s="6" t="s">
        <v>30</v>
      </c>
      <c r="J137" s="6" t="s">
        <v>351</v>
      </c>
      <c r="K137" s="6" t="s">
        <v>352</v>
      </c>
      <c r="L137" s="16" t="str">
        <f>HYPERLINK("http://slimages.macys.com/is/image/MCY/15766638 ")</f>
        <v>http://slimages.macys.com/is/image/MCY/15766638 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15" t="s">
        <v>420</v>
      </c>
      <c r="B138" s="6" t="s">
        <v>421</v>
      </c>
      <c r="C138" s="7">
        <v>1.0</v>
      </c>
      <c r="D138" s="8">
        <v>35.0</v>
      </c>
      <c r="E138" s="8">
        <v>35.0</v>
      </c>
      <c r="F138" s="7" t="s">
        <v>422</v>
      </c>
      <c r="G138" s="6" t="s">
        <v>53</v>
      </c>
      <c r="H138" s="15" t="s">
        <v>36</v>
      </c>
      <c r="I138" s="6" t="s">
        <v>30</v>
      </c>
      <c r="J138" s="6" t="s">
        <v>55</v>
      </c>
      <c r="K138" s="6" t="s">
        <v>56</v>
      </c>
      <c r="L138" s="16" t="str">
        <f>HYPERLINK("http://slimages.macys.com/is/image/MCY/15102802 ")</f>
        <v>http://slimages.macys.com/is/image/MCY/15102802 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15" t="s">
        <v>423</v>
      </c>
      <c r="B139" s="6" t="s">
        <v>424</v>
      </c>
      <c r="C139" s="7">
        <v>1.0</v>
      </c>
      <c r="D139" s="8">
        <v>59.5</v>
      </c>
      <c r="E139" s="8">
        <v>59.5</v>
      </c>
      <c r="F139" s="7" t="s">
        <v>425</v>
      </c>
      <c r="G139" s="6" t="s">
        <v>93</v>
      </c>
      <c r="H139" s="15" t="s">
        <v>77</v>
      </c>
      <c r="I139" s="6" t="s">
        <v>30</v>
      </c>
      <c r="J139" s="6" t="s">
        <v>351</v>
      </c>
      <c r="K139" s="6" t="s">
        <v>352</v>
      </c>
      <c r="L139" s="16" t="str">
        <f>HYPERLINK("http://slimages.macys.com/is/image/MCY/15524769 ")</f>
        <v>http://slimages.macys.com/is/image/MCY/15524769 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15" t="s">
        <v>426</v>
      </c>
      <c r="B140" s="6" t="s">
        <v>427</v>
      </c>
      <c r="C140" s="7">
        <v>1.0</v>
      </c>
      <c r="D140" s="8">
        <v>59.5</v>
      </c>
      <c r="E140" s="8">
        <v>59.5</v>
      </c>
      <c r="F140" s="7" t="s">
        <v>428</v>
      </c>
      <c r="G140" s="6" t="s">
        <v>98</v>
      </c>
      <c r="H140" s="15" t="s">
        <v>36</v>
      </c>
      <c r="I140" s="6" t="s">
        <v>30</v>
      </c>
      <c r="J140" s="6" t="s">
        <v>351</v>
      </c>
      <c r="K140" s="6" t="s">
        <v>352</v>
      </c>
      <c r="L140" s="16" t="str">
        <f>HYPERLINK("http://slimages.macys.com/is/image/MCY/15829966 ")</f>
        <v>http://slimages.macys.com/is/image/MCY/15829966 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15" t="s">
        <v>429</v>
      </c>
      <c r="B141" s="6" t="s">
        <v>430</v>
      </c>
      <c r="C141" s="7">
        <v>1.0</v>
      </c>
      <c r="D141" s="8">
        <v>59.5</v>
      </c>
      <c r="E141" s="8">
        <v>59.5</v>
      </c>
      <c r="F141" s="7" t="s">
        <v>431</v>
      </c>
      <c r="G141" s="6" t="s">
        <v>28</v>
      </c>
      <c r="H141" s="15" t="s">
        <v>106</v>
      </c>
      <c r="I141" s="6" t="s">
        <v>30</v>
      </c>
      <c r="J141" s="6" t="s">
        <v>351</v>
      </c>
      <c r="K141" s="6" t="s">
        <v>352</v>
      </c>
      <c r="L141" s="16" t="str">
        <f>HYPERLINK("http://slimages.macys.com/is/image/MCY/15525159 ")</f>
        <v>http://slimages.macys.com/is/image/MCY/15525159 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15" t="s">
        <v>432</v>
      </c>
      <c r="B142" s="6" t="s">
        <v>433</v>
      </c>
      <c r="C142" s="7">
        <v>1.0</v>
      </c>
      <c r="D142" s="8">
        <v>59.5</v>
      </c>
      <c r="E142" s="8">
        <v>59.5</v>
      </c>
      <c r="F142" s="7" t="s">
        <v>416</v>
      </c>
      <c r="G142" s="6" t="s">
        <v>327</v>
      </c>
      <c r="H142" s="15" t="s">
        <v>65</v>
      </c>
      <c r="I142" s="6" t="s">
        <v>30</v>
      </c>
      <c r="J142" s="6" t="s">
        <v>196</v>
      </c>
      <c r="K142" s="6" t="s">
        <v>197</v>
      </c>
      <c r="L142" s="16" t="str">
        <f t="shared" ref="L142:L143" si="21">HYPERLINK("http://slimages.macys.com/is/image/MCY/15177809 ")</f>
        <v>http://slimages.macys.com/is/image/MCY/15177809 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15" t="s">
        <v>434</v>
      </c>
      <c r="B143" s="6" t="s">
        <v>435</v>
      </c>
      <c r="C143" s="7">
        <v>1.0</v>
      </c>
      <c r="D143" s="8">
        <v>59.5</v>
      </c>
      <c r="E143" s="8">
        <v>59.5</v>
      </c>
      <c r="F143" s="7" t="s">
        <v>416</v>
      </c>
      <c r="G143" s="6" t="s">
        <v>327</v>
      </c>
      <c r="H143" s="15" t="s">
        <v>29</v>
      </c>
      <c r="I143" s="6" t="s">
        <v>30</v>
      </c>
      <c r="J143" s="6" t="s">
        <v>196</v>
      </c>
      <c r="K143" s="6" t="s">
        <v>197</v>
      </c>
      <c r="L143" s="16" t="str">
        <f t="shared" si="21"/>
        <v>http://slimages.macys.com/is/image/MCY/15177809 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15" t="s">
        <v>436</v>
      </c>
      <c r="B144" s="6" t="s">
        <v>437</v>
      </c>
      <c r="C144" s="7">
        <v>1.0</v>
      </c>
      <c r="D144" s="8">
        <v>59.5</v>
      </c>
      <c r="E144" s="8">
        <v>59.5</v>
      </c>
      <c r="F144" s="7" t="s">
        <v>438</v>
      </c>
      <c r="G144" s="6" t="s">
        <v>53</v>
      </c>
      <c r="H144" s="15" t="s">
        <v>36</v>
      </c>
      <c r="I144" s="6" t="s">
        <v>30</v>
      </c>
      <c r="J144" s="6" t="s">
        <v>351</v>
      </c>
      <c r="K144" s="6" t="s">
        <v>352</v>
      </c>
      <c r="L144" s="16" t="str">
        <f>HYPERLINK("http://slimages.macys.com/is/image/MCY/16359573 ")</f>
        <v>http://slimages.macys.com/is/image/MCY/16359573 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15" t="s">
        <v>439</v>
      </c>
      <c r="B145" s="6" t="s">
        <v>440</v>
      </c>
      <c r="C145" s="7">
        <v>1.0</v>
      </c>
      <c r="D145" s="8">
        <v>35.0</v>
      </c>
      <c r="E145" s="8">
        <v>35.0</v>
      </c>
      <c r="F145" s="7" t="s">
        <v>422</v>
      </c>
      <c r="G145" s="6" t="s">
        <v>53</v>
      </c>
      <c r="H145" s="15" t="s">
        <v>173</v>
      </c>
      <c r="I145" s="6" t="s">
        <v>30</v>
      </c>
      <c r="J145" s="6" t="s">
        <v>55</v>
      </c>
      <c r="K145" s="6" t="s">
        <v>56</v>
      </c>
      <c r="L145" s="16" t="str">
        <f>HYPERLINK("http://slimages.macys.com/is/image/MCY/15102802 ")</f>
        <v>http://slimages.macys.com/is/image/MCY/15102802 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15" t="s">
        <v>441</v>
      </c>
      <c r="B146" s="6" t="s">
        <v>442</v>
      </c>
      <c r="C146" s="7">
        <v>1.0</v>
      </c>
      <c r="D146" s="8">
        <v>59.5</v>
      </c>
      <c r="E146" s="8">
        <v>59.5</v>
      </c>
      <c r="F146" s="7" t="s">
        <v>431</v>
      </c>
      <c r="G146" s="6" t="s">
        <v>93</v>
      </c>
      <c r="H146" s="15" t="s">
        <v>106</v>
      </c>
      <c r="I146" s="6" t="s">
        <v>30</v>
      </c>
      <c r="J146" s="6" t="s">
        <v>351</v>
      </c>
      <c r="K146" s="6" t="s">
        <v>352</v>
      </c>
      <c r="L146" s="16" t="str">
        <f>HYPERLINK("http://slimages.macys.com/is/image/MCY/15525159 ")</f>
        <v>http://slimages.macys.com/is/image/MCY/15525159 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15" t="s">
        <v>443</v>
      </c>
      <c r="B147" s="6" t="s">
        <v>444</v>
      </c>
      <c r="C147" s="7">
        <v>1.0</v>
      </c>
      <c r="D147" s="8">
        <v>54.5</v>
      </c>
      <c r="E147" s="8">
        <v>54.5</v>
      </c>
      <c r="F147" s="7" t="s">
        <v>445</v>
      </c>
      <c r="G147" s="6" t="s">
        <v>446</v>
      </c>
      <c r="H147" s="15" t="s">
        <v>77</v>
      </c>
      <c r="I147" s="6" t="s">
        <v>30</v>
      </c>
      <c r="J147" s="6" t="s">
        <v>196</v>
      </c>
      <c r="K147" s="6" t="s">
        <v>197</v>
      </c>
      <c r="L147" s="16" t="str">
        <f>HYPERLINK("http://slimages.macys.com/is/image/MCY/14886661 ")</f>
        <v>http://slimages.macys.com/is/image/MCY/14886661 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15" t="s">
        <v>447</v>
      </c>
      <c r="B148" s="6" t="s">
        <v>448</v>
      </c>
      <c r="C148" s="7">
        <v>1.0</v>
      </c>
      <c r="D148" s="8">
        <v>54.5</v>
      </c>
      <c r="E148" s="8">
        <v>54.5</v>
      </c>
      <c r="F148" s="7" t="s">
        <v>449</v>
      </c>
      <c r="G148" s="6" t="s">
        <v>86</v>
      </c>
      <c r="H148" s="15" t="s">
        <v>65</v>
      </c>
      <c r="I148" s="6" t="s">
        <v>30</v>
      </c>
      <c r="J148" s="6" t="s">
        <v>196</v>
      </c>
      <c r="K148" s="6" t="s">
        <v>197</v>
      </c>
      <c r="L148" s="16" t="str">
        <f>HYPERLINK("http://slimages.macys.com/is/image/MCY/14886794 ")</f>
        <v>http://slimages.macys.com/is/image/MCY/14886794 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15" t="s">
        <v>450</v>
      </c>
      <c r="B149" s="6" t="s">
        <v>451</v>
      </c>
      <c r="C149" s="7">
        <v>1.0</v>
      </c>
      <c r="D149" s="8">
        <v>54.5</v>
      </c>
      <c r="E149" s="8">
        <v>54.5</v>
      </c>
      <c r="F149" s="7" t="s">
        <v>452</v>
      </c>
      <c r="G149" s="6" t="s">
        <v>64</v>
      </c>
      <c r="H149" s="15" t="s">
        <v>36</v>
      </c>
      <c r="I149" s="6" t="s">
        <v>30</v>
      </c>
      <c r="J149" s="6" t="s">
        <v>196</v>
      </c>
      <c r="K149" s="6" t="s">
        <v>197</v>
      </c>
      <c r="L149" s="16" t="str">
        <f>HYPERLINK("http://slimages.macys.com/is/image/MCY/15068977 ")</f>
        <v>http://slimages.macys.com/is/image/MCY/15068977 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15" t="s">
        <v>453</v>
      </c>
      <c r="B150" s="6" t="s">
        <v>454</v>
      </c>
      <c r="C150" s="7">
        <v>1.0</v>
      </c>
      <c r="D150" s="8">
        <v>45.0</v>
      </c>
      <c r="E150" s="8">
        <v>45.0</v>
      </c>
      <c r="F150" s="7" t="s">
        <v>455</v>
      </c>
      <c r="G150" s="6" t="s">
        <v>456</v>
      </c>
      <c r="H150" s="15" t="s">
        <v>36</v>
      </c>
      <c r="I150" s="6" t="s">
        <v>30</v>
      </c>
      <c r="J150" s="6" t="s">
        <v>182</v>
      </c>
      <c r="K150" s="6" t="s">
        <v>183</v>
      </c>
      <c r="L150" s="16" t="str">
        <f>HYPERLINK("http://slimages.macys.com/is/image/MCY/14531364 ")</f>
        <v>http://slimages.macys.com/is/image/MCY/14531364 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15" t="s">
        <v>457</v>
      </c>
      <c r="B151" s="6" t="s">
        <v>458</v>
      </c>
      <c r="C151" s="7">
        <v>1.0</v>
      </c>
      <c r="D151" s="8">
        <v>49.0</v>
      </c>
      <c r="E151" s="8">
        <v>49.0</v>
      </c>
      <c r="F151" s="7" t="s">
        <v>459</v>
      </c>
      <c r="G151" s="6" t="s">
        <v>456</v>
      </c>
      <c r="H151" s="15" t="s">
        <v>65</v>
      </c>
      <c r="I151" s="6" t="s">
        <v>30</v>
      </c>
      <c r="J151" s="6" t="s">
        <v>42</v>
      </c>
      <c r="K151" s="6" t="s">
        <v>43</v>
      </c>
      <c r="L151" s="16" t="str">
        <f>HYPERLINK("http://slimages.macys.com/is/image/MCY/15134568 ")</f>
        <v>http://slimages.macys.com/is/image/MCY/15134568 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15" t="s">
        <v>460</v>
      </c>
      <c r="B152" s="6" t="s">
        <v>461</v>
      </c>
      <c r="C152" s="7">
        <v>1.0</v>
      </c>
      <c r="D152" s="8">
        <v>49.0</v>
      </c>
      <c r="E152" s="8">
        <v>49.0</v>
      </c>
      <c r="F152" s="7" t="s">
        <v>462</v>
      </c>
      <c r="G152" s="6" t="s">
        <v>35</v>
      </c>
      <c r="H152" s="15" t="s">
        <v>36</v>
      </c>
      <c r="I152" s="6" t="s">
        <v>30</v>
      </c>
      <c r="J152" s="6" t="s">
        <v>42</v>
      </c>
      <c r="K152" s="6" t="s">
        <v>43</v>
      </c>
      <c r="L152" s="16" t="str">
        <f>HYPERLINK("http://slimages.macys.com/is/image/MCY/15899619 ")</f>
        <v>http://slimages.macys.com/is/image/MCY/15899619 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15" t="s">
        <v>463</v>
      </c>
      <c r="B153" s="6" t="s">
        <v>464</v>
      </c>
      <c r="C153" s="7">
        <v>1.0</v>
      </c>
      <c r="D153" s="8">
        <v>49.5</v>
      </c>
      <c r="E153" s="8">
        <v>49.5</v>
      </c>
      <c r="F153" s="7" t="s">
        <v>465</v>
      </c>
      <c r="G153" s="6" t="s">
        <v>321</v>
      </c>
      <c r="H153" s="15" t="s">
        <v>65</v>
      </c>
      <c r="I153" s="6" t="s">
        <v>30</v>
      </c>
      <c r="J153" s="6" t="s">
        <v>351</v>
      </c>
      <c r="K153" s="6" t="s">
        <v>352</v>
      </c>
      <c r="L153" s="16" t="str">
        <f>HYPERLINK("http://slimages.macys.com/is/image/MCY/16701736 ")</f>
        <v>http://slimages.macys.com/is/image/MCY/16701736 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15" t="s">
        <v>466</v>
      </c>
      <c r="B154" s="6" t="s">
        <v>467</v>
      </c>
      <c r="C154" s="7">
        <v>1.0</v>
      </c>
      <c r="D154" s="8">
        <v>54.5</v>
      </c>
      <c r="E154" s="8">
        <v>54.5</v>
      </c>
      <c r="F154" s="7" t="s">
        <v>468</v>
      </c>
      <c r="G154" s="6" t="s">
        <v>469</v>
      </c>
      <c r="H154" s="15" t="s">
        <v>173</v>
      </c>
      <c r="I154" s="6" t="s">
        <v>30</v>
      </c>
      <c r="J154" s="6" t="s">
        <v>174</v>
      </c>
      <c r="K154" s="6" t="s">
        <v>175</v>
      </c>
      <c r="L154" s="16" t="str">
        <f t="shared" ref="L154:L155" si="22">HYPERLINK("http://slimages.macys.com/is/image/MCY/15918621 ")</f>
        <v>http://slimages.macys.com/is/image/MCY/15918621 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15" t="s">
        <v>470</v>
      </c>
      <c r="B155" s="6" t="s">
        <v>471</v>
      </c>
      <c r="C155" s="7">
        <v>1.0</v>
      </c>
      <c r="D155" s="8">
        <v>54.5</v>
      </c>
      <c r="E155" s="8">
        <v>54.5</v>
      </c>
      <c r="F155" s="7" t="s">
        <v>468</v>
      </c>
      <c r="G155" s="6" t="s">
        <v>469</v>
      </c>
      <c r="H155" s="15" t="s">
        <v>328</v>
      </c>
      <c r="I155" s="6" t="s">
        <v>30</v>
      </c>
      <c r="J155" s="6" t="s">
        <v>174</v>
      </c>
      <c r="K155" s="6" t="s">
        <v>175</v>
      </c>
      <c r="L155" s="16" t="str">
        <f t="shared" si="22"/>
        <v>http://slimages.macys.com/is/image/MCY/15918621 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15" t="s">
        <v>472</v>
      </c>
      <c r="B156" s="6" t="s">
        <v>473</v>
      </c>
      <c r="C156" s="7">
        <v>1.0</v>
      </c>
      <c r="D156" s="8">
        <v>50.0</v>
      </c>
      <c r="E156" s="8">
        <v>50.0</v>
      </c>
      <c r="F156" s="7">
        <v>1344398.0</v>
      </c>
      <c r="G156" s="6" t="s">
        <v>469</v>
      </c>
      <c r="H156" s="15" t="s">
        <v>41</v>
      </c>
      <c r="I156" s="6" t="s">
        <v>30</v>
      </c>
      <c r="J156" s="6" t="s">
        <v>107</v>
      </c>
      <c r="K156" s="6" t="s">
        <v>108</v>
      </c>
      <c r="L156" s="16" t="str">
        <f>HYPERLINK("http://slimages.macys.com/is/image/MCY/13700344 ")</f>
        <v>http://slimages.macys.com/is/image/MCY/13700344 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15" t="s">
        <v>474</v>
      </c>
      <c r="B157" s="6" t="s">
        <v>475</v>
      </c>
      <c r="C157" s="7">
        <v>1.0</v>
      </c>
      <c r="D157" s="8">
        <v>54.5</v>
      </c>
      <c r="E157" s="8">
        <v>54.5</v>
      </c>
      <c r="F157" s="7" t="s">
        <v>476</v>
      </c>
      <c r="G157" s="6" t="s">
        <v>93</v>
      </c>
      <c r="H157" s="15" t="s">
        <v>173</v>
      </c>
      <c r="I157" s="6" t="s">
        <v>30</v>
      </c>
      <c r="J157" s="6" t="s">
        <v>174</v>
      </c>
      <c r="K157" s="6" t="s">
        <v>175</v>
      </c>
      <c r="L157" s="16" t="str">
        <f>HYPERLINK("http://slimages.macys.com/is/image/MCY/9928047 ")</f>
        <v>http://slimages.macys.com/is/image/MCY/9928047 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15" t="s">
        <v>477</v>
      </c>
      <c r="B158" s="6" t="s">
        <v>478</v>
      </c>
      <c r="C158" s="7">
        <v>1.0</v>
      </c>
      <c r="D158" s="8">
        <v>40.0</v>
      </c>
      <c r="E158" s="8">
        <v>40.0</v>
      </c>
      <c r="F158" s="7" t="s">
        <v>479</v>
      </c>
      <c r="G158" s="6" t="s">
        <v>480</v>
      </c>
      <c r="H158" s="15" t="s">
        <v>481</v>
      </c>
      <c r="I158" s="6" t="s">
        <v>30</v>
      </c>
      <c r="J158" s="6" t="s">
        <v>482</v>
      </c>
      <c r="K158" s="6" t="s">
        <v>483</v>
      </c>
      <c r="L158" s="16" t="str">
        <f>HYPERLINK("http://slimages.macys.com/is/image/MCY/11635599 ")</f>
        <v>http://slimages.macys.com/is/image/MCY/11635599 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15" t="s">
        <v>484</v>
      </c>
      <c r="B159" s="6" t="s">
        <v>485</v>
      </c>
      <c r="C159" s="7">
        <v>1.0</v>
      </c>
      <c r="D159" s="8">
        <v>49.5</v>
      </c>
      <c r="E159" s="8">
        <v>49.5</v>
      </c>
      <c r="F159" s="7" t="s">
        <v>486</v>
      </c>
      <c r="G159" s="6" t="s">
        <v>265</v>
      </c>
      <c r="H159" s="15" t="s">
        <v>65</v>
      </c>
      <c r="I159" s="6" t="s">
        <v>30</v>
      </c>
      <c r="J159" s="6" t="s">
        <v>196</v>
      </c>
      <c r="K159" s="6" t="s">
        <v>197</v>
      </c>
      <c r="L159" s="16" t="str">
        <f>HYPERLINK("http://slimages.macys.com/is/image/MCY/12668956 ")</f>
        <v>http://slimages.macys.com/is/image/MCY/12668956 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15" t="s">
        <v>487</v>
      </c>
      <c r="B160" s="6" t="s">
        <v>488</v>
      </c>
      <c r="C160" s="7">
        <v>1.0</v>
      </c>
      <c r="D160" s="8">
        <v>35.0</v>
      </c>
      <c r="E160" s="8">
        <v>35.0</v>
      </c>
      <c r="F160" s="7">
        <v>1344388.0</v>
      </c>
      <c r="G160" s="6" t="s">
        <v>86</v>
      </c>
      <c r="H160" s="15" t="s">
        <v>65</v>
      </c>
      <c r="I160" s="6" t="s">
        <v>30</v>
      </c>
      <c r="J160" s="6" t="s">
        <v>107</v>
      </c>
      <c r="K160" s="6" t="s">
        <v>108</v>
      </c>
      <c r="L160" s="16" t="str">
        <f>HYPERLINK("http://slimages.macys.com/is/image/MCY/14366644 ")</f>
        <v>http://slimages.macys.com/is/image/MCY/14366644 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15" t="s">
        <v>489</v>
      </c>
      <c r="B161" s="6" t="s">
        <v>490</v>
      </c>
      <c r="C161" s="7">
        <v>1.0</v>
      </c>
      <c r="D161" s="8">
        <v>35.0</v>
      </c>
      <c r="E161" s="8">
        <v>35.0</v>
      </c>
      <c r="F161" s="7">
        <v>1330400.0</v>
      </c>
      <c r="G161" s="6" t="s">
        <v>491</v>
      </c>
      <c r="H161" s="15" t="s">
        <v>65</v>
      </c>
      <c r="I161" s="6" t="s">
        <v>30</v>
      </c>
      <c r="J161" s="6" t="s">
        <v>107</v>
      </c>
      <c r="K161" s="6" t="s">
        <v>108</v>
      </c>
      <c r="L161" s="16" t="str">
        <f>HYPERLINK("http://slimages.macys.com/is/image/MCY/12937585 ")</f>
        <v>http://slimages.macys.com/is/image/MCY/12937585 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15" t="s">
        <v>492</v>
      </c>
      <c r="B162" s="6" t="s">
        <v>493</v>
      </c>
      <c r="C162" s="7">
        <v>1.0</v>
      </c>
      <c r="D162" s="8">
        <v>29.98</v>
      </c>
      <c r="E162" s="8">
        <v>29.98</v>
      </c>
      <c r="F162" s="7" t="s">
        <v>494</v>
      </c>
      <c r="G162" s="6" t="s">
        <v>495</v>
      </c>
      <c r="H162" s="15" t="s">
        <v>36</v>
      </c>
      <c r="I162" s="6" t="s">
        <v>30</v>
      </c>
      <c r="J162" s="6" t="s">
        <v>351</v>
      </c>
      <c r="K162" s="6" t="s">
        <v>352</v>
      </c>
      <c r="L162" s="16" t="str">
        <f>HYPERLINK("http://slimages.macys.com/is/image/MCY/16362476 ")</f>
        <v>http://slimages.macys.com/is/image/MCY/16362476 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15" t="s">
        <v>496</v>
      </c>
      <c r="B163" s="6" t="s">
        <v>497</v>
      </c>
      <c r="C163" s="7">
        <v>1.0</v>
      </c>
      <c r="D163" s="8">
        <v>35.0</v>
      </c>
      <c r="E163" s="8">
        <v>35.0</v>
      </c>
      <c r="F163" s="7">
        <v>823312.0</v>
      </c>
      <c r="G163" s="6" t="s">
        <v>86</v>
      </c>
      <c r="H163" s="15" t="s">
        <v>29</v>
      </c>
      <c r="I163" s="6" t="s">
        <v>30</v>
      </c>
      <c r="J163" s="6" t="s">
        <v>48</v>
      </c>
      <c r="K163" s="6" t="s">
        <v>49</v>
      </c>
      <c r="L163" s="16" t="str">
        <f>HYPERLINK("http://slimages.macys.com/is/image/MCY/12873658 ")</f>
        <v>http://slimages.macys.com/is/image/MCY/12873658 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15" t="s">
        <v>498</v>
      </c>
      <c r="B164" s="6" t="s">
        <v>499</v>
      </c>
      <c r="C164" s="7">
        <v>1.0</v>
      </c>
      <c r="D164" s="8">
        <v>35.0</v>
      </c>
      <c r="E164" s="8">
        <v>35.0</v>
      </c>
      <c r="F164" s="7" t="s">
        <v>500</v>
      </c>
      <c r="G164" s="6" t="s">
        <v>501</v>
      </c>
      <c r="H164" s="15" t="s">
        <v>65</v>
      </c>
      <c r="I164" s="6" t="s">
        <v>30</v>
      </c>
      <c r="J164" s="6" t="s">
        <v>48</v>
      </c>
      <c r="K164" s="6" t="s">
        <v>49</v>
      </c>
      <c r="L164" s="16" t="str">
        <f>HYPERLINK("http://slimages.macys.com/is/image/MCY/16471778 ")</f>
        <v>http://slimages.macys.com/is/image/MCY/16471778 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15" t="s">
        <v>502</v>
      </c>
      <c r="B165" s="6" t="s">
        <v>503</v>
      </c>
      <c r="C165" s="7">
        <v>1.0</v>
      </c>
      <c r="D165" s="8">
        <v>49.5</v>
      </c>
      <c r="E165" s="8">
        <v>49.5</v>
      </c>
      <c r="F165" s="7">
        <v>1.00022407E10</v>
      </c>
      <c r="G165" s="6" t="s">
        <v>93</v>
      </c>
      <c r="H165" s="15" t="s">
        <v>41</v>
      </c>
      <c r="I165" s="6" t="s">
        <v>30</v>
      </c>
      <c r="J165" s="6" t="s">
        <v>196</v>
      </c>
      <c r="K165" s="6" t="s">
        <v>197</v>
      </c>
      <c r="L165" s="16" t="str">
        <f>HYPERLINK("http://slimages.macys.com/is/image/MCY/9930971 ")</f>
        <v>http://slimages.macys.com/is/image/MCY/9930971 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15" t="s">
        <v>504</v>
      </c>
      <c r="B166" s="6" t="s">
        <v>505</v>
      </c>
      <c r="C166" s="7">
        <v>1.0</v>
      </c>
      <c r="D166" s="8">
        <v>49.0</v>
      </c>
      <c r="E166" s="8">
        <v>49.0</v>
      </c>
      <c r="F166" s="7" t="s">
        <v>506</v>
      </c>
      <c r="G166" s="6" t="s">
        <v>469</v>
      </c>
      <c r="H166" s="15" t="s">
        <v>36</v>
      </c>
      <c r="I166" s="6" t="s">
        <v>30</v>
      </c>
      <c r="J166" s="6" t="s">
        <v>351</v>
      </c>
      <c r="K166" s="6" t="s">
        <v>352</v>
      </c>
      <c r="L166" s="16" t="str">
        <f>HYPERLINK("http://slimages.macys.com/is/image/MCY/12151972 ")</f>
        <v>http://slimages.macys.com/is/image/MCY/12151972 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15" t="s">
        <v>507</v>
      </c>
      <c r="B167" s="6" t="s">
        <v>508</v>
      </c>
      <c r="C167" s="7">
        <v>1.0</v>
      </c>
      <c r="D167" s="8">
        <v>49.5</v>
      </c>
      <c r="E167" s="8">
        <v>49.5</v>
      </c>
      <c r="F167" s="7" t="s">
        <v>509</v>
      </c>
      <c r="G167" s="6" t="s">
        <v>510</v>
      </c>
      <c r="H167" s="15" t="s">
        <v>41</v>
      </c>
      <c r="I167" s="6" t="s">
        <v>30</v>
      </c>
      <c r="J167" s="6" t="s">
        <v>351</v>
      </c>
      <c r="K167" s="6" t="s">
        <v>352</v>
      </c>
      <c r="L167" s="16" t="str">
        <f t="shared" ref="L167:L168" si="23">HYPERLINK("http://slimages.macys.com/is/image/MCY/15172561 ")</f>
        <v>http://slimages.macys.com/is/image/MCY/15172561 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15" t="s">
        <v>511</v>
      </c>
      <c r="B168" s="6" t="s">
        <v>512</v>
      </c>
      <c r="C168" s="7">
        <v>1.0</v>
      </c>
      <c r="D168" s="8">
        <v>49.5</v>
      </c>
      <c r="E168" s="8">
        <v>49.5</v>
      </c>
      <c r="F168" s="7" t="s">
        <v>509</v>
      </c>
      <c r="G168" s="6" t="s">
        <v>93</v>
      </c>
      <c r="H168" s="15" t="s">
        <v>77</v>
      </c>
      <c r="I168" s="6" t="s">
        <v>30</v>
      </c>
      <c r="J168" s="6" t="s">
        <v>351</v>
      </c>
      <c r="K168" s="6" t="s">
        <v>352</v>
      </c>
      <c r="L168" s="16" t="str">
        <f t="shared" si="23"/>
        <v>http://slimages.macys.com/is/image/MCY/15172561 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15" t="s">
        <v>513</v>
      </c>
      <c r="B169" s="6" t="s">
        <v>514</v>
      </c>
      <c r="C169" s="7">
        <v>1.0</v>
      </c>
      <c r="D169" s="8">
        <v>44.5</v>
      </c>
      <c r="E169" s="8">
        <v>44.5</v>
      </c>
      <c r="F169" s="7" t="s">
        <v>515</v>
      </c>
      <c r="G169" s="6" t="s">
        <v>93</v>
      </c>
      <c r="H169" s="15" t="s">
        <v>106</v>
      </c>
      <c r="I169" s="6" t="s">
        <v>30</v>
      </c>
      <c r="J169" s="6" t="s">
        <v>196</v>
      </c>
      <c r="K169" s="6" t="s">
        <v>197</v>
      </c>
      <c r="L169" s="16" t="str">
        <f>HYPERLINK("http://slimages.macys.com/is/image/MCY/11524588 ")</f>
        <v>http://slimages.macys.com/is/image/MCY/11524588 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15" t="s">
        <v>516</v>
      </c>
      <c r="B170" s="6" t="s">
        <v>517</v>
      </c>
      <c r="C170" s="7">
        <v>1.0</v>
      </c>
      <c r="D170" s="8">
        <v>44.5</v>
      </c>
      <c r="E170" s="8">
        <v>44.5</v>
      </c>
      <c r="F170" s="7" t="s">
        <v>518</v>
      </c>
      <c r="G170" s="6" t="s">
        <v>204</v>
      </c>
      <c r="H170" s="15" t="s">
        <v>41</v>
      </c>
      <c r="I170" s="6" t="s">
        <v>30</v>
      </c>
      <c r="J170" s="6" t="s">
        <v>196</v>
      </c>
      <c r="K170" s="6" t="s">
        <v>197</v>
      </c>
      <c r="L170" s="16" t="str">
        <f>HYPERLINK("http://slimages.macys.com/is/image/MCY/14884914 ")</f>
        <v>http://slimages.macys.com/is/image/MCY/14884914 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15" t="s">
        <v>519</v>
      </c>
      <c r="B171" s="6" t="s">
        <v>520</v>
      </c>
      <c r="C171" s="7">
        <v>2.0</v>
      </c>
      <c r="D171" s="8">
        <v>49.5</v>
      </c>
      <c r="E171" s="8">
        <v>99.0</v>
      </c>
      <c r="F171" s="7" t="s">
        <v>521</v>
      </c>
      <c r="G171" s="6" t="s">
        <v>495</v>
      </c>
      <c r="H171" s="15" t="s">
        <v>29</v>
      </c>
      <c r="I171" s="6" t="s">
        <v>30</v>
      </c>
      <c r="J171" s="6" t="s">
        <v>196</v>
      </c>
      <c r="K171" s="6" t="s">
        <v>197</v>
      </c>
      <c r="L171" s="16" t="str">
        <f t="shared" ref="L171:L172" si="24">HYPERLINK("http://slimages.macys.com/is/image/MCY/15617977 ")</f>
        <v>http://slimages.macys.com/is/image/MCY/15617977 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15" t="s">
        <v>522</v>
      </c>
      <c r="B172" s="6" t="s">
        <v>523</v>
      </c>
      <c r="C172" s="7">
        <v>2.0</v>
      </c>
      <c r="D172" s="8">
        <v>49.5</v>
      </c>
      <c r="E172" s="8">
        <v>99.0</v>
      </c>
      <c r="F172" s="7" t="s">
        <v>521</v>
      </c>
      <c r="G172" s="6" t="s">
        <v>495</v>
      </c>
      <c r="H172" s="15" t="s">
        <v>41</v>
      </c>
      <c r="I172" s="6" t="s">
        <v>30</v>
      </c>
      <c r="J172" s="6" t="s">
        <v>196</v>
      </c>
      <c r="K172" s="6" t="s">
        <v>197</v>
      </c>
      <c r="L172" s="16" t="str">
        <f t="shared" si="24"/>
        <v>http://slimages.macys.com/is/image/MCY/15617977 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15" t="s">
        <v>524</v>
      </c>
      <c r="B173" s="6" t="s">
        <v>525</v>
      </c>
      <c r="C173" s="7">
        <v>1.0</v>
      </c>
      <c r="D173" s="8">
        <v>45.0</v>
      </c>
      <c r="E173" s="8">
        <v>45.0</v>
      </c>
      <c r="F173" s="7">
        <v>8.5179701E7</v>
      </c>
      <c r="G173" s="6" t="s">
        <v>93</v>
      </c>
      <c r="H173" s="15" t="s">
        <v>41</v>
      </c>
      <c r="I173" s="6" t="s">
        <v>30</v>
      </c>
      <c r="J173" s="6" t="s">
        <v>88</v>
      </c>
      <c r="K173" s="6" t="s">
        <v>167</v>
      </c>
      <c r="L173" s="16" t="str">
        <f>HYPERLINK("http://slimages.macys.com/is/image/MCY/15431043 ")</f>
        <v>http://slimages.macys.com/is/image/MCY/15431043 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15" t="s">
        <v>526</v>
      </c>
      <c r="B174" s="6" t="s">
        <v>527</v>
      </c>
      <c r="C174" s="7">
        <v>1.0</v>
      </c>
      <c r="D174" s="8">
        <v>49.5</v>
      </c>
      <c r="E174" s="8">
        <v>49.5</v>
      </c>
      <c r="F174" s="7" t="s">
        <v>528</v>
      </c>
      <c r="G174" s="6" t="s">
        <v>138</v>
      </c>
      <c r="H174" s="15" t="s">
        <v>77</v>
      </c>
      <c r="I174" s="6" t="s">
        <v>30</v>
      </c>
      <c r="J174" s="6" t="s">
        <v>196</v>
      </c>
      <c r="K174" s="6" t="s">
        <v>197</v>
      </c>
      <c r="L174" s="16" t="str">
        <f t="shared" ref="L174:L175" si="25">HYPERLINK("http://slimages.macys.com/is/image/MCY/15440103 ")</f>
        <v>http://slimages.macys.com/is/image/MCY/15440103 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15" t="s">
        <v>529</v>
      </c>
      <c r="B175" s="6" t="s">
        <v>530</v>
      </c>
      <c r="C175" s="7">
        <v>1.0</v>
      </c>
      <c r="D175" s="8">
        <v>49.5</v>
      </c>
      <c r="E175" s="8">
        <v>49.5</v>
      </c>
      <c r="F175" s="7" t="s">
        <v>528</v>
      </c>
      <c r="G175" s="6" t="s">
        <v>138</v>
      </c>
      <c r="H175" s="15" t="s">
        <v>29</v>
      </c>
      <c r="I175" s="6" t="s">
        <v>30</v>
      </c>
      <c r="J175" s="6" t="s">
        <v>196</v>
      </c>
      <c r="K175" s="6" t="s">
        <v>197</v>
      </c>
      <c r="L175" s="16" t="str">
        <f t="shared" si="25"/>
        <v>http://slimages.macys.com/is/image/MCY/15440103 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15" t="s">
        <v>531</v>
      </c>
      <c r="B176" s="6" t="s">
        <v>532</v>
      </c>
      <c r="C176" s="7">
        <v>1.0</v>
      </c>
      <c r="D176" s="8">
        <v>44.5</v>
      </c>
      <c r="E176" s="8">
        <v>44.5</v>
      </c>
      <c r="F176" s="7" t="s">
        <v>518</v>
      </c>
      <c r="G176" s="6" t="s">
        <v>47</v>
      </c>
      <c r="H176" s="15" t="s">
        <v>36</v>
      </c>
      <c r="I176" s="6" t="s">
        <v>30</v>
      </c>
      <c r="J176" s="6" t="s">
        <v>196</v>
      </c>
      <c r="K176" s="6" t="s">
        <v>197</v>
      </c>
      <c r="L176" s="16" t="str">
        <f>HYPERLINK("http://slimages.macys.com/is/image/MCY/14884914 ")</f>
        <v>http://slimages.macys.com/is/image/MCY/14884914 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15" t="s">
        <v>533</v>
      </c>
      <c r="B177" s="6" t="s">
        <v>534</v>
      </c>
      <c r="C177" s="7">
        <v>1.0</v>
      </c>
      <c r="D177" s="8">
        <v>49.5</v>
      </c>
      <c r="E177" s="8">
        <v>49.5</v>
      </c>
      <c r="F177" s="7" t="s">
        <v>535</v>
      </c>
      <c r="G177" s="6" t="s">
        <v>204</v>
      </c>
      <c r="H177" s="15" t="s">
        <v>54</v>
      </c>
      <c r="I177" s="6" t="s">
        <v>30</v>
      </c>
      <c r="J177" s="6" t="s">
        <v>174</v>
      </c>
      <c r="K177" s="6" t="s">
        <v>175</v>
      </c>
      <c r="L177" s="16" t="str">
        <f>HYPERLINK("http://slimages.macys.com/is/image/MCY/15100071 ")</f>
        <v>http://slimages.macys.com/is/image/MCY/15100071 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15" t="s">
        <v>536</v>
      </c>
      <c r="B178" s="6" t="s">
        <v>537</v>
      </c>
      <c r="C178" s="7">
        <v>1.0</v>
      </c>
      <c r="D178" s="8">
        <v>44.5</v>
      </c>
      <c r="E178" s="8">
        <v>44.5</v>
      </c>
      <c r="F178" s="7" t="s">
        <v>518</v>
      </c>
      <c r="G178" s="6" t="s">
        <v>47</v>
      </c>
      <c r="H178" s="15" t="s">
        <v>77</v>
      </c>
      <c r="I178" s="6" t="s">
        <v>30</v>
      </c>
      <c r="J178" s="6" t="s">
        <v>196</v>
      </c>
      <c r="K178" s="6" t="s">
        <v>197</v>
      </c>
      <c r="L178" s="16" t="str">
        <f>HYPERLINK("http://slimages.macys.com/is/image/MCY/14884914 ")</f>
        <v>http://slimages.macys.com/is/image/MCY/14884914 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15" t="s">
        <v>538</v>
      </c>
      <c r="B179" s="6" t="s">
        <v>539</v>
      </c>
      <c r="C179" s="7">
        <v>2.0</v>
      </c>
      <c r="D179" s="8">
        <v>49.5</v>
      </c>
      <c r="E179" s="8">
        <v>99.0</v>
      </c>
      <c r="F179" s="7" t="s">
        <v>528</v>
      </c>
      <c r="G179" s="6" t="s">
        <v>138</v>
      </c>
      <c r="H179" s="15" t="s">
        <v>41</v>
      </c>
      <c r="I179" s="6" t="s">
        <v>30</v>
      </c>
      <c r="J179" s="6" t="s">
        <v>196</v>
      </c>
      <c r="K179" s="6" t="s">
        <v>197</v>
      </c>
      <c r="L179" s="16" t="str">
        <f t="shared" ref="L179:L181" si="26">HYPERLINK("http://slimages.macys.com/is/image/MCY/15440103 ")</f>
        <v>http://slimages.macys.com/is/image/MCY/15440103 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15" t="s">
        <v>540</v>
      </c>
      <c r="B180" s="6" t="s">
        <v>541</v>
      </c>
      <c r="C180" s="7">
        <v>1.0</v>
      </c>
      <c r="D180" s="8">
        <v>49.5</v>
      </c>
      <c r="E180" s="8">
        <v>49.5</v>
      </c>
      <c r="F180" s="7" t="s">
        <v>528</v>
      </c>
      <c r="G180" s="6" t="s">
        <v>138</v>
      </c>
      <c r="H180" s="15" t="s">
        <v>36</v>
      </c>
      <c r="I180" s="6" t="s">
        <v>30</v>
      </c>
      <c r="J180" s="6" t="s">
        <v>196</v>
      </c>
      <c r="K180" s="6" t="s">
        <v>197</v>
      </c>
      <c r="L180" s="16" t="str">
        <f t="shared" si="26"/>
        <v>http://slimages.macys.com/is/image/MCY/15440103 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15" t="s">
        <v>542</v>
      </c>
      <c r="B181" s="6" t="s">
        <v>543</v>
      </c>
      <c r="C181" s="7">
        <v>4.0</v>
      </c>
      <c r="D181" s="8">
        <v>49.5</v>
      </c>
      <c r="E181" s="8">
        <v>198.0</v>
      </c>
      <c r="F181" s="7" t="s">
        <v>528</v>
      </c>
      <c r="G181" s="6" t="s">
        <v>138</v>
      </c>
      <c r="H181" s="15" t="s">
        <v>65</v>
      </c>
      <c r="I181" s="6" t="s">
        <v>30</v>
      </c>
      <c r="J181" s="6" t="s">
        <v>196</v>
      </c>
      <c r="K181" s="6" t="s">
        <v>197</v>
      </c>
      <c r="L181" s="16" t="str">
        <f t="shared" si="26"/>
        <v>http://slimages.macys.com/is/image/MCY/15440103 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15" t="s">
        <v>544</v>
      </c>
      <c r="B182" s="6" t="s">
        <v>545</v>
      </c>
      <c r="C182" s="7">
        <v>1.0</v>
      </c>
      <c r="D182" s="8">
        <v>44.5</v>
      </c>
      <c r="E182" s="8">
        <v>44.5</v>
      </c>
      <c r="F182" s="7" t="s">
        <v>546</v>
      </c>
      <c r="G182" s="6" t="s">
        <v>204</v>
      </c>
      <c r="H182" s="15" t="s">
        <v>65</v>
      </c>
      <c r="I182" s="6" t="s">
        <v>30</v>
      </c>
      <c r="J182" s="6" t="s">
        <v>196</v>
      </c>
      <c r="K182" s="6" t="s">
        <v>197</v>
      </c>
      <c r="L182" s="16" t="str">
        <f>HYPERLINK("http://slimages.macys.com/is/image/MCY/14888422 ")</f>
        <v>http://slimages.macys.com/is/image/MCY/14888422 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15" t="s">
        <v>547</v>
      </c>
      <c r="B183" s="6" t="s">
        <v>548</v>
      </c>
      <c r="C183" s="7">
        <v>1.0</v>
      </c>
      <c r="D183" s="8">
        <v>34.99</v>
      </c>
      <c r="E183" s="8">
        <v>34.99</v>
      </c>
      <c r="F183" s="7">
        <v>1299905.0</v>
      </c>
      <c r="G183" s="6" t="s">
        <v>549</v>
      </c>
      <c r="H183" s="15" t="s">
        <v>481</v>
      </c>
      <c r="I183" s="6" t="s">
        <v>30</v>
      </c>
      <c r="J183" s="6" t="s">
        <v>482</v>
      </c>
      <c r="K183" s="6" t="s">
        <v>108</v>
      </c>
      <c r="L183" s="16" t="str">
        <f>HYPERLINK("http://slimages.macys.com/is/image/MCY/10143863 ")</f>
        <v>http://slimages.macys.com/is/image/MCY/10143863 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15" t="s">
        <v>550</v>
      </c>
      <c r="B184" s="6" t="s">
        <v>551</v>
      </c>
      <c r="C184" s="7">
        <v>2.0</v>
      </c>
      <c r="D184" s="8">
        <v>44.5</v>
      </c>
      <c r="E184" s="8">
        <v>89.0</v>
      </c>
      <c r="F184" s="7" t="s">
        <v>546</v>
      </c>
      <c r="G184" s="6" t="s">
        <v>64</v>
      </c>
      <c r="H184" s="15" t="s">
        <v>77</v>
      </c>
      <c r="I184" s="6" t="s">
        <v>30</v>
      </c>
      <c r="J184" s="6" t="s">
        <v>196</v>
      </c>
      <c r="K184" s="6" t="s">
        <v>197</v>
      </c>
      <c r="L184" s="16" t="str">
        <f t="shared" ref="L184:L190" si="27">HYPERLINK("http://slimages.macys.com/is/image/MCY/14888422 ")</f>
        <v>http://slimages.macys.com/is/image/MCY/14888422 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15" t="s">
        <v>552</v>
      </c>
      <c r="B185" s="6" t="s">
        <v>553</v>
      </c>
      <c r="C185" s="7">
        <v>1.0</v>
      </c>
      <c r="D185" s="8">
        <v>39.5</v>
      </c>
      <c r="E185" s="8">
        <v>39.5</v>
      </c>
      <c r="F185" s="7" t="s">
        <v>546</v>
      </c>
      <c r="G185" s="6" t="s">
        <v>40</v>
      </c>
      <c r="H185" s="15" t="s">
        <v>36</v>
      </c>
      <c r="I185" s="6" t="s">
        <v>30</v>
      </c>
      <c r="J185" s="6" t="s">
        <v>196</v>
      </c>
      <c r="K185" s="6" t="s">
        <v>197</v>
      </c>
      <c r="L185" s="16" t="str">
        <f t="shared" si="27"/>
        <v>http://slimages.macys.com/is/image/MCY/14888422 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15" t="s">
        <v>554</v>
      </c>
      <c r="B186" s="6" t="s">
        <v>555</v>
      </c>
      <c r="C186" s="7">
        <v>1.0</v>
      </c>
      <c r="D186" s="8">
        <v>39.5</v>
      </c>
      <c r="E186" s="8">
        <v>39.5</v>
      </c>
      <c r="F186" s="7" t="s">
        <v>546</v>
      </c>
      <c r="G186" s="6" t="s">
        <v>40</v>
      </c>
      <c r="H186" s="15" t="s">
        <v>29</v>
      </c>
      <c r="I186" s="6" t="s">
        <v>30</v>
      </c>
      <c r="J186" s="6" t="s">
        <v>196</v>
      </c>
      <c r="K186" s="6" t="s">
        <v>197</v>
      </c>
      <c r="L186" s="16" t="str">
        <f t="shared" si="27"/>
        <v>http://slimages.macys.com/is/image/MCY/14888422 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15" t="s">
        <v>556</v>
      </c>
      <c r="B187" s="6" t="s">
        <v>557</v>
      </c>
      <c r="C187" s="7">
        <v>1.0</v>
      </c>
      <c r="D187" s="8">
        <v>39.5</v>
      </c>
      <c r="E187" s="8">
        <v>39.5</v>
      </c>
      <c r="F187" s="7" t="s">
        <v>546</v>
      </c>
      <c r="G187" s="6" t="s">
        <v>40</v>
      </c>
      <c r="H187" s="15" t="s">
        <v>41</v>
      </c>
      <c r="I187" s="6" t="s">
        <v>30</v>
      </c>
      <c r="J187" s="6" t="s">
        <v>196</v>
      </c>
      <c r="K187" s="6" t="s">
        <v>197</v>
      </c>
      <c r="L187" s="16" t="str">
        <f t="shared" si="27"/>
        <v>http://slimages.macys.com/is/image/MCY/14888422 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15" t="s">
        <v>558</v>
      </c>
      <c r="B188" s="6" t="s">
        <v>559</v>
      </c>
      <c r="C188" s="7">
        <v>1.0</v>
      </c>
      <c r="D188" s="8">
        <v>44.5</v>
      </c>
      <c r="E188" s="8">
        <v>44.5</v>
      </c>
      <c r="F188" s="7" t="s">
        <v>546</v>
      </c>
      <c r="G188" s="6" t="s">
        <v>64</v>
      </c>
      <c r="H188" s="15" t="s">
        <v>65</v>
      </c>
      <c r="I188" s="6" t="s">
        <v>30</v>
      </c>
      <c r="J188" s="6" t="s">
        <v>196</v>
      </c>
      <c r="K188" s="6" t="s">
        <v>197</v>
      </c>
      <c r="L188" s="16" t="str">
        <f t="shared" si="27"/>
        <v>http://slimages.macys.com/is/image/MCY/14888422 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15" t="s">
        <v>560</v>
      </c>
      <c r="B189" s="6" t="s">
        <v>561</v>
      </c>
      <c r="C189" s="7">
        <v>2.0</v>
      </c>
      <c r="D189" s="8">
        <v>44.5</v>
      </c>
      <c r="E189" s="8">
        <v>89.0</v>
      </c>
      <c r="F189" s="7" t="s">
        <v>546</v>
      </c>
      <c r="G189" s="6" t="s">
        <v>64</v>
      </c>
      <c r="H189" s="15" t="s">
        <v>41</v>
      </c>
      <c r="I189" s="6" t="s">
        <v>30</v>
      </c>
      <c r="J189" s="6" t="s">
        <v>196</v>
      </c>
      <c r="K189" s="6" t="s">
        <v>197</v>
      </c>
      <c r="L189" s="16" t="str">
        <f t="shared" si="27"/>
        <v>http://slimages.macys.com/is/image/MCY/14888422 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15" t="s">
        <v>562</v>
      </c>
      <c r="B190" s="6" t="s">
        <v>563</v>
      </c>
      <c r="C190" s="7">
        <v>1.0</v>
      </c>
      <c r="D190" s="8">
        <v>44.5</v>
      </c>
      <c r="E190" s="8">
        <v>44.5</v>
      </c>
      <c r="F190" s="7" t="s">
        <v>546</v>
      </c>
      <c r="G190" s="6" t="s">
        <v>64</v>
      </c>
      <c r="H190" s="15" t="s">
        <v>36</v>
      </c>
      <c r="I190" s="6" t="s">
        <v>30</v>
      </c>
      <c r="J190" s="6" t="s">
        <v>196</v>
      </c>
      <c r="K190" s="6" t="s">
        <v>197</v>
      </c>
      <c r="L190" s="16" t="str">
        <f t="shared" si="27"/>
        <v>http://slimages.macys.com/is/image/MCY/14888422 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15" t="s">
        <v>564</v>
      </c>
      <c r="B191" s="6" t="s">
        <v>565</v>
      </c>
      <c r="C191" s="7">
        <v>1.0</v>
      </c>
      <c r="D191" s="8">
        <v>49.5</v>
      </c>
      <c r="E191" s="8">
        <v>49.5</v>
      </c>
      <c r="F191" s="7" t="s">
        <v>566</v>
      </c>
      <c r="G191" s="6" t="s">
        <v>371</v>
      </c>
      <c r="H191" s="15" t="s">
        <v>65</v>
      </c>
      <c r="I191" s="6" t="s">
        <v>30</v>
      </c>
      <c r="J191" s="6" t="s">
        <v>351</v>
      </c>
      <c r="K191" s="6" t="s">
        <v>352</v>
      </c>
      <c r="L191" s="16" t="str">
        <f>HYPERLINK("http://slimages.macys.com/is/image/MCY/16700768 ")</f>
        <v>http://slimages.macys.com/is/image/MCY/16700768 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15" t="s">
        <v>567</v>
      </c>
      <c r="B192" s="6" t="s">
        <v>568</v>
      </c>
      <c r="C192" s="7">
        <v>1.0</v>
      </c>
      <c r="D192" s="8">
        <v>59.5</v>
      </c>
      <c r="E192" s="8">
        <v>59.5</v>
      </c>
      <c r="F192" s="7" t="s">
        <v>569</v>
      </c>
      <c r="G192" s="6" t="s">
        <v>265</v>
      </c>
      <c r="H192" s="15" t="s">
        <v>173</v>
      </c>
      <c r="I192" s="6" t="s">
        <v>30</v>
      </c>
      <c r="J192" s="6" t="s">
        <v>174</v>
      </c>
      <c r="K192" s="6" t="s">
        <v>175</v>
      </c>
      <c r="L192" s="16" t="str">
        <f t="shared" ref="L192:L193" si="28">HYPERLINK("http://slimages.macys.com/is/image/MCY/14599138 ")</f>
        <v>http://slimages.macys.com/is/image/MCY/14599138 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15" t="s">
        <v>570</v>
      </c>
      <c r="B193" s="6" t="s">
        <v>571</v>
      </c>
      <c r="C193" s="7">
        <v>1.0</v>
      </c>
      <c r="D193" s="8">
        <v>59.5</v>
      </c>
      <c r="E193" s="8">
        <v>59.5</v>
      </c>
      <c r="F193" s="7" t="s">
        <v>569</v>
      </c>
      <c r="G193" s="6" t="s">
        <v>265</v>
      </c>
      <c r="H193" s="15" t="s">
        <v>328</v>
      </c>
      <c r="I193" s="6" t="s">
        <v>30</v>
      </c>
      <c r="J193" s="6" t="s">
        <v>174</v>
      </c>
      <c r="K193" s="6" t="s">
        <v>175</v>
      </c>
      <c r="L193" s="16" t="str">
        <f t="shared" si="28"/>
        <v>http://slimages.macys.com/is/image/MCY/14599138 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15" t="s">
        <v>572</v>
      </c>
      <c r="B194" s="6" t="s">
        <v>573</v>
      </c>
      <c r="C194" s="7">
        <v>1.0</v>
      </c>
      <c r="D194" s="8">
        <v>30.0</v>
      </c>
      <c r="E194" s="8">
        <v>30.0</v>
      </c>
      <c r="F194" s="7">
        <v>847761.0</v>
      </c>
      <c r="G194" s="6" t="s">
        <v>574</v>
      </c>
      <c r="H194" s="15" t="s">
        <v>54</v>
      </c>
      <c r="I194" s="6" t="s">
        <v>30</v>
      </c>
      <c r="J194" s="6" t="s">
        <v>55</v>
      </c>
      <c r="K194" s="6" t="s">
        <v>56</v>
      </c>
      <c r="L194" s="16" t="str">
        <f>HYPERLINK("http://slimages.macys.com/is/image/MCY/14880958 ")</f>
        <v>http://slimages.macys.com/is/image/MCY/14880958 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15" t="s">
        <v>575</v>
      </c>
      <c r="B195" s="6" t="s">
        <v>576</v>
      </c>
      <c r="C195" s="7">
        <v>1.0</v>
      </c>
      <c r="D195" s="8">
        <v>24.5</v>
      </c>
      <c r="E195" s="8">
        <v>24.5</v>
      </c>
      <c r="F195" s="7">
        <v>1.0000756E8</v>
      </c>
      <c r="G195" s="6" t="s">
        <v>93</v>
      </c>
      <c r="H195" s="15" t="s">
        <v>106</v>
      </c>
      <c r="I195" s="6" t="s">
        <v>30</v>
      </c>
      <c r="J195" s="6" t="s">
        <v>196</v>
      </c>
      <c r="K195" s="6" t="s">
        <v>197</v>
      </c>
      <c r="L195" s="16" t="str">
        <f t="shared" ref="L195:L196" si="29">HYPERLINK("http://slimages.macys.com/is/image/MCY/9777358 ")</f>
        <v>http://slimages.macys.com/is/image/MCY/9777358 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15" t="s">
        <v>577</v>
      </c>
      <c r="B196" s="6" t="s">
        <v>578</v>
      </c>
      <c r="C196" s="7">
        <v>1.0</v>
      </c>
      <c r="D196" s="8">
        <v>24.5</v>
      </c>
      <c r="E196" s="8">
        <v>24.5</v>
      </c>
      <c r="F196" s="7">
        <v>1.0000756E8</v>
      </c>
      <c r="G196" s="6" t="s">
        <v>93</v>
      </c>
      <c r="H196" s="15" t="s">
        <v>36</v>
      </c>
      <c r="I196" s="6" t="s">
        <v>30</v>
      </c>
      <c r="J196" s="6" t="s">
        <v>196</v>
      </c>
      <c r="K196" s="6" t="s">
        <v>197</v>
      </c>
      <c r="L196" s="16" t="str">
        <f t="shared" si="29"/>
        <v>http://slimages.macys.com/is/image/MCY/9777358 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15" t="s">
        <v>579</v>
      </c>
      <c r="B197" s="6" t="s">
        <v>580</v>
      </c>
      <c r="C197" s="7">
        <v>1.0</v>
      </c>
      <c r="D197" s="8">
        <v>39.0</v>
      </c>
      <c r="E197" s="8">
        <v>39.0</v>
      </c>
      <c r="F197" s="7" t="s">
        <v>581</v>
      </c>
      <c r="G197" s="6" t="s">
        <v>86</v>
      </c>
      <c r="H197" s="15" t="s">
        <v>41</v>
      </c>
      <c r="I197" s="6" t="s">
        <v>30</v>
      </c>
      <c r="J197" s="6" t="s">
        <v>42</v>
      </c>
      <c r="K197" s="6" t="s">
        <v>43</v>
      </c>
      <c r="L197" s="16" t="str">
        <f>HYPERLINK("http://slimages.macys.com/is/image/MCY/16601272 ")</f>
        <v>http://slimages.macys.com/is/image/MCY/16601272 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15" t="s">
        <v>582</v>
      </c>
      <c r="B198" s="6" t="s">
        <v>583</v>
      </c>
      <c r="C198" s="7">
        <v>1.0</v>
      </c>
      <c r="D198" s="8">
        <v>39.0</v>
      </c>
      <c r="E198" s="8">
        <v>39.0</v>
      </c>
      <c r="F198" s="7" t="s">
        <v>584</v>
      </c>
      <c r="G198" s="6" t="s">
        <v>585</v>
      </c>
      <c r="H198" s="15" t="s">
        <v>77</v>
      </c>
      <c r="I198" s="6" t="s">
        <v>30</v>
      </c>
      <c r="J198" s="6" t="s">
        <v>42</v>
      </c>
      <c r="K198" s="6" t="s">
        <v>43</v>
      </c>
      <c r="L198" s="16" t="str">
        <f>HYPERLINK("http://slimages.macys.com/is/image/MCY/14425663 ")</f>
        <v>http://slimages.macys.com/is/image/MCY/14425663 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15" t="s">
        <v>586</v>
      </c>
      <c r="B199" s="6" t="s">
        <v>587</v>
      </c>
      <c r="C199" s="7">
        <v>1.0</v>
      </c>
      <c r="D199" s="8">
        <v>39.5</v>
      </c>
      <c r="E199" s="8">
        <v>39.5</v>
      </c>
      <c r="F199" s="7" t="s">
        <v>588</v>
      </c>
      <c r="G199" s="6" t="s">
        <v>446</v>
      </c>
      <c r="H199" s="15" t="s">
        <v>36</v>
      </c>
      <c r="I199" s="6" t="s">
        <v>30</v>
      </c>
      <c r="J199" s="6" t="s">
        <v>196</v>
      </c>
      <c r="K199" s="6" t="s">
        <v>197</v>
      </c>
      <c r="L199" s="16" t="str">
        <f>HYPERLINK("http://slimages.macys.com/is/image/MCY/15179733 ")</f>
        <v>http://slimages.macys.com/is/image/MCY/15179733 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15" t="s">
        <v>589</v>
      </c>
      <c r="B200" s="6" t="s">
        <v>590</v>
      </c>
      <c r="C200" s="7">
        <v>1.0</v>
      </c>
      <c r="D200" s="8">
        <v>49.5</v>
      </c>
      <c r="E200" s="8">
        <v>49.5</v>
      </c>
      <c r="F200" s="7" t="s">
        <v>591</v>
      </c>
      <c r="G200" s="6" t="s">
        <v>204</v>
      </c>
      <c r="H200" s="15" t="s">
        <v>41</v>
      </c>
      <c r="I200" s="6" t="s">
        <v>30</v>
      </c>
      <c r="J200" s="6" t="s">
        <v>196</v>
      </c>
      <c r="K200" s="6" t="s">
        <v>197</v>
      </c>
      <c r="L200" s="16" t="str">
        <f t="shared" ref="L200:L209" si="30">HYPERLINK("http://slimages.macys.com/is/image/MCY/11075287 ")</f>
        <v>http://slimages.macys.com/is/image/MCY/11075287 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15" t="s">
        <v>592</v>
      </c>
      <c r="B201" s="6" t="s">
        <v>593</v>
      </c>
      <c r="C201" s="7">
        <v>1.0</v>
      </c>
      <c r="D201" s="8">
        <v>49.5</v>
      </c>
      <c r="E201" s="8">
        <v>49.5</v>
      </c>
      <c r="F201" s="7" t="s">
        <v>591</v>
      </c>
      <c r="G201" s="6" t="s">
        <v>594</v>
      </c>
      <c r="H201" s="15" t="s">
        <v>36</v>
      </c>
      <c r="I201" s="6" t="s">
        <v>30</v>
      </c>
      <c r="J201" s="6" t="s">
        <v>196</v>
      </c>
      <c r="K201" s="6" t="s">
        <v>197</v>
      </c>
      <c r="L201" s="16" t="str">
        <f t="shared" si="30"/>
        <v>http://slimages.macys.com/is/image/MCY/11075287 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15" t="s">
        <v>595</v>
      </c>
      <c r="B202" s="6" t="s">
        <v>596</v>
      </c>
      <c r="C202" s="7">
        <v>1.0</v>
      </c>
      <c r="D202" s="8">
        <v>49.5</v>
      </c>
      <c r="E202" s="8">
        <v>49.5</v>
      </c>
      <c r="F202" s="7" t="s">
        <v>591</v>
      </c>
      <c r="G202" s="6" t="s">
        <v>379</v>
      </c>
      <c r="H202" s="15" t="s">
        <v>29</v>
      </c>
      <c r="I202" s="6" t="s">
        <v>30</v>
      </c>
      <c r="J202" s="6" t="s">
        <v>196</v>
      </c>
      <c r="K202" s="6" t="s">
        <v>197</v>
      </c>
      <c r="L202" s="16" t="str">
        <f t="shared" si="30"/>
        <v>http://slimages.macys.com/is/image/MCY/11075287 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15" t="s">
        <v>597</v>
      </c>
      <c r="B203" s="6" t="s">
        <v>598</v>
      </c>
      <c r="C203" s="7">
        <v>1.0</v>
      </c>
      <c r="D203" s="8">
        <v>49.5</v>
      </c>
      <c r="E203" s="8">
        <v>49.5</v>
      </c>
      <c r="F203" s="7" t="s">
        <v>591</v>
      </c>
      <c r="G203" s="6" t="s">
        <v>594</v>
      </c>
      <c r="H203" s="15" t="s">
        <v>29</v>
      </c>
      <c r="I203" s="6" t="s">
        <v>30</v>
      </c>
      <c r="J203" s="6" t="s">
        <v>196</v>
      </c>
      <c r="K203" s="6" t="s">
        <v>197</v>
      </c>
      <c r="L203" s="16" t="str">
        <f t="shared" si="30"/>
        <v>http://slimages.macys.com/is/image/MCY/11075287 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15" t="s">
        <v>599</v>
      </c>
      <c r="B204" s="6" t="s">
        <v>600</v>
      </c>
      <c r="C204" s="7">
        <v>3.0</v>
      </c>
      <c r="D204" s="8">
        <v>49.5</v>
      </c>
      <c r="E204" s="8">
        <v>148.5</v>
      </c>
      <c r="F204" s="7" t="s">
        <v>591</v>
      </c>
      <c r="G204" s="6" t="s">
        <v>594</v>
      </c>
      <c r="H204" s="15" t="s">
        <v>77</v>
      </c>
      <c r="I204" s="6" t="s">
        <v>30</v>
      </c>
      <c r="J204" s="6" t="s">
        <v>196</v>
      </c>
      <c r="K204" s="6" t="s">
        <v>197</v>
      </c>
      <c r="L204" s="16" t="str">
        <f t="shared" si="30"/>
        <v>http://slimages.macys.com/is/image/MCY/11075287 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15" t="s">
        <v>601</v>
      </c>
      <c r="B205" s="6" t="s">
        <v>602</v>
      </c>
      <c r="C205" s="7">
        <v>4.0</v>
      </c>
      <c r="D205" s="8">
        <v>49.5</v>
      </c>
      <c r="E205" s="8">
        <v>198.0</v>
      </c>
      <c r="F205" s="7" t="s">
        <v>591</v>
      </c>
      <c r="G205" s="6" t="s">
        <v>594</v>
      </c>
      <c r="H205" s="15" t="s">
        <v>65</v>
      </c>
      <c r="I205" s="6" t="s">
        <v>30</v>
      </c>
      <c r="J205" s="6" t="s">
        <v>196</v>
      </c>
      <c r="K205" s="6" t="s">
        <v>197</v>
      </c>
      <c r="L205" s="16" t="str">
        <f t="shared" si="30"/>
        <v>http://slimages.macys.com/is/image/MCY/11075287 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15" t="s">
        <v>603</v>
      </c>
      <c r="B206" s="6" t="s">
        <v>604</v>
      </c>
      <c r="C206" s="7">
        <v>1.0</v>
      </c>
      <c r="D206" s="8">
        <v>49.5</v>
      </c>
      <c r="E206" s="8">
        <v>49.5</v>
      </c>
      <c r="F206" s="7" t="s">
        <v>591</v>
      </c>
      <c r="G206" s="6" t="s">
        <v>337</v>
      </c>
      <c r="H206" s="15" t="s">
        <v>36</v>
      </c>
      <c r="I206" s="6" t="s">
        <v>30</v>
      </c>
      <c r="J206" s="6" t="s">
        <v>196</v>
      </c>
      <c r="K206" s="6" t="s">
        <v>197</v>
      </c>
      <c r="L206" s="16" t="str">
        <f t="shared" si="30"/>
        <v>http://slimages.macys.com/is/image/MCY/11075287 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15" t="s">
        <v>605</v>
      </c>
      <c r="B207" s="6" t="s">
        <v>606</v>
      </c>
      <c r="C207" s="7">
        <v>3.0</v>
      </c>
      <c r="D207" s="8">
        <v>49.5</v>
      </c>
      <c r="E207" s="8">
        <v>148.5</v>
      </c>
      <c r="F207" s="7" t="s">
        <v>591</v>
      </c>
      <c r="G207" s="6" t="s">
        <v>337</v>
      </c>
      <c r="H207" s="15" t="s">
        <v>65</v>
      </c>
      <c r="I207" s="6" t="s">
        <v>30</v>
      </c>
      <c r="J207" s="6" t="s">
        <v>196</v>
      </c>
      <c r="K207" s="6" t="s">
        <v>197</v>
      </c>
      <c r="L207" s="16" t="str">
        <f t="shared" si="30"/>
        <v>http://slimages.macys.com/is/image/MCY/11075287 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15" t="s">
        <v>607</v>
      </c>
      <c r="B208" s="6" t="s">
        <v>608</v>
      </c>
      <c r="C208" s="7">
        <v>1.0</v>
      </c>
      <c r="D208" s="8">
        <v>49.5</v>
      </c>
      <c r="E208" s="8">
        <v>49.5</v>
      </c>
      <c r="F208" s="7" t="s">
        <v>591</v>
      </c>
      <c r="G208" s="6" t="s">
        <v>337</v>
      </c>
      <c r="H208" s="15" t="s">
        <v>77</v>
      </c>
      <c r="I208" s="6" t="s">
        <v>30</v>
      </c>
      <c r="J208" s="6" t="s">
        <v>196</v>
      </c>
      <c r="K208" s="6" t="s">
        <v>197</v>
      </c>
      <c r="L208" s="16" t="str">
        <f t="shared" si="30"/>
        <v>http://slimages.macys.com/is/image/MCY/11075287 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15" t="s">
        <v>609</v>
      </c>
      <c r="B209" s="6" t="s">
        <v>610</v>
      </c>
      <c r="C209" s="7">
        <v>3.0</v>
      </c>
      <c r="D209" s="8">
        <v>49.5</v>
      </c>
      <c r="E209" s="8">
        <v>148.5</v>
      </c>
      <c r="F209" s="7" t="s">
        <v>591</v>
      </c>
      <c r="G209" s="6" t="s">
        <v>337</v>
      </c>
      <c r="H209" s="15" t="s">
        <v>41</v>
      </c>
      <c r="I209" s="6" t="s">
        <v>30</v>
      </c>
      <c r="J209" s="6" t="s">
        <v>196</v>
      </c>
      <c r="K209" s="6" t="s">
        <v>197</v>
      </c>
      <c r="L209" s="16" t="str">
        <f t="shared" si="30"/>
        <v>http://slimages.macys.com/is/image/MCY/11075287 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15" t="s">
        <v>611</v>
      </c>
      <c r="B210" s="6" t="s">
        <v>612</v>
      </c>
      <c r="C210" s="7">
        <v>1.0</v>
      </c>
      <c r="D210" s="8">
        <v>39.5</v>
      </c>
      <c r="E210" s="8">
        <v>39.5</v>
      </c>
      <c r="F210" s="7">
        <v>1.00022588E10</v>
      </c>
      <c r="G210" s="6" t="s">
        <v>40</v>
      </c>
      <c r="H210" s="15" t="s">
        <v>36</v>
      </c>
      <c r="I210" s="6" t="s">
        <v>30</v>
      </c>
      <c r="J210" s="6" t="s">
        <v>196</v>
      </c>
      <c r="K210" s="6" t="s">
        <v>197</v>
      </c>
      <c r="L210" s="16" t="str">
        <f>HYPERLINK("http://slimages.macys.com/is/image/MCY/14885612 ")</f>
        <v>http://slimages.macys.com/is/image/MCY/14885612 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15" t="s">
        <v>613</v>
      </c>
      <c r="B211" s="6" t="s">
        <v>614</v>
      </c>
      <c r="C211" s="7">
        <v>1.0</v>
      </c>
      <c r="D211" s="8">
        <v>34.0</v>
      </c>
      <c r="E211" s="8">
        <v>34.0</v>
      </c>
      <c r="F211" s="7" t="s">
        <v>615</v>
      </c>
      <c r="G211" s="6" t="s">
        <v>161</v>
      </c>
      <c r="H211" s="15" t="s">
        <v>106</v>
      </c>
      <c r="I211" s="6" t="s">
        <v>30</v>
      </c>
      <c r="J211" s="6" t="s">
        <v>55</v>
      </c>
      <c r="K211" s="6" t="s">
        <v>89</v>
      </c>
      <c r="L211" s="16" t="str">
        <f>HYPERLINK("http://slimages.macys.com/is/image/MCY/9616069 ")</f>
        <v>http://slimages.macys.com/is/image/MCY/9616069 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15" t="s">
        <v>616</v>
      </c>
      <c r="B212" s="6" t="s">
        <v>617</v>
      </c>
      <c r="C212" s="7">
        <v>1.0</v>
      </c>
      <c r="D212" s="8">
        <v>46.0</v>
      </c>
      <c r="E212" s="8">
        <v>46.0</v>
      </c>
      <c r="F212" s="7" t="s">
        <v>618</v>
      </c>
      <c r="G212" s="6" t="s">
        <v>446</v>
      </c>
      <c r="H212" s="15" t="s">
        <v>101</v>
      </c>
      <c r="I212" s="6" t="s">
        <v>30</v>
      </c>
      <c r="J212" s="6" t="s">
        <v>31</v>
      </c>
      <c r="K212" s="6" t="s">
        <v>619</v>
      </c>
      <c r="L212" s="16" t="str">
        <f t="shared" ref="L212:L213" si="31">HYPERLINK("http://slimages.macys.com/is/image/MCY/14718486 ")</f>
        <v>http://slimages.macys.com/is/image/MCY/14718486 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15" t="s">
        <v>620</v>
      </c>
      <c r="B213" s="6" t="s">
        <v>621</v>
      </c>
      <c r="C213" s="7">
        <v>1.0</v>
      </c>
      <c r="D213" s="8">
        <v>46.0</v>
      </c>
      <c r="E213" s="8">
        <v>46.0</v>
      </c>
      <c r="F213" s="7" t="s">
        <v>618</v>
      </c>
      <c r="G213" s="6" t="s">
        <v>53</v>
      </c>
      <c r="H213" s="15" t="s">
        <v>77</v>
      </c>
      <c r="I213" s="6" t="s">
        <v>30</v>
      </c>
      <c r="J213" s="6" t="s">
        <v>31</v>
      </c>
      <c r="K213" s="6" t="s">
        <v>619</v>
      </c>
      <c r="L213" s="16" t="str">
        <f t="shared" si="31"/>
        <v>http://slimages.macys.com/is/image/MCY/14718486 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15" t="s">
        <v>622</v>
      </c>
      <c r="B214" s="6" t="s">
        <v>623</v>
      </c>
      <c r="C214" s="7">
        <v>1.0</v>
      </c>
      <c r="D214" s="8">
        <v>39.5</v>
      </c>
      <c r="E214" s="8">
        <v>39.5</v>
      </c>
      <c r="F214" s="7" t="s">
        <v>624</v>
      </c>
      <c r="G214" s="6" t="s">
        <v>86</v>
      </c>
      <c r="H214" s="15" t="s">
        <v>29</v>
      </c>
      <c r="I214" s="6" t="s">
        <v>30</v>
      </c>
      <c r="J214" s="6" t="s">
        <v>196</v>
      </c>
      <c r="K214" s="6" t="s">
        <v>197</v>
      </c>
      <c r="L214" s="16" t="str">
        <f t="shared" ref="L214:L216" si="32">HYPERLINK("http://slimages.macys.com/is/image/MCY/16292112 ")</f>
        <v>http://slimages.macys.com/is/image/MCY/16292112 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15" t="s">
        <v>625</v>
      </c>
      <c r="B215" s="6" t="s">
        <v>626</v>
      </c>
      <c r="C215" s="7">
        <v>1.0</v>
      </c>
      <c r="D215" s="8">
        <v>39.5</v>
      </c>
      <c r="E215" s="8">
        <v>39.5</v>
      </c>
      <c r="F215" s="7" t="s">
        <v>624</v>
      </c>
      <c r="G215" s="6" t="s">
        <v>86</v>
      </c>
      <c r="H215" s="15" t="s">
        <v>65</v>
      </c>
      <c r="I215" s="6" t="s">
        <v>30</v>
      </c>
      <c r="J215" s="6" t="s">
        <v>196</v>
      </c>
      <c r="K215" s="6" t="s">
        <v>197</v>
      </c>
      <c r="L215" s="16" t="str">
        <f t="shared" si="32"/>
        <v>http://slimages.macys.com/is/image/MCY/16292112 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15" t="s">
        <v>627</v>
      </c>
      <c r="B216" s="6" t="s">
        <v>628</v>
      </c>
      <c r="C216" s="7">
        <v>1.0</v>
      </c>
      <c r="D216" s="8">
        <v>39.5</v>
      </c>
      <c r="E216" s="8">
        <v>39.5</v>
      </c>
      <c r="F216" s="7" t="s">
        <v>624</v>
      </c>
      <c r="G216" s="6" t="s">
        <v>86</v>
      </c>
      <c r="H216" s="15" t="s">
        <v>77</v>
      </c>
      <c r="I216" s="6" t="s">
        <v>30</v>
      </c>
      <c r="J216" s="6" t="s">
        <v>196</v>
      </c>
      <c r="K216" s="6" t="s">
        <v>197</v>
      </c>
      <c r="L216" s="16" t="str">
        <f t="shared" si="32"/>
        <v>http://slimages.macys.com/is/image/MCY/16292112 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15" t="s">
        <v>629</v>
      </c>
      <c r="B217" s="6" t="s">
        <v>630</v>
      </c>
      <c r="C217" s="7">
        <v>1.0</v>
      </c>
      <c r="D217" s="8">
        <v>39.5</v>
      </c>
      <c r="E217" s="8">
        <v>39.5</v>
      </c>
      <c r="F217" s="7">
        <v>1.00022588E10</v>
      </c>
      <c r="G217" s="6" t="s">
        <v>510</v>
      </c>
      <c r="H217" s="15" t="s">
        <v>77</v>
      </c>
      <c r="I217" s="6" t="s">
        <v>30</v>
      </c>
      <c r="J217" s="6" t="s">
        <v>196</v>
      </c>
      <c r="K217" s="6" t="s">
        <v>197</v>
      </c>
      <c r="L217" s="16" t="str">
        <f t="shared" ref="L217:L218" si="33">HYPERLINK("http://slimages.macys.com/is/image/MCY/14885612 ")</f>
        <v>http://slimages.macys.com/is/image/MCY/14885612 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15" t="s">
        <v>631</v>
      </c>
      <c r="B218" s="6" t="s">
        <v>632</v>
      </c>
      <c r="C218" s="7">
        <v>1.0</v>
      </c>
      <c r="D218" s="8">
        <v>39.5</v>
      </c>
      <c r="E218" s="8">
        <v>39.5</v>
      </c>
      <c r="F218" s="7">
        <v>1.00022588E10</v>
      </c>
      <c r="G218" s="6" t="s">
        <v>510</v>
      </c>
      <c r="H218" s="15" t="s">
        <v>65</v>
      </c>
      <c r="I218" s="6" t="s">
        <v>30</v>
      </c>
      <c r="J218" s="6" t="s">
        <v>196</v>
      </c>
      <c r="K218" s="6" t="s">
        <v>197</v>
      </c>
      <c r="L218" s="16" t="str">
        <f t="shared" si="33"/>
        <v>http://slimages.macys.com/is/image/MCY/14885612 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15" t="s">
        <v>633</v>
      </c>
      <c r="B219" s="6" t="s">
        <v>634</v>
      </c>
      <c r="C219" s="7">
        <v>1.0</v>
      </c>
      <c r="D219" s="8">
        <v>34.5</v>
      </c>
      <c r="E219" s="8">
        <v>34.5</v>
      </c>
      <c r="F219" s="7" t="s">
        <v>635</v>
      </c>
      <c r="G219" s="6" t="s">
        <v>289</v>
      </c>
      <c r="H219" s="15" t="s">
        <v>54</v>
      </c>
      <c r="I219" s="6" t="s">
        <v>30</v>
      </c>
      <c r="J219" s="6" t="s">
        <v>174</v>
      </c>
      <c r="K219" s="6" t="s">
        <v>175</v>
      </c>
      <c r="L219" s="16" t="str">
        <f>HYPERLINK("http://slimages.macys.com/is/image/MCY/13330948 ")</f>
        <v>http://slimages.macys.com/is/image/MCY/13330948 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15" t="s">
        <v>636</v>
      </c>
      <c r="B220" s="6" t="s">
        <v>637</v>
      </c>
      <c r="C220" s="7">
        <v>1.0</v>
      </c>
      <c r="D220" s="8">
        <v>25.0</v>
      </c>
      <c r="E220" s="8">
        <v>25.0</v>
      </c>
      <c r="F220" s="7" t="s">
        <v>638</v>
      </c>
      <c r="G220" s="6" t="s">
        <v>86</v>
      </c>
      <c r="H220" s="15" t="s">
        <v>106</v>
      </c>
      <c r="I220" s="6" t="s">
        <v>30</v>
      </c>
      <c r="J220" s="6" t="s">
        <v>182</v>
      </c>
      <c r="K220" s="6" t="s">
        <v>183</v>
      </c>
      <c r="L220" s="16" t="str">
        <f>HYPERLINK("http://slimages.macys.com/is/image/MCY/12270129 ")</f>
        <v>http://slimages.macys.com/is/image/MCY/12270129 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15" t="s">
        <v>639</v>
      </c>
      <c r="B221" s="6" t="s">
        <v>640</v>
      </c>
      <c r="C221" s="7">
        <v>1.0</v>
      </c>
      <c r="D221" s="8">
        <v>25.0</v>
      </c>
      <c r="E221" s="8">
        <v>25.0</v>
      </c>
      <c r="F221" s="7" t="s">
        <v>641</v>
      </c>
      <c r="G221" s="6" t="s">
        <v>337</v>
      </c>
      <c r="H221" s="15" t="s">
        <v>642</v>
      </c>
      <c r="I221" s="6" t="s">
        <v>30</v>
      </c>
      <c r="J221" s="6" t="s">
        <v>182</v>
      </c>
      <c r="K221" s="6" t="s">
        <v>183</v>
      </c>
      <c r="L221" s="16" t="str">
        <f>HYPERLINK("http://slimages.macys.com/is/image/MCY/9291154 ")</f>
        <v>http://slimages.macys.com/is/image/MCY/9291154 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15" t="s">
        <v>643</v>
      </c>
      <c r="B222" s="6" t="s">
        <v>644</v>
      </c>
      <c r="C222" s="7">
        <v>1.0</v>
      </c>
      <c r="D222" s="8">
        <v>39.5</v>
      </c>
      <c r="E222" s="8">
        <v>39.5</v>
      </c>
      <c r="F222" s="7" t="s">
        <v>645</v>
      </c>
      <c r="G222" s="6" t="s">
        <v>289</v>
      </c>
      <c r="H222" s="15" t="s">
        <v>41</v>
      </c>
      <c r="I222" s="6" t="s">
        <v>30</v>
      </c>
      <c r="J222" s="6" t="s">
        <v>196</v>
      </c>
      <c r="K222" s="6" t="s">
        <v>197</v>
      </c>
      <c r="L222" s="16" t="str">
        <f>HYPERLINK("http://slimages.macys.com/is/image/MCY/16304722 ")</f>
        <v>http://slimages.macys.com/is/image/MCY/16304722 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15" t="s">
        <v>646</v>
      </c>
      <c r="B223" s="6" t="s">
        <v>647</v>
      </c>
      <c r="C223" s="7">
        <v>1.0</v>
      </c>
      <c r="D223" s="8">
        <v>39.5</v>
      </c>
      <c r="E223" s="8">
        <v>39.5</v>
      </c>
      <c r="F223" s="7" t="s">
        <v>648</v>
      </c>
      <c r="G223" s="6" t="s">
        <v>35</v>
      </c>
      <c r="H223" s="15" t="s">
        <v>173</v>
      </c>
      <c r="I223" s="6" t="s">
        <v>30</v>
      </c>
      <c r="J223" s="6" t="s">
        <v>174</v>
      </c>
      <c r="K223" s="6" t="s">
        <v>175</v>
      </c>
      <c r="L223" s="16" t="str">
        <f>HYPERLINK("http://slimages.macys.com/is/image/MCY/14473300 ")</f>
        <v>http://slimages.macys.com/is/image/MCY/14473300 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15" t="s">
        <v>649</v>
      </c>
      <c r="B224" s="6" t="s">
        <v>650</v>
      </c>
      <c r="C224" s="7">
        <v>1.0</v>
      </c>
      <c r="D224" s="8">
        <v>29.5</v>
      </c>
      <c r="E224" s="8">
        <v>29.5</v>
      </c>
      <c r="F224" s="7" t="s">
        <v>651</v>
      </c>
      <c r="G224" s="6" t="s">
        <v>93</v>
      </c>
      <c r="H224" s="15" t="s">
        <v>106</v>
      </c>
      <c r="I224" s="6" t="s">
        <v>30</v>
      </c>
      <c r="J224" s="6" t="s">
        <v>196</v>
      </c>
      <c r="K224" s="6" t="s">
        <v>197</v>
      </c>
      <c r="L224" s="16" t="str">
        <f>HYPERLINK("http://slimages.macys.com/is/image/MCY/13330865 ")</f>
        <v>http://slimages.macys.com/is/image/MCY/13330865 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15" t="s">
        <v>652</v>
      </c>
      <c r="B225" s="6" t="s">
        <v>653</v>
      </c>
      <c r="C225" s="7">
        <v>1.0</v>
      </c>
      <c r="D225" s="8">
        <v>30.0</v>
      </c>
      <c r="E225" s="8">
        <v>30.0</v>
      </c>
      <c r="F225" s="7">
        <v>1859951.0</v>
      </c>
      <c r="G225" s="6" t="s">
        <v>379</v>
      </c>
      <c r="H225" s="15"/>
      <c r="I225" s="6" t="s">
        <v>30</v>
      </c>
      <c r="J225" s="6" t="s">
        <v>31</v>
      </c>
      <c r="K225" s="6" t="s">
        <v>32</v>
      </c>
      <c r="L225" s="16" t="str">
        <f t="shared" ref="L225:L227" si="34">HYPERLINK("http://slimages.macys.com/is/image/MCY/15069065 ")</f>
        <v>http://slimages.macys.com/is/image/MCY/15069065 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15" t="s">
        <v>654</v>
      </c>
      <c r="B226" s="6" t="s">
        <v>655</v>
      </c>
      <c r="C226" s="7">
        <v>3.0</v>
      </c>
      <c r="D226" s="8">
        <v>30.0</v>
      </c>
      <c r="E226" s="8">
        <v>90.0</v>
      </c>
      <c r="F226" s="7">
        <v>1859951.0</v>
      </c>
      <c r="G226" s="6" t="s">
        <v>379</v>
      </c>
      <c r="H226" s="15"/>
      <c r="I226" s="6" t="s">
        <v>30</v>
      </c>
      <c r="J226" s="6" t="s">
        <v>31</v>
      </c>
      <c r="K226" s="6" t="s">
        <v>32</v>
      </c>
      <c r="L226" s="16" t="str">
        <f t="shared" si="34"/>
        <v>http://slimages.macys.com/is/image/MCY/15069065 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15" t="s">
        <v>656</v>
      </c>
      <c r="B227" s="6" t="s">
        <v>657</v>
      </c>
      <c r="C227" s="7">
        <v>1.0</v>
      </c>
      <c r="D227" s="8">
        <v>30.0</v>
      </c>
      <c r="E227" s="8">
        <v>30.0</v>
      </c>
      <c r="F227" s="7">
        <v>1859951.0</v>
      </c>
      <c r="G227" s="6" t="s">
        <v>258</v>
      </c>
      <c r="H227" s="15"/>
      <c r="I227" s="6" t="s">
        <v>30</v>
      </c>
      <c r="J227" s="6" t="s">
        <v>31</v>
      </c>
      <c r="K227" s="6" t="s">
        <v>32</v>
      </c>
      <c r="L227" s="16" t="str">
        <f t="shared" si="34"/>
        <v>http://slimages.macys.com/is/image/MCY/15069065 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15" t="s">
        <v>658</v>
      </c>
      <c r="B228" s="6" t="s">
        <v>659</v>
      </c>
      <c r="C228" s="7">
        <v>2.0</v>
      </c>
      <c r="D228" s="8">
        <v>25.0</v>
      </c>
      <c r="E228" s="8">
        <v>50.0</v>
      </c>
      <c r="F228" s="7">
        <v>1806581.0</v>
      </c>
      <c r="G228" s="6" t="s">
        <v>337</v>
      </c>
      <c r="H228" s="15" t="s">
        <v>481</v>
      </c>
      <c r="I228" s="6" t="s">
        <v>30</v>
      </c>
      <c r="J228" s="6" t="s">
        <v>31</v>
      </c>
      <c r="K228" s="6" t="s">
        <v>32</v>
      </c>
      <c r="L228" s="16" t="str">
        <f>HYPERLINK("http://slimages.macys.com/is/image/MCY/15068468 ")</f>
        <v>http://slimages.macys.com/is/image/MCY/15068468 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15" t="s">
        <v>660</v>
      </c>
      <c r="B229" s="6" t="s">
        <v>661</v>
      </c>
      <c r="C229" s="7">
        <v>2.0</v>
      </c>
      <c r="D229" s="8">
        <v>29.5</v>
      </c>
      <c r="E229" s="8">
        <v>59.0</v>
      </c>
      <c r="F229" s="7">
        <v>78017.0</v>
      </c>
      <c r="G229" s="6" t="s">
        <v>86</v>
      </c>
      <c r="H229" s="15" t="s">
        <v>77</v>
      </c>
      <c r="I229" s="6" t="s">
        <v>30</v>
      </c>
      <c r="J229" s="6" t="s">
        <v>196</v>
      </c>
      <c r="K229" s="6" t="s">
        <v>197</v>
      </c>
      <c r="L229" s="16" t="str">
        <f t="shared" ref="L229:L230" si="35">HYPERLINK("http://slimages.macys.com/is/image/MCY/8964499 ")</f>
        <v>http://slimages.macys.com/is/image/MCY/8964499 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15" t="s">
        <v>662</v>
      </c>
      <c r="B230" s="6" t="s">
        <v>663</v>
      </c>
      <c r="C230" s="7">
        <v>1.0</v>
      </c>
      <c r="D230" s="8">
        <v>29.5</v>
      </c>
      <c r="E230" s="8">
        <v>29.5</v>
      </c>
      <c r="F230" s="7">
        <v>78017.0</v>
      </c>
      <c r="G230" s="6" t="s">
        <v>93</v>
      </c>
      <c r="H230" s="15" t="s">
        <v>36</v>
      </c>
      <c r="I230" s="6" t="s">
        <v>30</v>
      </c>
      <c r="J230" s="6" t="s">
        <v>196</v>
      </c>
      <c r="K230" s="6" t="s">
        <v>197</v>
      </c>
      <c r="L230" s="16" t="str">
        <f t="shared" si="35"/>
        <v>http://slimages.macys.com/is/image/MCY/8964499 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15" t="s">
        <v>664</v>
      </c>
      <c r="B231" s="6" t="s">
        <v>665</v>
      </c>
      <c r="C231" s="7">
        <v>1.0</v>
      </c>
      <c r="D231" s="8">
        <v>39.5</v>
      </c>
      <c r="E231" s="8">
        <v>39.5</v>
      </c>
      <c r="F231" s="7" t="s">
        <v>666</v>
      </c>
      <c r="G231" s="6" t="s">
        <v>86</v>
      </c>
      <c r="H231" s="15" t="s">
        <v>36</v>
      </c>
      <c r="I231" s="6" t="s">
        <v>30</v>
      </c>
      <c r="J231" s="6" t="s">
        <v>351</v>
      </c>
      <c r="K231" s="6" t="s">
        <v>352</v>
      </c>
      <c r="L231" s="16" t="str">
        <f>HYPERLINK("http://slimages.macys.com/is/image/MCY/15766740 ")</f>
        <v>http://slimages.macys.com/is/image/MCY/15766740 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15" t="s">
        <v>667</v>
      </c>
      <c r="B232" s="6" t="s">
        <v>668</v>
      </c>
      <c r="C232" s="7">
        <v>1.0</v>
      </c>
      <c r="D232" s="8">
        <v>29.5</v>
      </c>
      <c r="E232" s="8">
        <v>29.5</v>
      </c>
      <c r="F232" s="7">
        <v>78017.0</v>
      </c>
      <c r="G232" s="6" t="s">
        <v>86</v>
      </c>
      <c r="H232" s="15" t="s">
        <v>41</v>
      </c>
      <c r="I232" s="6" t="s">
        <v>30</v>
      </c>
      <c r="J232" s="6" t="s">
        <v>196</v>
      </c>
      <c r="K232" s="6" t="s">
        <v>197</v>
      </c>
      <c r="L232" s="16" t="str">
        <f t="shared" ref="L232:L233" si="36">HYPERLINK("http://slimages.macys.com/is/image/MCY/8964499 ")</f>
        <v>http://slimages.macys.com/is/image/MCY/8964499 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15" t="s">
        <v>669</v>
      </c>
      <c r="B233" s="6" t="s">
        <v>670</v>
      </c>
      <c r="C233" s="7">
        <v>1.0</v>
      </c>
      <c r="D233" s="8">
        <v>29.5</v>
      </c>
      <c r="E233" s="8">
        <v>29.5</v>
      </c>
      <c r="F233" s="7">
        <v>78017.0</v>
      </c>
      <c r="G233" s="6" t="s">
        <v>93</v>
      </c>
      <c r="H233" s="15" t="s">
        <v>41</v>
      </c>
      <c r="I233" s="6" t="s">
        <v>30</v>
      </c>
      <c r="J233" s="6" t="s">
        <v>196</v>
      </c>
      <c r="K233" s="6" t="s">
        <v>197</v>
      </c>
      <c r="L233" s="16" t="str">
        <f t="shared" si="36"/>
        <v>http://slimages.macys.com/is/image/MCY/8964499 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15" t="s">
        <v>671</v>
      </c>
      <c r="B234" s="6" t="s">
        <v>672</v>
      </c>
      <c r="C234" s="7">
        <v>1.0</v>
      </c>
      <c r="D234" s="8">
        <v>29.5</v>
      </c>
      <c r="E234" s="8">
        <v>29.5</v>
      </c>
      <c r="F234" s="7" t="s">
        <v>673</v>
      </c>
      <c r="G234" s="6" t="s">
        <v>337</v>
      </c>
      <c r="H234" s="15" t="s">
        <v>65</v>
      </c>
      <c r="I234" s="6" t="s">
        <v>30</v>
      </c>
      <c r="J234" s="6" t="s">
        <v>196</v>
      </c>
      <c r="K234" s="6" t="s">
        <v>197</v>
      </c>
      <c r="L234" s="16" t="str">
        <f>HYPERLINK("http://slimages.macys.com/is/image/MCY/12669342 ")</f>
        <v>http://slimages.macys.com/is/image/MCY/12669342 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15" t="s">
        <v>674</v>
      </c>
      <c r="B235" s="6" t="s">
        <v>675</v>
      </c>
      <c r="C235" s="7">
        <v>1.0</v>
      </c>
      <c r="D235" s="8">
        <v>29.5</v>
      </c>
      <c r="E235" s="8">
        <v>29.5</v>
      </c>
      <c r="F235" s="7" t="s">
        <v>676</v>
      </c>
      <c r="G235" s="6" t="s">
        <v>510</v>
      </c>
      <c r="H235" s="15" t="s">
        <v>29</v>
      </c>
      <c r="I235" s="6" t="s">
        <v>30</v>
      </c>
      <c r="J235" s="6" t="s">
        <v>196</v>
      </c>
      <c r="K235" s="6" t="s">
        <v>197</v>
      </c>
      <c r="L235" s="16" t="str">
        <f>HYPERLINK("http://slimages.macys.com/is/image/MCY/12789916 ")</f>
        <v>http://slimages.macys.com/is/image/MCY/12789916 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15" t="s">
        <v>677</v>
      </c>
      <c r="B236" s="6" t="s">
        <v>678</v>
      </c>
      <c r="C236" s="7">
        <v>1.0</v>
      </c>
      <c r="D236" s="8">
        <v>29.5</v>
      </c>
      <c r="E236" s="8">
        <v>29.5</v>
      </c>
      <c r="F236" s="7">
        <v>78017.0</v>
      </c>
      <c r="G236" s="6" t="s">
        <v>446</v>
      </c>
      <c r="H236" s="15" t="s">
        <v>65</v>
      </c>
      <c r="I236" s="6" t="s">
        <v>30</v>
      </c>
      <c r="J236" s="6" t="s">
        <v>196</v>
      </c>
      <c r="K236" s="6" t="s">
        <v>197</v>
      </c>
      <c r="L236" s="16" t="str">
        <f t="shared" ref="L236:L239" si="37">HYPERLINK("http://slimages.macys.com/is/image/MCY/8964499 ")</f>
        <v>http://slimages.macys.com/is/image/MCY/8964499 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15" t="s">
        <v>679</v>
      </c>
      <c r="B237" s="6" t="s">
        <v>680</v>
      </c>
      <c r="C237" s="7">
        <v>1.0</v>
      </c>
      <c r="D237" s="8">
        <v>29.5</v>
      </c>
      <c r="E237" s="8">
        <v>29.5</v>
      </c>
      <c r="F237" s="7">
        <v>78017.0</v>
      </c>
      <c r="G237" s="6" t="s">
        <v>379</v>
      </c>
      <c r="H237" s="15" t="s">
        <v>65</v>
      </c>
      <c r="I237" s="6" t="s">
        <v>30</v>
      </c>
      <c r="J237" s="6" t="s">
        <v>196</v>
      </c>
      <c r="K237" s="6" t="s">
        <v>197</v>
      </c>
      <c r="L237" s="16" t="str">
        <f t="shared" si="37"/>
        <v>http://slimages.macys.com/is/image/MCY/8964499 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15" t="s">
        <v>681</v>
      </c>
      <c r="B238" s="6" t="s">
        <v>682</v>
      </c>
      <c r="C238" s="7">
        <v>1.0</v>
      </c>
      <c r="D238" s="8">
        <v>29.5</v>
      </c>
      <c r="E238" s="8">
        <v>29.5</v>
      </c>
      <c r="F238" s="7">
        <v>78017.0</v>
      </c>
      <c r="G238" s="6" t="s">
        <v>204</v>
      </c>
      <c r="H238" s="15" t="s">
        <v>65</v>
      </c>
      <c r="I238" s="6" t="s">
        <v>30</v>
      </c>
      <c r="J238" s="6" t="s">
        <v>196</v>
      </c>
      <c r="K238" s="6" t="s">
        <v>197</v>
      </c>
      <c r="L238" s="16" t="str">
        <f t="shared" si="37"/>
        <v>http://slimages.macys.com/is/image/MCY/8964499 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15" t="s">
        <v>683</v>
      </c>
      <c r="B239" s="6" t="s">
        <v>684</v>
      </c>
      <c r="C239" s="7">
        <v>1.0</v>
      </c>
      <c r="D239" s="8">
        <v>29.5</v>
      </c>
      <c r="E239" s="8">
        <v>29.5</v>
      </c>
      <c r="F239" s="7">
        <v>78017.0</v>
      </c>
      <c r="G239" s="6" t="s">
        <v>204</v>
      </c>
      <c r="H239" s="15" t="s">
        <v>36</v>
      </c>
      <c r="I239" s="6" t="s">
        <v>30</v>
      </c>
      <c r="J239" s="6" t="s">
        <v>196</v>
      </c>
      <c r="K239" s="6" t="s">
        <v>197</v>
      </c>
      <c r="L239" s="16" t="str">
        <f t="shared" si="37"/>
        <v>http://slimages.macys.com/is/image/MCY/8964499 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15" t="s">
        <v>685</v>
      </c>
      <c r="B240" s="6" t="s">
        <v>686</v>
      </c>
      <c r="C240" s="7">
        <v>1.0</v>
      </c>
      <c r="D240" s="8">
        <v>25.0</v>
      </c>
      <c r="E240" s="8">
        <v>25.0</v>
      </c>
      <c r="F240" s="7" t="s">
        <v>687</v>
      </c>
      <c r="G240" s="6" t="s">
        <v>456</v>
      </c>
      <c r="H240" s="15" t="s">
        <v>101</v>
      </c>
      <c r="I240" s="6" t="s">
        <v>30</v>
      </c>
      <c r="J240" s="6" t="s">
        <v>88</v>
      </c>
      <c r="K240" s="6" t="s">
        <v>89</v>
      </c>
      <c r="L240" s="16" t="str">
        <f>HYPERLINK("http://slimages.macys.com/is/image/MCY/12852004 ")</f>
        <v>http://slimages.macys.com/is/image/MCY/12852004 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15" t="s">
        <v>688</v>
      </c>
      <c r="B241" s="6" t="s">
        <v>689</v>
      </c>
      <c r="C241" s="7">
        <v>1.0</v>
      </c>
      <c r="D241" s="8">
        <v>17.5</v>
      </c>
      <c r="E241" s="8">
        <v>17.5</v>
      </c>
      <c r="F241" s="7" t="s">
        <v>690</v>
      </c>
      <c r="G241" s="6" t="s">
        <v>446</v>
      </c>
      <c r="H241" s="15" t="s">
        <v>77</v>
      </c>
      <c r="I241" s="6" t="s">
        <v>30</v>
      </c>
      <c r="J241" s="6" t="s">
        <v>196</v>
      </c>
      <c r="K241" s="6" t="s">
        <v>197</v>
      </c>
      <c r="L241" s="16" t="str">
        <f>HYPERLINK("http://slimages.macys.com/is/image/MCY/14312025 ")</f>
        <v>http://slimages.macys.com/is/image/MCY/14312025 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15" t="s">
        <v>691</v>
      </c>
      <c r="B242" s="6" t="s">
        <v>692</v>
      </c>
      <c r="C242" s="7">
        <v>1.0</v>
      </c>
      <c r="D242" s="8">
        <v>20.0</v>
      </c>
      <c r="E242" s="8">
        <v>20.0</v>
      </c>
      <c r="F242" s="7">
        <v>5.8066304E7</v>
      </c>
      <c r="G242" s="6" t="s">
        <v>112</v>
      </c>
      <c r="H242" s="15" t="s">
        <v>77</v>
      </c>
      <c r="I242" s="6" t="s">
        <v>30</v>
      </c>
      <c r="J242" s="6" t="s">
        <v>88</v>
      </c>
      <c r="K242" s="6" t="s">
        <v>167</v>
      </c>
      <c r="L242" s="16" t="str">
        <f>HYPERLINK("http://slimages.macys.com/is/image/MCY/15722717 ")</f>
        <v>http://slimages.macys.com/is/image/MCY/15722717 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15" t="s">
        <v>693</v>
      </c>
      <c r="B243" s="6" t="s">
        <v>694</v>
      </c>
      <c r="C243" s="7">
        <v>1.0</v>
      </c>
      <c r="D243" s="8">
        <v>24.5</v>
      </c>
      <c r="E243" s="8">
        <v>24.5</v>
      </c>
      <c r="F243" s="7" t="s">
        <v>695</v>
      </c>
      <c r="G243" s="6" t="s">
        <v>258</v>
      </c>
      <c r="H243" s="15" t="s">
        <v>29</v>
      </c>
      <c r="I243" s="6" t="s">
        <v>30</v>
      </c>
      <c r="J243" s="6" t="s">
        <v>196</v>
      </c>
      <c r="K243" s="6" t="s">
        <v>197</v>
      </c>
      <c r="L243" s="16" t="str">
        <f>HYPERLINK("http://slimages.macys.com/is/image/MCY/10765161 ")</f>
        <v>http://slimages.macys.com/is/image/MCY/10765161 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15" t="s">
        <v>696</v>
      </c>
      <c r="B244" s="6" t="s">
        <v>697</v>
      </c>
      <c r="C244" s="7">
        <v>1.0</v>
      </c>
      <c r="D244" s="8">
        <v>19.5</v>
      </c>
      <c r="E244" s="8">
        <v>19.5</v>
      </c>
      <c r="F244" s="7" t="s">
        <v>698</v>
      </c>
      <c r="G244" s="6" t="s">
        <v>93</v>
      </c>
      <c r="H244" s="15" t="s">
        <v>29</v>
      </c>
      <c r="I244" s="6" t="s">
        <v>30</v>
      </c>
      <c r="J244" s="6" t="s">
        <v>196</v>
      </c>
      <c r="K244" s="6" t="s">
        <v>197</v>
      </c>
      <c r="L244" s="16" t="str">
        <f>HYPERLINK("http://slimages.macys.com/is/image/MCY/13948916 ")</f>
        <v>http://slimages.macys.com/is/image/MCY/13948916 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15" t="s">
        <v>699</v>
      </c>
      <c r="B245" s="6" t="s">
        <v>700</v>
      </c>
      <c r="C245" s="7">
        <v>1.0</v>
      </c>
      <c r="D245" s="8">
        <v>19.5</v>
      </c>
      <c r="E245" s="8">
        <v>19.5</v>
      </c>
      <c r="F245" s="7" t="s">
        <v>701</v>
      </c>
      <c r="G245" s="6" t="s">
        <v>112</v>
      </c>
      <c r="H245" s="15" t="s">
        <v>65</v>
      </c>
      <c r="I245" s="6" t="s">
        <v>30</v>
      </c>
      <c r="J245" s="6" t="s">
        <v>196</v>
      </c>
      <c r="K245" s="6" t="s">
        <v>197</v>
      </c>
      <c r="L245" s="16" t="str">
        <f>HYPERLINK("http://slimages.macys.com/is/image/MCY/16329785 ")</f>
        <v>http://slimages.macys.com/is/image/MCY/16329785 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15" t="s">
        <v>702</v>
      </c>
      <c r="B246" s="6" t="s">
        <v>703</v>
      </c>
      <c r="C246" s="7">
        <v>1.0</v>
      </c>
      <c r="D246" s="8">
        <v>19.5</v>
      </c>
      <c r="E246" s="8">
        <v>19.5</v>
      </c>
      <c r="F246" s="7" t="s">
        <v>704</v>
      </c>
      <c r="G246" s="6" t="s">
        <v>86</v>
      </c>
      <c r="H246" s="15" t="s">
        <v>65</v>
      </c>
      <c r="I246" s="6" t="s">
        <v>30</v>
      </c>
      <c r="J246" s="6" t="s">
        <v>196</v>
      </c>
      <c r="K246" s="6" t="s">
        <v>197</v>
      </c>
      <c r="L246" s="16" t="str">
        <f>HYPERLINK("http://slimages.macys.com/is/image/MCY/16291651 ")</f>
        <v>http://slimages.macys.com/is/image/MCY/16291651 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15" t="s">
        <v>705</v>
      </c>
      <c r="B247" s="6" t="s">
        <v>706</v>
      </c>
      <c r="C247" s="7">
        <v>1.0</v>
      </c>
      <c r="D247" s="8">
        <v>19.5</v>
      </c>
      <c r="E247" s="8">
        <v>19.5</v>
      </c>
      <c r="F247" s="7" t="s">
        <v>701</v>
      </c>
      <c r="G247" s="6" t="s">
        <v>112</v>
      </c>
      <c r="H247" s="15" t="s">
        <v>41</v>
      </c>
      <c r="I247" s="6" t="s">
        <v>30</v>
      </c>
      <c r="J247" s="6" t="s">
        <v>196</v>
      </c>
      <c r="K247" s="6" t="s">
        <v>197</v>
      </c>
      <c r="L247" s="16" t="str">
        <f t="shared" ref="L247:L249" si="38">HYPERLINK("http://slimages.macys.com/is/image/MCY/16329785 ")</f>
        <v>http://slimages.macys.com/is/image/MCY/16329785 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15" t="s">
        <v>707</v>
      </c>
      <c r="B248" s="6" t="s">
        <v>708</v>
      </c>
      <c r="C248" s="7">
        <v>1.0</v>
      </c>
      <c r="D248" s="8">
        <v>19.5</v>
      </c>
      <c r="E248" s="8">
        <v>19.5</v>
      </c>
      <c r="F248" s="7" t="s">
        <v>701</v>
      </c>
      <c r="G248" s="6" t="s">
        <v>112</v>
      </c>
      <c r="H248" s="15" t="s">
        <v>106</v>
      </c>
      <c r="I248" s="6" t="s">
        <v>30</v>
      </c>
      <c r="J248" s="6" t="s">
        <v>196</v>
      </c>
      <c r="K248" s="6" t="s">
        <v>197</v>
      </c>
      <c r="L248" s="16" t="str">
        <f t="shared" si="38"/>
        <v>http://slimages.macys.com/is/image/MCY/16329785 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15" t="s">
        <v>709</v>
      </c>
      <c r="B249" s="6" t="s">
        <v>710</v>
      </c>
      <c r="C249" s="7">
        <v>1.0</v>
      </c>
      <c r="D249" s="8">
        <v>19.5</v>
      </c>
      <c r="E249" s="8">
        <v>19.5</v>
      </c>
      <c r="F249" s="7" t="s">
        <v>701</v>
      </c>
      <c r="G249" s="6" t="s">
        <v>112</v>
      </c>
      <c r="H249" s="15" t="s">
        <v>36</v>
      </c>
      <c r="I249" s="6" t="s">
        <v>30</v>
      </c>
      <c r="J249" s="6" t="s">
        <v>196</v>
      </c>
      <c r="K249" s="6" t="s">
        <v>197</v>
      </c>
      <c r="L249" s="16" t="str">
        <f t="shared" si="38"/>
        <v>http://slimages.macys.com/is/image/MCY/16329785 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15" t="s">
        <v>711</v>
      </c>
      <c r="B250" s="6" t="s">
        <v>712</v>
      </c>
      <c r="C250" s="7">
        <v>1.0</v>
      </c>
      <c r="D250" s="8">
        <v>19.5</v>
      </c>
      <c r="E250" s="8">
        <v>19.5</v>
      </c>
      <c r="F250" s="7" t="s">
        <v>713</v>
      </c>
      <c r="G250" s="6" t="s">
        <v>714</v>
      </c>
      <c r="H250" s="15" t="s">
        <v>36</v>
      </c>
      <c r="I250" s="6" t="s">
        <v>30</v>
      </c>
      <c r="J250" s="6" t="s">
        <v>196</v>
      </c>
      <c r="K250" s="6" t="s">
        <v>197</v>
      </c>
      <c r="L250" s="16" t="str">
        <f t="shared" ref="L250:L254" si="39">HYPERLINK("http://slimages.macys.com/is/image/MCY/13948904 ")</f>
        <v>http://slimages.macys.com/is/image/MCY/13948904 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15" t="s">
        <v>715</v>
      </c>
      <c r="B251" s="6" t="s">
        <v>716</v>
      </c>
      <c r="C251" s="7">
        <v>1.0</v>
      </c>
      <c r="D251" s="8">
        <v>19.5</v>
      </c>
      <c r="E251" s="8">
        <v>19.5</v>
      </c>
      <c r="F251" s="7" t="s">
        <v>713</v>
      </c>
      <c r="G251" s="6" t="s">
        <v>714</v>
      </c>
      <c r="H251" s="15" t="s">
        <v>41</v>
      </c>
      <c r="I251" s="6" t="s">
        <v>30</v>
      </c>
      <c r="J251" s="6" t="s">
        <v>196</v>
      </c>
      <c r="K251" s="6" t="s">
        <v>197</v>
      </c>
      <c r="L251" s="16" t="str">
        <f t="shared" si="39"/>
        <v>http://slimages.macys.com/is/image/MCY/13948904 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15" t="s">
        <v>717</v>
      </c>
      <c r="B252" s="6" t="s">
        <v>718</v>
      </c>
      <c r="C252" s="7">
        <v>2.0</v>
      </c>
      <c r="D252" s="8">
        <v>19.5</v>
      </c>
      <c r="E252" s="8">
        <v>39.0</v>
      </c>
      <c r="F252" s="7" t="s">
        <v>713</v>
      </c>
      <c r="G252" s="6" t="s">
        <v>297</v>
      </c>
      <c r="H252" s="15" t="s">
        <v>65</v>
      </c>
      <c r="I252" s="6" t="s">
        <v>30</v>
      </c>
      <c r="J252" s="6" t="s">
        <v>196</v>
      </c>
      <c r="K252" s="6" t="s">
        <v>197</v>
      </c>
      <c r="L252" s="16" t="str">
        <f t="shared" si="39"/>
        <v>http://slimages.macys.com/is/image/MCY/13948904 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15" t="s">
        <v>719</v>
      </c>
      <c r="B253" s="6" t="s">
        <v>720</v>
      </c>
      <c r="C253" s="7">
        <v>1.0</v>
      </c>
      <c r="D253" s="8">
        <v>19.5</v>
      </c>
      <c r="E253" s="8">
        <v>19.5</v>
      </c>
      <c r="F253" s="7" t="s">
        <v>713</v>
      </c>
      <c r="G253" s="6" t="s">
        <v>297</v>
      </c>
      <c r="H253" s="15" t="s">
        <v>106</v>
      </c>
      <c r="I253" s="6" t="s">
        <v>30</v>
      </c>
      <c r="J253" s="6" t="s">
        <v>196</v>
      </c>
      <c r="K253" s="6" t="s">
        <v>197</v>
      </c>
      <c r="L253" s="16" t="str">
        <f t="shared" si="39"/>
        <v>http://slimages.macys.com/is/image/MCY/13948904 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15" t="s">
        <v>721</v>
      </c>
      <c r="B254" s="6" t="s">
        <v>722</v>
      </c>
      <c r="C254" s="7">
        <v>1.0</v>
      </c>
      <c r="D254" s="8">
        <v>19.5</v>
      </c>
      <c r="E254" s="8">
        <v>19.5</v>
      </c>
      <c r="F254" s="7" t="s">
        <v>713</v>
      </c>
      <c r="G254" s="6" t="s">
        <v>297</v>
      </c>
      <c r="H254" s="15" t="s">
        <v>29</v>
      </c>
      <c r="I254" s="6" t="s">
        <v>30</v>
      </c>
      <c r="J254" s="6" t="s">
        <v>196</v>
      </c>
      <c r="K254" s="6" t="s">
        <v>197</v>
      </c>
      <c r="L254" s="16" t="str">
        <f t="shared" si="39"/>
        <v>http://slimages.macys.com/is/image/MCY/13948904 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15" t="s">
        <v>723</v>
      </c>
      <c r="B255" s="6" t="s">
        <v>724</v>
      </c>
      <c r="C255" s="7">
        <v>1.0</v>
      </c>
      <c r="D255" s="8">
        <v>19.5</v>
      </c>
      <c r="E255" s="8">
        <v>19.5</v>
      </c>
      <c r="F255" s="7" t="s">
        <v>698</v>
      </c>
      <c r="G255" s="6" t="s">
        <v>86</v>
      </c>
      <c r="H255" s="15" t="s">
        <v>41</v>
      </c>
      <c r="I255" s="6" t="s">
        <v>30</v>
      </c>
      <c r="J255" s="6" t="s">
        <v>196</v>
      </c>
      <c r="K255" s="6" t="s">
        <v>197</v>
      </c>
      <c r="L255" s="16" t="str">
        <f t="shared" ref="L255:L257" si="40">HYPERLINK("http://slimages.macys.com/is/image/MCY/13948916 ")</f>
        <v>http://slimages.macys.com/is/image/MCY/13948916 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15" t="s">
        <v>725</v>
      </c>
      <c r="B256" s="6" t="s">
        <v>726</v>
      </c>
      <c r="C256" s="7">
        <v>1.0</v>
      </c>
      <c r="D256" s="8">
        <v>19.5</v>
      </c>
      <c r="E256" s="8">
        <v>19.5</v>
      </c>
      <c r="F256" s="7" t="s">
        <v>698</v>
      </c>
      <c r="G256" s="6" t="s">
        <v>86</v>
      </c>
      <c r="H256" s="15" t="s">
        <v>77</v>
      </c>
      <c r="I256" s="6" t="s">
        <v>30</v>
      </c>
      <c r="J256" s="6" t="s">
        <v>196</v>
      </c>
      <c r="K256" s="6" t="s">
        <v>197</v>
      </c>
      <c r="L256" s="16" t="str">
        <f t="shared" si="40"/>
        <v>http://slimages.macys.com/is/image/MCY/13948916 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15" t="s">
        <v>727</v>
      </c>
      <c r="B257" s="6" t="s">
        <v>728</v>
      </c>
      <c r="C257" s="7">
        <v>1.0</v>
      </c>
      <c r="D257" s="8">
        <v>19.5</v>
      </c>
      <c r="E257" s="8">
        <v>19.5</v>
      </c>
      <c r="F257" s="7" t="s">
        <v>698</v>
      </c>
      <c r="G257" s="6" t="s">
        <v>86</v>
      </c>
      <c r="H257" s="15" t="s">
        <v>65</v>
      </c>
      <c r="I257" s="6" t="s">
        <v>30</v>
      </c>
      <c r="J257" s="6" t="s">
        <v>196</v>
      </c>
      <c r="K257" s="6" t="s">
        <v>197</v>
      </c>
      <c r="L257" s="16" t="str">
        <f t="shared" si="40"/>
        <v>http://slimages.macys.com/is/image/MCY/13948916 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15" t="s">
        <v>729</v>
      </c>
      <c r="B258" s="6" t="s">
        <v>730</v>
      </c>
      <c r="C258" s="7">
        <v>1.0</v>
      </c>
      <c r="D258" s="8">
        <v>24.5</v>
      </c>
      <c r="E258" s="8">
        <v>24.5</v>
      </c>
      <c r="F258" s="7" t="s">
        <v>731</v>
      </c>
      <c r="G258" s="6" t="s">
        <v>510</v>
      </c>
      <c r="H258" s="15" t="s">
        <v>54</v>
      </c>
      <c r="I258" s="6" t="s">
        <v>30</v>
      </c>
      <c r="J258" s="6" t="s">
        <v>174</v>
      </c>
      <c r="K258" s="6" t="s">
        <v>175</v>
      </c>
      <c r="L258" s="16" t="str">
        <f>HYPERLINK("http://slimages.macys.com/is/image/MCY/12073630 ")</f>
        <v>http://slimages.macys.com/is/image/MCY/12073630 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15" t="s">
        <v>732</v>
      </c>
      <c r="B259" s="6" t="s">
        <v>733</v>
      </c>
      <c r="C259" s="7">
        <v>1.0</v>
      </c>
      <c r="D259" s="8">
        <v>17.5</v>
      </c>
      <c r="E259" s="8">
        <v>17.5</v>
      </c>
      <c r="F259" s="7" t="s">
        <v>734</v>
      </c>
      <c r="G259" s="6" t="s">
        <v>735</v>
      </c>
      <c r="H259" s="15" t="s">
        <v>29</v>
      </c>
      <c r="I259" s="6" t="s">
        <v>30</v>
      </c>
      <c r="J259" s="6" t="s">
        <v>196</v>
      </c>
      <c r="K259" s="6" t="s">
        <v>197</v>
      </c>
      <c r="L259" s="16" t="str">
        <f t="shared" ref="L259:L261" si="41">HYPERLINK("http://slimages.macys.com/is/image/MCY/11433653 ")</f>
        <v>http://slimages.macys.com/is/image/MCY/11433653 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15" t="s">
        <v>736</v>
      </c>
      <c r="B260" s="6" t="s">
        <v>737</v>
      </c>
      <c r="C260" s="7">
        <v>1.0</v>
      </c>
      <c r="D260" s="8">
        <v>24.5</v>
      </c>
      <c r="E260" s="8">
        <v>24.5</v>
      </c>
      <c r="F260" s="7" t="s">
        <v>734</v>
      </c>
      <c r="G260" s="6" t="s">
        <v>735</v>
      </c>
      <c r="H260" s="15" t="s">
        <v>77</v>
      </c>
      <c r="I260" s="6" t="s">
        <v>30</v>
      </c>
      <c r="J260" s="6" t="s">
        <v>196</v>
      </c>
      <c r="K260" s="6" t="s">
        <v>197</v>
      </c>
      <c r="L260" s="16" t="str">
        <f t="shared" si="41"/>
        <v>http://slimages.macys.com/is/image/MCY/11433653 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15" t="s">
        <v>738</v>
      </c>
      <c r="B261" s="6" t="s">
        <v>733</v>
      </c>
      <c r="C261" s="7">
        <v>1.0</v>
      </c>
      <c r="D261" s="8">
        <v>24.5</v>
      </c>
      <c r="E261" s="8">
        <v>24.5</v>
      </c>
      <c r="F261" s="7" t="s">
        <v>734</v>
      </c>
      <c r="G261" s="6" t="s">
        <v>735</v>
      </c>
      <c r="H261" s="15" t="s">
        <v>29</v>
      </c>
      <c r="I261" s="6" t="s">
        <v>30</v>
      </c>
      <c r="J261" s="6" t="s">
        <v>196</v>
      </c>
      <c r="K261" s="6" t="s">
        <v>197</v>
      </c>
      <c r="L261" s="16" t="str">
        <f t="shared" si="41"/>
        <v>http://slimages.macys.com/is/image/MCY/11433653 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15" t="s">
        <v>739</v>
      </c>
      <c r="B262" s="6" t="s">
        <v>740</v>
      </c>
      <c r="C262" s="7">
        <v>1.0</v>
      </c>
      <c r="D262" s="8">
        <v>24.5</v>
      </c>
      <c r="E262" s="8">
        <v>24.5</v>
      </c>
      <c r="F262" s="7" t="s">
        <v>734</v>
      </c>
      <c r="G262" s="6" t="s">
        <v>98</v>
      </c>
      <c r="H262" s="15" t="s">
        <v>29</v>
      </c>
      <c r="I262" s="6" t="s">
        <v>30</v>
      </c>
      <c r="J262" s="6" t="s">
        <v>196</v>
      </c>
      <c r="K262" s="6" t="s">
        <v>197</v>
      </c>
      <c r="L262" s="16" t="str">
        <f t="shared" ref="L262:L263" si="42">HYPERLINK("http://slimages.macys.com/is/image/MCY/12063657 ")</f>
        <v>http://slimages.macys.com/is/image/MCY/12063657 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15" t="s">
        <v>741</v>
      </c>
      <c r="B263" s="6" t="s">
        <v>742</v>
      </c>
      <c r="C263" s="7">
        <v>1.0</v>
      </c>
      <c r="D263" s="8">
        <v>24.5</v>
      </c>
      <c r="E263" s="8">
        <v>24.5</v>
      </c>
      <c r="F263" s="7" t="s">
        <v>734</v>
      </c>
      <c r="G263" s="6" t="s">
        <v>594</v>
      </c>
      <c r="H263" s="15" t="s">
        <v>29</v>
      </c>
      <c r="I263" s="6" t="s">
        <v>30</v>
      </c>
      <c r="J263" s="6" t="s">
        <v>196</v>
      </c>
      <c r="K263" s="6" t="s">
        <v>197</v>
      </c>
      <c r="L263" s="16" t="str">
        <f t="shared" si="42"/>
        <v>http://slimages.macys.com/is/image/MCY/12063657 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15" t="s">
        <v>743</v>
      </c>
      <c r="B264" s="6" t="s">
        <v>744</v>
      </c>
      <c r="C264" s="7">
        <v>1.0</v>
      </c>
      <c r="D264" s="8">
        <v>12.5</v>
      </c>
      <c r="E264" s="8">
        <v>12.5</v>
      </c>
      <c r="F264" s="7">
        <v>77139.0</v>
      </c>
      <c r="G264" s="6" t="s">
        <v>289</v>
      </c>
      <c r="H264" s="15" t="s">
        <v>77</v>
      </c>
      <c r="I264" s="6" t="s">
        <v>30</v>
      </c>
      <c r="J264" s="6" t="s">
        <v>196</v>
      </c>
      <c r="K264" s="6" t="s">
        <v>197</v>
      </c>
      <c r="L264" s="16" t="str">
        <f>HYPERLINK("http://slimages.macys.com/is/image/MCY/8644369 ")</f>
        <v>http://slimages.macys.com/is/image/MCY/8644369 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15" t="s">
        <v>745</v>
      </c>
      <c r="B265" s="6" t="s">
        <v>746</v>
      </c>
      <c r="C265" s="7">
        <v>1.0</v>
      </c>
      <c r="D265" s="8">
        <v>12.5</v>
      </c>
      <c r="E265" s="8">
        <v>12.5</v>
      </c>
      <c r="F265" s="7">
        <v>77928.0</v>
      </c>
      <c r="G265" s="6" t="s">
        <v>446</v>
      </c>
      <c r="H265" s="15" t="s">
        <v>36</v>
      </c>
      <c r="I265" s="6" t="s">
        <v>30</v>
      </c>
      <c r="J265" s="6" t="s">
        <v>196</v>
      </c>
      <c r="K265" s="6" t="s">
        <v>197</v>
      </c>
      <c r="L265" s="16" t="str">
        <f>HYPERLINK("http://slimages.macys.com/is/image/MCY/9518362 ")</f>
        <v>http://slimages.macys.com/is/image/MCY/9518362 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15" t="s">
        <v>747</v>
      </c>
      <c r="B266" s="6" t="s">
        <v>748</v>
      </c>
      <c r="C266" s="7">
        <v>2.0</v>
      </c>
      <c r="D266" s="17"/>
      <c r="E266" s="8">
        <v>69.0</v>
      </c>
      <c r="F266" s="8">
        <v>138.0</v>
      </c>
      <c r="G266" s="7" t="s">
        <v>749</v>
      </c>
      <c r="H266" s="6" t="s">
        <v>446</v>
      </c>
      <c r="I266" s="8">
        <v>12.95</v>
      </c>
      <c r="J266" s="6" t="s">
        <v>30</v>
      </c>
      <c r="K266" s="6" t="s">
        <v>351</v>
      </c>
      <c r="L266" s="6" t="s">
        <v>352</v>
      </c>
      <c r="M266" s="18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25" footer="0.0" header="0.0" left="0.5" right="0.5" top="0.25"/>
  <pageSetup scale="6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2020-12-08T20:27:13Z</dcterms:created>
  <dc:creator>OWNER</dc:creator>
</cp:coreProperties>
</file>