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0005" windowHeight="10005"/>
  </bookViews>
  <sheets>
    <sheet name="12117708" sheetId="1" r:id="rId1"/>
  </sheets>
  <calcPr calcId="0" calcMode="manual" calcCompleted="0" calcOnSave="0"/>
</workbook>
</file>

<file path=xl/calcChain.xml><?xml version="1.0" encoding="utf-8"?>
<calcChain xmlns="http://schemas.openxmlformats.org/spreadsheetml/2006/main">
  <c r="J3" i="1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</calcChain>
</file>

<file path=xl/sharedStrings.xml><?xml version="1.0" encoding="utf-8"?>
<sst xmlns="http://schemas.openxmlformats.org/spreadsheetml/2006/main" count="656" uniqueCount="419">
  <si>
    <t>LOCATION</t>
  </si>
  <si>
    <t>CATEGORY</t>
  </si>
  <si>
    <t>SEASON CODE</t>
  </si>
  <si>
    <t>RETURN TYPE</t>
  </si>
  <si>
    <t># OF PALLETS</t>
  </si>
  <si>
    <t># OF CARTONS</t>
  </si>
  <si>
    <t>TOTAL ORIGINAL RETAIL</t>
  </si>
  <si>
    <t># OF UNITS</t>
  </si>
  <si>
    <t>TOTAL CLIENT COST</t>
  </si>
  <si>
    <t>AVG. UNIT CLIENT COST</t>
  </si>
  <si>
    <t>MINOOKA CRC, MINOOKA, IL</t>
  </si>
  <si>
    <t>HANDBAGS &amp; ACCESSORIES</t>
  </si>
  <si>
    <t>PRIMARILY FALL AND WINTER</t>
  </si>
  <si>
    <t>STORE STOCK</t>
  </si>
  <si>
    <t>UPC</t>
  </si>
  <si>
    <t>ITEM DESCRIPTION</t>
  </si>
  <si>
    <t>ORIGINAL QTY</t>
  </si>
  <si>
    <t>ORIGINAL RETAIL</t>
  </si>
  <si>
    <t>COLOR</t>
  </si>
  <si>
    <t>VENDOR NAME</t>
  </si>
  <si>
    <t>IMAGE</t>
  </si>
  <si>
    <t>191202231405</t>
  </si>
  <si>
    <t>COACH Grace Bag Dark Antique NickelDusty Rose</t>
  </si>
  <si>
    <t>DARK PINK</t>
  </si>
  <si>
    <t>COACH LEATHERWARE</t>
  </si>
  <si>
    <t>8034022058727</t>
  </si>
  <si>
    <t>GIUDECCA S BACKPACK BASIC</t>
  </si>
  <si>
    <t>BLUE</t>
  </si>
  <si>
    <t>FURLA USA</t>
  </si>
  <si>
    <t>192317864687</t>
  </si>
  <si>
    <t>Michael Kors Whitney Tricolor Velvet Top Ha OxbloodPinkGold</t>
  </si>
  <si>
    <t>BRGHT PINK</t>
  </si>
  <si>
    <t>MICHAEL/MICHAEL KORS (USA) INC</t>
  </si>
  <si>
    <t>192877128656</t>
  </si>
  <si>
    <t>Michael Kors Mercer Gallery Canvas Center Z NaturalGold</t>
  </si>
  <si>
    <t>LT BEIGE</t>
  </si>
  <si>
    <t>887986131009</t>
  </si>
  <si>
    <t>Patricia Nash Tartan Plaid Paris Satchel TartanGold</t>
  </si>
  <si>
    <t>MEDIUM RED</t>
  </si>
  <si>
    <t>PATRICIA NASH/PATRICIA NASH DESIGNS</t>
  </si>
  <si>
    <t>192351650130</t>
  </si>
  <si>
    <t>Calvin Klein Karsyn Studded Leather Small T BlackWhiteSilver</t>
  </si>
  <si>
    <t>CHARCOAL</t>
  </si>
  <si>
    <t>CALVIN KLEIN/G-III APPAREL GROUP</t>
  </si>
  <si>
    <t>802892110269</t>
  </si>
  <si>
    <t>DKNY Whitney East-West Tote, Create FogSilver</t>
  </si>
  <si>
    <t>GRAY</t>
  </si>
  <si>
    <t>DKNY/G-III APPAREL GROUP</t>
  </si>
  <si>
    <t>192877144359</t>
  </si>
  <si>
    <t>Michael Kors Woven Chevron Camera Bag AdmiralWhiteGold</t>
  </si>
  <si>
    <t>MED BLUE</t>
  </si>
  <si>
    <t>192877510321</t>
  </si>
  <si>
    <t>RITA - MD BUCKET TOTE</t>
  </si>
  <si>
    <t>MEDIUN RED</t>
  </si>
  <si>
    <t>191422292170</t>
  </si>
  <si>
    <t>REGAN SATCHEL TOTE</t>
  </si>
  <si>
    <t>BRNOVERFLW</t>
  </si>
  <si>
    <t>REBECCA MINKOFF</t>
  </si>
  <si>
    <t>192643379268</t>
  </si>
  <si>
    <t>COACH Embossed Croc Turnlock Clutch BlackGold</t>
  </si>
  <si>
    <t>802892166112</t>
  </si>
  <si>
    <t>DKNY Sullivan NS Tote IvoryGold</t>
  </si>
  <si>
    <t>WHITE</t>
  </si>
  <si>
    <t>802892114335</t>
  </si>
  <si>
    <t>DKNY Lex Top Handle Satchel Iconic BlushGold</t>
  </si>
  <si>
    <t>LT/PASPINK</t>
  </si>
  <si>
    <t>191935677815</t>
  </si>
  <si>
    <t>Michael Kors Michael Kors Medium Tote BlackGold</t>
  </si>
  <si>
    <t>BLACK</t>
  </si>
  <si>
    <t>191935681690</t>
  </si>
  <si>
    <t>Michael Kors Mott East-West Small Clutch Pale Gold</t>
  </si>
  <si>
    <t>LT/PAS YEL</t>
  </si>
  <si>
    <t>846964031984</t>
  </si>
  <si>
    <t>EARTHA MINI TOP HANDLE JBASIC</t>
  </si>
  <si>
    <t>Z SPOKE BY ZAC POSEN/CENTRIC ACCESS</t>
  </si>
  <si>
    <t>887345080351</t>
  </si>
  <si>
    <t>Calvin Klein Sandra Leather Satchel Light SandSilver</t>
  </si>
  <si>
    <t>BEIGE</t>
  </si>
  <si>
    <t>192351256257</t>
  </si>
  <si>
    <t>Calvin Klein Jacky Tote Black MultiSilver</t>
  </si>
  <si>
    <t>190864518121</t>
  </si>
  <si>
    <t>Michael Kors Daniela Large Crossbody Bright RedGold</t>
  </si>
  <si>
    <t>HONEY</t>
  </si>
  <si>
    <t>883820108534</t>
  </si>
  <si>
    <t>Lauren Ralph Lauren Bennington Extra-Large Tote VanillaGold</t>
  </si>
  <si>
    <t>NATURAL</t>
  </si>
  <si>
    <t>POLO RALPH LAUREN LEATHERGOODS</t>
  </si>
  <si>
    <t>192317896022</t>
  </si>
  <si>
    <t>Michael Kors Ciara Top Zip Large Satchel TruffleGold</t>
  </si>
  <si>
    <t>802892243929</t>
  </si>
  <si>
    <t>DKNY DKNY Elissa Medium Shoulder Ba LatteSilver</t>
  </si>
  <si>
    <t>MED BEIGE</t>
  </si>
  <si>
    <t>849866145155</t>
  </si>
  <si>
    <t>TIKI (WOVEN)</t>
  </si>
  <si>
    <t>ELIZABETH AND JAMES LLC</t>
  </si>
  <si>
    <t>849866145162</t>
  </si>
  <si>
    <t>NO COLOR</t>
  </si>
  <si>
    <t>192351729577</t>
  </si>
  <si>
    <t>Calvin Klein Jane Leather Medium Tote LuggageBlack</t>
  </si>
  <si>
    <t>BROWN</t>
  </si>
  <si>
    <t>802892163395</t>
  </si>
  <si>
    <t>DKNY Hutton Medium Satchel, Created KhakiWhiteGold</t>
  </si>
  <si>
    <t>DARK BEIGE</t>
  </si>
  <si>
    <t>802892103605</t>
  </si>
  <si>
    <t>DKNY Bryant Large Tote Hemp LogoLatteGold</t>
  </si>
  <si>
    <t>802892040382</t>
  </si>
  <si>
    <t>DKNY Smoke Belt Bag Latte</t>
  </si>
  <si>
    <t>711640581193</t>
  </si>
  <si>
    <t>The Sak Robertson Leather Small Satche BlackSilver</t>
  </si>
  <si>
    <t>SAK/ELLIOT LUCCA</t>
  </si>
  <si>
    <t>711640610442</t>
  </si>
  <si>
    <t>The Sak La Mesa 4-Poster Tote DoveSilver</t>
  </si>
  <si>
    <t>192351906183</t>
  </si>
  <si>
    <t>Calvin Klein Woven NorthSouth Novelty Tote PewterSilver</t>
  </si>
  <si>
    <t>DARK GRAY</t>
  </si>
  <si>
    <t>191797086718</t>
  </si>
  <si>
    <t>Calvin Klein Hayden Leather Shoulder Bag BlackSilver</t>
  </si>
  <si>
    <t>SILVER</t>
  </si>
  <si>
    <t>191202710160</t>
  </si>
  <si>
    <t>COACH Messenger Mini Crossbody TanRustGold</t>
  </si>
  <si>
    <t>190466030489</t>
  </si>
  <si>
    <t>Calvin Klein Morgan Small Tote Neutral ComboSilver</t>
  </si>
  <si>
    <t>LT/PAS BWN</t>
  </si>
  <si>
    <t>190466030472</t>
  </si>
  <si>
    <t>Calvin Klein Morgan Small Tote BlackSilver</t>
  </si>
  <si>
    <t>191797031510</t>
  </si>
  <si>
    <t>Calvin Klein Sonoma Straw Satchel Light SandGold</t>
  </si>
  <si>
    <t>190466043496</t>
  </si>
  <si>
    <t>Calvin Klein Hayden Large Tote Metallic BuckwheatSilver</t>
  </si>
  <si>
    <t>711640602690</t>
  </si>
  <si>
    <t>The Sak Avalon Convertible Leather Sma Sierra Multi PatchGold</t>
  </si>
  <si>
    <t>DARKORANGE</t>
  </si>
  <si>
    <t>193623804398</t>
  </si>
  <si>
    <t>Calvin Klein Abby Hobo Brown KhakiGold</t>
  </si>
  <si>
    <t>802892109690</t>
  </si>
  <si>
    <t>DKNY Elissa Pebble Leather Crossbod WhiteSilver</t>
  </si>
  <si>
    <t>190466043779</t>
  </si>
  <si>
    <t>Calvin Klein Key Items Monogram Crossbody Khaik BrownBuckwheatSilver</t>
  </si>
  <si>
    <t>802892111143</t>
  </si>
  <si>
    <t>DKNY Elissa Pebble Leather Crossbod FogSilver</t>
  </si>
  <si>
    <t>192351001826</t>
  </si>
  <si>
    <t>Calvin Klein Elaine Backpack Light SandGold</t>
  </si>
  <si>
    <t>191797024833</t>
  </si>
  <si>
    <t>Calvin Klein Rachel Crossbody SilverSilver</t>
  </si>
  <si>
    <t>882256399295</t>
  </si>
  <si>
    <t>Kipling Alvy 2-in-1 Convertible Tote B Glistening Poppy BlueSilver</t>
  </si>
  <si>
    <t>LT/PASBLUE</t>
  </si>
  <si>
    <t>KIPLING RETAIL LLC</t>
  </si>
  <si>
    <t>191422293290</t>
  </si>
  <si>
    <t>AVERY CROSSBODY</t>
  </si>
  <si>
    <t>BRGHT YELL</t>
  </si>
  <si>
    <t>802892122774</t>
  </si>
  <si>
    <t>DKNY Tilly Medium Belt Bag GunmetalSilver</t>
  </si>
  <si>
    <t>715676501118</t>
  </si>
  <si>
    <t>Tommy Hilfiger Leah Dome Backpack BlackGold</t>
  </si>
  <si>
    <t>TOMMY HILFIGER USA/HNDBAGS &amp; S/L/G</t>
  </si>
  <si>
    <t>802892162145</t>
  </si>
  <si>
    <t>DKNY Paige Circle Belt Bag BlackGold</t>
  </si>
  <si>
    <t>191797061050</t>
  </si>
  <si>
    <t>Calvin Klein Lane Messenger BlackSilver</t>
  </si>
  <si>
    <t>802892446054</t>
  </si>
  <si>
    <t>DKNY Bryant New Zip-Around Wallet Iconic BlushGold</t>
  </si>
  <si>
    <t>802892045806</t>
  </si>
  <si>
    <t>DKNY Bryant Wallet Crossbody Latte</t>
  </si>
  <si>
    <t>191797023003</t>
  </si>
  <si>
    <t>Calvin Klein Signature Rachel Tote Blue GreySilver</t>
  </si>
  <si>
    <t>882256379372</t>
  </si>
  <si>
    <t>Kipling Cora Handbag Metallic PewterSilver</t>
  </si>
  <si>
    <t>191797044152</t>
  </si>
  <si>
    <t>Calvin Klein Tali Messenger WhiteBlackSilver</t>
  </si>
  <si>
    <t>802892440502</t>
  </si>
  <si>
    <t>DKNY Bryant Wristlet Iconic BlushGold</t>
  </si>
  <si>
    <t>747542245284</t>
  </si>
  <si>
    <t>Giani Bernini Pebble Bridle Top-Handle Mediu Black Silver</t>
  </si>
  <si>
    <t>GIANI BERNINI-EDI/CARRYLAND CO INC</t>
  </si>
  <si>
    <t>192317326130</t>
  </si>
  <si>
    <t>Michael Kors y ClearSilver</t>
  </si>
  <si>
    <t>882256387759</t>
  </si>
  <si>
    <t>Kipling Lyanne Crossbody BlackSilver</t>
  </si>
  <si>
    <t>732994494724</t>
  </si>
  <si>
    <t>Giani Bernini Pebble Crocodile Dome Satchel BlackSilver</t>
  </si>
  <si>
    <t>732994809979</t>
  </si>
  <si>
    <t>INC International Concepts Blakke Woven Shoulder Bag Cloud GreySilver</t>
  </si>
  <si>
    <t>LT/PAS GRY</t>
  </si>
  <si>
    <t>MMG-INC-EDI/CGA DESIGNS</t>
  </si>
  <si>
    <t>732994720960</t>
  </si>
  <si>
    <t>Giani Bernini Bark Patent Tote BlackGold</t>
  </si>
  <si>
    <t>GIANI BERNINI-EDI/L &amp; LEUNG</t>
  </si>
  <si>
    <t>747542244522</t>
  </si>
  <si>
    <t>Giani Bernini Nappa Leather Hobo WhiskeySilver</t>
  </si>
  <si>
    <t>MED BROWN</t>
  </si>
  <si>
    <t>747542245338</t>
  </si>
  <si>
    <t>Giani Bernini Pebble Bridle Small Hobo RoseGold</t>
  </si>
  <si>
    <t>812475036640</t>
  </si>
  <si>
    <t>GABRIELLE SMALL BOX BASIC</t>
  </si>
  <si>
    <t>MED PINK</t>
  </si>
  <si>
    <t>LESPORTSAC/BAG STUDIO</t>
  </si>
  <si>
    <t>608381931687</t>
  </si>
  <si>
    <t>Giani Bernini Glazed Tote GreyGold</t>
  </si>
  <si>
    <t>MED GRAY</t>
  </si>
  <si>
    <t>85612163053</t>
  </si>
  <si>
    <t>INC International Concepts Danyele Mini Clutch BlushGold</t>
  </si>
  <si>
    <t>INC - LA REGALE</t>
  </si>
  <si>
    <t>636202921029</t>
  </si>
  <si>
    <t>INC International Concepts Elliah Nylon Satchel BlackGold</t>
  </si>
  <si>
    <t>636193003940</t>
  </si>
  <si>
    <t>INC International Concepts Remmey Leopard-Print Medium Sa LeopardGold</t>
  </si>
  <si>
    <t>840076194797</t>
  </si>
  <si>
    <t>RMIPH GRNDE GSL</t>
  </si>
  <si>
    <t>GOLD</t>
  </si>
  <si>
    <t>REBECCA MINKOFF/INCIPIO LLC</t>
  </si>
  <si>
    <t>882256388435</t>
  </si>
  <si>
    <t>Kipling Angie Print Crossbody Blushing PosiesSilver</t>
  </si>
  <si>
    <t>747542244539</t>
  </si>
  <si>
    <t>Giani Bernini Handbag, Nappa Front Zip Cross WineSilver</t>
  </si>
  <si>
    <t>889732482588</t>
  </si>
  <si>
    <t>OFF IPHONE 6S CASE BASIC</t>
  </si>
  <si>
    <t>MARC JACOBS INT'L INACTIVE</t>
  </si>
  <si>
    <t>726895988246</t>
  </si>
  <si>
    <t>Giani Bernini Embossed Logo Small Crossbody BlackSilver</t>
  </si>
  <si>
    <t>636202553244</t>
  </si>
  <si>
    <t>INC International Concepts Jessa Studded Top-Handle Cross BlackGold</t>
  </si>
  <si>
    <t>889487508793</t>
  </si>
  <si>
    <t>Steve Madden Small Clutch Pink Multi</t>
  </si>
  <si>
    <t>STEVEN/DANIEL M FRIEDMAN</t>
  </si>
  <si>
    <t>193624349942</t>
  </si>
  <si>
    <t>Steve Madden Barkley Camera Bag Crossbody BlackSilver</t>
  </si>
  <si>
    <t>193624349751</t>
  </si>
  <si>
    <t>Steve Madden Murray Mesh Backpack RedBlack</t>
  </si>
  <si>
    <t>RED</t>
  </si>
  <si>
    <t>689439139576</t>
  </si>
  <si>
    <t>INC International Concepts Jessa Tunnel Crossbody BlackGold</t>
  </si>
  <si>
    <t>812475035971</t>
  </si>
  <si>
    <t>MONTANA BELT BAG</t>
  </si>
  <si>
    <t>BUCK</t>
  </si>
  <si>
    <t>747542245376</t>
  </si>
  <si>
    <t>Giani Bernini Nappa Leather Crossbody RoseSilver</t>
  </si>
  <si>
    <t>747542244553</t>
  </si>
  <si>
    <t>Giani Bernini Nappa Leather Crossbody WhiskeySilver</t>
  </si>
  <si>
    <t>689439080458</t>
  </si>
  <si>
    <t>INC International Concepts Glam Quilted Camera Crossbody Millennial PinkRose Gold</t>
  </si>
  <si>
    <t>29014993542</t>
  </si>
  <si>
    <t>Nine West Thandi Shoulder Bag BlackGold</t>
  </si>
  <si>
    <t>NINE WEST/SIGNAL PRODUCTS/SBNW LLC</t>
  </si>
  <si>
    <t>732995233933</t>
  </si>
  <si>
    <t>Giani Bernini Butterfly Patchwork Crossbody MultiSilver</t>
  </si>
  <si>
    <t>NAVY</t>
  </si>
  <si>
    <t>492032104663</t>
  </si>
  <si>
    <t>FAUX FUR TOTE BASIC</t>
  </si>
  <si>
    <t>AQUA/TRIPLE 7 GLOBAL INC</t>
  </si>
  <si>
    <t>98687117654</t>
  </si>
  <si>
    <t>IPHONE CASES MAKE YOUR O</t>
  </si>
  <si>
    <t>KATE SPADE/KATE SPADE &amp; COMPANY</t>
  </si>
  <si>
    <t>732995246551</t>
  </si>
  <si>
    <t>INC International Concepts Alisa Nylon Crossbody NavySilver</t>
  </si>
  <si>
    <t>732995249866</t>
  </si>
  <si>
    <t>INC International Concepts Transparent Tote ChambraySilver</t>
  </si>
  <si>
    <t>DARK BLUE</t>
  </si>
  <si>
    <t>636189509487</t>
  </si>
  <si>
    <t>INC International Concepts Quiin Pearl Stud Camera Crossb MadieraGold</t>
  </si>
  <si>
    <t>WINE</t>
  </si>
  <si>
    <t>732995379464</t>
  </si>
  <si>
    <t>INC International Concepts Haili Nylon Backpack Black FloralGold</t>
  </si>
  <si>
    <t>98687300728</t>
  </si>
  <si>
    <t>PEARL STUD - X2</t>
  </si>
  <si>
    <t>BGEOVERFLW</t>
  </si>
  <si>
    <t>98687300711</t>
  </si>
  <si>
    <t>PEARL STUD - X PLUS</t>
  </si>
  <si>
    <t>732996274737</t>
  </si>
  <si>
    <t>INC International Concepts Straw Open Handle Tote Black</t>
  </si>
  <si>
    <t>INC-EDI/STRAW STUDIO</t>
  </si>
  <si>
    <t>98687160537</t>
  </si>
  <si>
    <t>Juicy Couture Embellished Sequin Track Suit Gold X Large</t>
  </si>
  <si>
    <t>98687196048</t>
  </si>
  <si>
    <t>IPHONE CASESJEWELED DAIS</t>
  </si>
  <si>
    <t>191267165332</t>
  </si>
  <si>
    <t>IPHONE 7 CASE</t>
  </si>
  <si>
    <t>98687300872</t>
  </si>
  <si>
    <t>FLORET CLEAR - XS</t>
  </si>
  <si>
    <t>98687300520</t>
  </si>
  <si>
    <t>JEWELED CHAMPAGNE - X2</t>
  </si>
  <si>
    <t>98687300537</t>
  </si>
  <si>
    <t>JEWELED CHAMPAGNE - X PLUS</t>
  </si>
  <si>
    <t>98687300858</t>
  </si>
  <si>
    <t>FLORET CLEAR - X PLUS</t>
  </si>
  <si>
    <t>191267165424</t>
  </si>
  <si>
    <t>492031660481</t>
  </si>
  <si>
    <t>SKINNY V QUILT BELT BASIC</t>
  </si>
  <si>
    <t>AQUA/CHRISTOPHER KON INC</t>
  </si>
  <si>
    <t>636202635735</t>
  </si>
  <si>
    <t>INC International Concepts Studded Carolyn Clutch BlackGold</t>
  </si>
  <si>
    <t>INC-EDI/WESTPORT MUNDI</t>
  </si>
  <si>
    <t>98687075008</t>
  </si>
  <si>
    <t>IPHONE CASES JEWELED GAR</t>
  </si>
  <si>
    <t>98687300551</t>
  </si>
  <si>
    <t>MIRROR OMBRE - XS</t>
  </si>
  <si>
    <t>98687075121</t>
  </si>
  <si>
    <t>IPHONE CASES JEWELED CAS</t>
  </si>
  <si>
    <t>98687216777</t>
  </si>
  <si>
    <t>SUNSET GLITTER OMBRE</t>
  </si>
  <si>
    <t>98687300650</t>
  </si>
  <si>
    <t>MIRROR OMBRE - X PLUS</t>
  </si>
  <si>
    <t>98687300735</t>
  </si>
  <si>
    <t>MIRROR OMBRE - X2</t>
  </si>
  <si>
    <t>98687341189</t>
  </si>
  <si>
    <t>kate spade new york Glitter Abstract Peony iPhone Pink Multi</t>
  </si>
  <si>
    <t>KATE SPADE/KATE SPADE &amp; COMPANY BBM</t>
  </si>
  <si>
    <t>732995212884</t>
  </si>
  <si>
    <t>INC International Concepts Sydney Sparkle Small Minaudier SilverSilver</t>
  </si>
  <si>
    <t>840611156761</t>
  </si>
  <si>
    <t>CROC CIRCLE XBODY BASIC</t>
  </si>
  <si>
    <t>AQUA/URBAN EXPRESSIONS INC</t>
  </si>
  <si>
    <t>711372781175</t>
  </si>
  <si>
    <t>INC International Concepts Riverton Medium Hobo Cloud GreySilver</t>
  </si>
  <si>
    <t>MMG-INC-EDI/VZI INVESTMENT</t>
  </si>
  <si>
    <t>77979433962</t>
  </si>
  <si>
    <t>INC International Concepts Aislynn Minaudiere GoldGold</t>
  </si>
  <si>
    <t>636189524206</t>
  </si>
  <si>
    <t>Giani Bernini Triple-Zip Dasher Crossbody Hunter GreenSilver</t>
  </si>
  <si>
    <t>DARK GREEN</t>
  </si>
  <si>
    <t>GIANI BERNINI-EDI/MUNDI WESTPORT</t>
  </si>
  <si>
    <t>732995113433</t>
  </si>
  <si>
    <t>Giani Bernini Triple-Zip Dasher Crossbody BlueSilver</t>
  </si>
  <si>
    <t>732995207651</t>
  </si>
  <si>
    <t>INC International Concepts Carolyn Straw Clutch Black MultiGold</t>
  </si>
  <si>
    <t>812475036749</t>
  </si>
  <si>
    <t>GABRIELLE BOX COSMETIC CBASIC</t>
  </si>
  <si>
    <t>492032196026</t>
  </si>
  <si>
    <t>RFFLD CIRCLE HNDL LTHR BBASIC</t>
  </si>
  <si>
    <t>732996256931</t>
  </si>
  <si>
    <t>INC International Concepts Averry Tunnel Small Crossbody SnakeGold</t>
  </si>
  <si>
    <t>492032194992</t>
  </si>
  <si>
    <t>CROC BELT BAG BASIC</t>
  </si>
  <si>
    <t>PURPLE</t>
  </si>
  <si>
    <t>STREET LEVEL/TRIPLE 7 GLOBAL INC</t>
  </si>
  <si>
    <t>492032194978</t>
  </si>
  <si>
    <t>492032196293</t>
  </si>
  <si>
    <t>TONI XBODY BASIC</t>
  </si>
  <si>
    <t>817569020116</t>
  </si>
  <si>
    <t>COCO CABANA- IP7 BASIC</t>
  </si>
  <si>
    <t>SONIX/LENNTEK CORP</t>
  </si>
  <si>
    <t>77979433931</t>
  </si>
  <si>
    <t>INC International Concepts Evie Clutch BlackSilver</t>
  </si>
  <si>
    <t>492032196071</t>
  </si>
  <si>
    <t>FANNY PACK BASIC</t>
  </si>
  <si>
    <t>492032196057</t>
  </si>
  <si>
    <t>492031618604</t>
  </si>
  <si>
    <t>FANNY PACK</t>
  </si>
  <si>
    <t>492032196064</t>
  </si>
  <si>
    <t>636193686051</t>
  </si>
  <si>
    <t>INC International Concepts Carolyn Cake Glitter Clutch Pink MultiGold</t>
  </si>
  <si>
    <t>760439272996</t>
  </si>
  <si>
    <t>INC International Concepts Whipstitch Edge Floppy Hat Natural ONE SIZE</t>
  </si>
  <si>
    <t>INC/COLLECTION XIIX LTD</t>
  </si>
  <si>
    <t>760439272989</t>
  </si>
  <si>
    <t>INC International Concepts Whipstitch Edge Floppy Hat Light Tan ONE SIZE</t>
  </si>
  <si>
    <t>732994451727</t>
  </si>
  <si>
    <t>Giani Bernini Patent Receipt Wallet BlackSilver</t>
  </si>
  <si>
    <t>GB SLGS-EDI/MUNDI WESTPORT</t>
  </si>
  <si>
    <t>760439291737</t>
  </si>
  <si>
    <t>INC International Concepts Shimmer Packable Floppy Hat Chambray ONE SIZE</t>
  </si>
  <si>
    <t>5025546458004</t>
  </si>
  <si>
    <t>Radley London Celebrate Canvas Top Zip Tote WhiteRedSilver</t>
  </si>
  <si>
    <t>BRIGHT RED</t>
  </si>
  <si>
    <t>RADLEY &amp; CO</t>
  </si>
  <si>
    <t>192877510307</t>
  </si>
  <si>
    <t>795733207269</t>
  </si>
  <si>
    <t>DKNY Gemma Reversible Tote BlackGold</t>
  </si>
  <si>
    <t>193623749248</t>
  </si>
  <si>
    <t>Calvin Klein Kelly Backpack BlackLight SandSilver</t>
  </si>
  <si>
    <t>795733207245</t>
  </si>
  <si>
    <t>DKNY Gemma Reversible Tote Royal BlueSilver</t>
  </si>
  <si>
    <t>BRIGHTBLUE</t>
  </si>
  <si>
    <t>884141582386</t>
  </si>
  <si>
    <t>NINA</t>
  </si>
  <si>
    <t>LOEFFLER RANDALL</t>
  </si>
  <si>
    <t>795733264408</t>
  </si>
  <si>
    <t>DKNY Paige Belt Bag AzureSilver</t>
  </si>
  <si>
    <t>193623550004</t>
  </si>
  <si>
    <t>Calvin Klein Tandy Messenger Bag MossGold</t>
  </si>
  <si>
    <t>MED GREEN</t>
  </si>
  <si>
    <t>191797088705</t>
  </si>
  <si>
    <t>Calvin Klein Calvin Klein Clara Crossbody Black ComboSilver</t>
  </si>
  <si>
    <t>193623749262</t>
  </si>
  <si>
    <t>Calvin Klein Belfast Crossbody Navy ComboGold</t>
  </si>
  <si>
    <t>193623749217</t>
  </si>
  <si>
    <t>Calvin Klein Kelly Mini Backpack BlackLight SandSilver</t>
  </si>
  <si>
    <t>5057542436014</t>
  </si>
  <si>
    <t>NYLON CAT BACKPACK BASIC</t>
  </si>
  <si>
    <t>TED BAKER LIMITED</t>
  </si>
  <si>
    <t>882256400137</t>
  </si>
  <si>
    <t>Kipling Pia Tote Bag AlabasterSilver</t>
  </si>
  <si>
    <t>795733209706</t>
  </si>
  <si>
    <t>DKNY Pride Logo Crossbody BlackBlack</t>
  </si>
  <si>
    <t>715676621960</t>
  </si>
  <si>
    <t>Tommy Hilfiger Julia Patchwork Cosmetic Case MultiGold</t>
  </si>
  <si>
    <t>715676622004</t>
  </si>
  <si>
    <t>Tommy Hilfiger Julia Rugby Striped Cosmetic C MultiGold</t>
  </si>
  <si>
    <t>492032195036</t>
  </si>
  <si>
    <t>MARNI-ESQUE TOTE BASIC</t>
  </si>
  <si>
    <t>5060651480281</t>
  </si>
  <si>
    <t>BLACK EVIE</t>
  </si>
  <si>
    <t>SKINNYDIP/SKINNYDIP LIMITED</t>
  </si>
  <si>
    <t>760439274334</t>
  </si>
  <si>
    <t>INC International Concepts Pop Fray Edge Floppy Hat Turquoise ONE SIZE</t>
  </si>
  <si>
    <t>TURQ/AQUA</t>
  </si>
  <si>
    <t>760439274372</t>
  </si>
  <si>
    <t>INC International Concepts Pop Fray Edge Floppy Hat Yellow ONE SIZE</t>
  </si>
  <si>
    <t>760439274365</t>
  </si>
  <si>
    <t>INC International Concepts Pop Fray Edge Floppy Hat Red ONE SIZE</t>
  </si>
  <si>
    <t>DARK RED</t>
  </si>
  <si>
    <t>760439274495</t>
  </si>
  <si>
    <t>INC International Concepts Printed Tweed Stripe Frayed Ed Turquoise ONE SIZE</t>
  </si>
  <si>
    <t>760439274501</t>
  </si>
  <si>
    <t>INC International Concepts Printed Tweed Stripe Frayed Ed Black ONE SIZE</t>
  </si>
  <si>
    <t>760439274532</t>
  </si>
  <si>
    <t>INC International Concepts Printed Tweed Stripe Frayed Ed Yellow ONE SIZE</t>
  </si>
  <si>
    <t>760439273276</t>
  </si>
  <si>
    <t>INC International Concepts ackable Knit Baseball Cap Chambray ONE SIZE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</si>
</sst>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9"/>
      <color rgb="FF0000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1" fontId="19" fillId="0" borderId="0" xfId="0" applyNumberFormat="1" applyFont="1" applyAlignment="1">
      <alignment wrapText="1"/>
    </xf>
    <xf numFmtId="1" fontId="19" fillId="0" borderId="0" xfId="0" applyNumberFormat="1" applyFont="1" applyAlignment="1">
      <alignment horizontal="center" wrapText="1"/>
    </xf>
    <xf numFmtId="8" fontId="19" fillId="0" borderId="0" xfId="0" applyNumberFormat="1" applyFont="1" applyAlignment="1">
      <alignment wrapText="1"/>
    </xf>
    <xf numFmtId="0" fontId="19" fillId="0" borderId="0" xfId="0" applyFont="1" applyAlignment="1">
      <alignment horizontal="center" wrapText="1"/>
    </xf>
    <xf numFmtId="8" fontId="19" fillId="0" borderId="0" xfId="0" applyNumberFormat="1" applyFont="1" applyAlignment="1">
      <alignment horizontal="center" wrapText="1"/>
    </xf>
    <xf numFmtId="2" fontId="19" fillId="0" borderId="0" xfId="0" applyNumberFormat="1" applyFont="1" applyAlignment="1">
      <alignment horizontal="center" wrapText="1"/>
    </xf>
    <xf numFmtId="0" fontId="0" fillId="33" borderId="0" xfId="0" applyFill="1" applyBorder="1"/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wrapText="1"/>
    </xf>
    <xf numFmtId="0" fontId="19" fillId="0" borderId="14" xfId="0" applyFont="1" applyBorder="1" applyAlignment="1">
      <alignment wrapText="1"/>
    </xf>
    <xf numFmtId="1" fontId="19" fillId="0" borderId="14" xfId="0" applyNumberFormat="1" applyFont="1" applyBorder="1" applyAlignment="1">
      <alignment wrapText="1"/>
    </xf>
    <xf numFmtId="1" fontId="19" fillId="0" borderId="14" xfId="0" applyNumberFormat="1" applyFont="1" applyBorder="1" applyAlignment="1">
      <alignment horizontal="center" wrapText="1"/>
    </xf>
    <xf numFmtId="8" fontId="19" fillId="0" borderId="14" xfId="0" applyNumberFormat="1" applyFont="1" applyBorder="1" applyAlignment="1">
      <alignment wrapText="1"/>
    </xf>
    <xf numFmtId="0" fontId="19" fillId="0" borderId="14" xfId="0" applyFont="1" applyBorder="1" applyAlignment="1">
      <alignment horizontal="center" wrapText="1"/>
    </xf>
    <xf numFmtId="8" fontId="19" fillId="0" borderId="14" xfId="0" applyNumberFormat="1" applyFont="1" applyBorder="1" applyAlignment="1">
      <alignment horizontal="center" wrapText="1"/>
    </xf>
    <xf numFmtId="8" fontId="19" fillId="0" borderId="15" xfId="0" applyNumberFormat="1" applyFont="1" applyBorder="1" applyAlignment="1">
      <alignment wrapText="1"/>
    </xf>
    <xf numFmtId="49" fontId="19" fillId="0" borderId="16" xfId="0" applyNumberFormat="1" applyFont="1" applyBorder="1" applyAlignment="1">
      <alignment wrapText="1"/>
    </xf>
    <xf numFmtId="0" fontId="19" fillId="0" borderId="0" xfId="0" applyFont="1" applyBorder="1" applyAlignment="1">
      <alignment wrapText="1"/>
    </xf>
    <xf numFmtId="1" fontId="19" fillId="0" borderId="0" xfId="0" applyNumberFormat="1" applyFont="1" applyBorder="1" applyAlignment="1">
      <alignment horizontal="center" wrapText="1"/>
    </xf>
    <xf numFmtId="8" fontId="19" fillId="0" borderId="0" xfId="0" applyNumberFormat="1" applyFont="1" applyBorder="1" applyAlignment="1">
      <alignment horizontal="right" wrapText="1"/>
    </xf>
    <xf numFmtId="0" fontId="20" fillId="0" borderId="17" xfId="0" applyFont="1" applyBorder="1" applyAlignment="1">
      <alignment wrapText="1"/>
    </xf>
    <xf numFmtId="49" fontId="19" fillId="0" borderId="13" xfId="0" applyNumberFormat="1" applyFont="1" applyBorder="1" applyAlignment="1">
      <alignment wrapText="1"/>
    </xf>
    <xf numFmtId="8" fontId="19" fillId="0" borderId="14" xfId="0" applyNumberFormat="1" applyFont="1" applyBorder="1" applyAlignment="1">
      <alignment horizontal="right" wrapText="1"/>
    </xf>
    <xf numFmtId="0" fontId="20" fillId="0" borderId="15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70"/>
  <sheetViews>
    <sheetView tabSelected="1" workbookViewId="0">
      <selection activeCell="F10" sqref="F10"/>
    </sheetView>
  </sheetViews>
  <sheetFormatPr defaultRowHeight="15"/>
  <cols>
    <col min="1" max="1" width="14.28515625" customWidth="1"/>
    <col min="2" max="2" width="38.140625" customWidth="1"/>
    <col min="3" max="3" width="15" customWidth="1"/>
    <col min="4" max="4" width="23.5703125" customWidth="1"/>
    <col min="5" max="5" width="15.140625" customWidth="1"/>
    <col min="6" max="6" width="12.7109375" customWidth="1"/>
    <col min="7" max="7" width="12" customWidth="1"/>
    <col min="8" max="8" width="13.140625" customWidth="1"/>
    <col min="9" max="11" width="11.42578125" customWidth="1"/>
    <col min="12" max="12" width="10.7109375" customWidth="1"/>
    <col min="13" max="13" width="10.85546875" customWidth="1"/>
    <col min="14" max="14" width="12.140625" customWidth="1"/>
    <col min="15" max="15" width="36.5703125" bestFit="1" customWidth="1"/>
    <col min="16" max="16" width="64.28515625" customWidth="1"/>
  </cols>
  <sheetData>
    <row r="1" spans="1:14" s="1" customFormat="1" ht="15.75" thickBot="1"/>
    <row r="2" spans="1:14" ht="36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</row>
    <row r="3" spans="1:14" ht="25.5" thickBot="1">
      <c r="A3" s="14" t="s">
        <v>10</v>
      </c>
      <c r="B3" s="15" t="s">
        <v>11</v>
      </c>
      <c r="C3" s="16" t="s">
        <v>12</v>
      </c>
      <c r="D3" s="17" t="s">
        <v>13</v>
      </c>
      <c r="E3" s="17">
        <v>1</v>
      </c>
      <c r="F3" s="15">
        <v>25</v>
      </c>
      <c r="G3" s="18">
        <v>26086.42</v>
      </c>
      <c r="H3" s="19">
        <v>289</v>
      </c>
      <c r="I3" s="20">
        <v>7512</v>
      </c>
      <c r="J3" s="21">
        <f ca="1">I3/H3</f>
        <v>25.993079584775085</v>
      </c>
    </row>
    <row r="4" spans="1:14">
      <c r="A4" s="3"/>
      <c r="B4" s="4"/>
      <c r="C4" s="4"/>
      <c r="D4" s="3"/>
      <c r="E4" s="3"/>
      <c r="F4" s="4"/>
      <c r="G4" s="5"/>
      <c r="H4" s="5"/>
      <c r="I4" s="3"/>
      <c r="J4" s="6"/>
      <c r="K4" s="6"/>
      <c r="L4" s="7"/>
      <c r="M4" s="8"/>
      <c r="N4" s="6"/>
    </row>
    <row r="5" spans="1:14" s="1" customFormat="1"/>
    <row r="6" spans="1:14">
      <c r="A6" s="2"/>
      <c r="B6" s="2"/>
      <c r="C6" s="2"/>
      <c r="D6" s="2"/>
    </row>
    <row r="7" spans="1:14">
      <c r="A7" s="9"/>
      <c r="B7" s="3"/>
      <c r="C7" s="6"/>
      <c r="D7" s="6"/>
    </row>
    <row r="8" spans="1:14">
      <c r="A8" s="9"/>
      <c r="B8" s="3"/>
      <c r="C8" s="6"/>
      <c r="D8" s="6"/>
    </row>
    <row r="9" spans="1:14" s="1" customFormat="1" ht="15.75" thickBot="1">
      <c r="A9" s="10"/>
      <c r="B9" s="10"/>
      <c r="C9" s="10"/>
      <c r="D9" s="10"/>
      <c r="E9" s="10"/>
      <c r="F9" s="10"/>
      <c r="G9" s="10"/>
    </row>
    <row r="10" spans="1:14" ht="24">
      <c r="A10" s="11" t="s">
        <v>14</v>
      </c>
      <c r="B10" s="12" t="s">
        <v>15</v>
      </c>
      <c r="C10" s="12" t="s">
        <v>16</v>
      </c>
      <c r="D10" s="12" t="s">
        <v>17</v>
      </c>
      <c r="E10" s="12" t="s">
        <v>18</v>
      </c>
      <c r="F10" s="12" t="s">
        <v>19</v>
      </c>
      <c r="G10" s="13" t="s">
        <v>20</v>
      </c>
    </row>
    <row r="11" spans="1:14" ht="36.75">
      <c r="A11" s="22" t="s">
        <v>21</v>
      </c>
      <c r="B11" s="23" t="s">
        <v>22</v>
      </c>
      <c r="C11" s="24">
        <v>1</v>
      </c>
      <c r="D11" s="25">
        <v>395</v>
      </c>
      <c r="E11" s="23" t="s">
        <v>23</v>
      </c>
      <c r="F11" s="23" t="s">
        <v>24</v>
      </c>
      <c r="G11" s="26">
        <f ca="1">HYPERLINK("http://slimages.macys.com/is/image/MCY/9040220 ")</f>
        <v>0</v>
      </c>
    </row>
    <row r="12" spans="1:14" ht="24.75">
      <c r="A12" s="22" t="s">
        <v>25</v>
      </c>
      <c r="B12" s="23" t="s">
        <v>26</v>
      </c>
      <c r="C12" s="24">
        <v>1</v>
      </c>
      <c r="D12" s="25">
        <v>398</v>
      </c>
      <c r="E12" s="23" t="s">
        <v>27</v>
      </c>
      <c r="F12" s="23" t="s">
        <v>28</v>
      </c>
      <c r="G12" s="26">
        <f ca="1">HYPERLINK("http://images.bloomingdales.com/is/image/BLM/9888670 ")</f>
        <v>0</v>
      </c>
    </row>
    <row r="13" spans="1:14" ht="48.75">
      <c r="A13" s="22" t="s">
        <v>29</v>
      </c>
      <c r="B13" s="23" t="s">
        <v>30</v>
      </c>
      <c r="C13" s="24">
        <v>1</v>
      </c>
      <c r="D13" s="25">
        <v>358</v>
      </c>
      <c r="E13" s="23" t="s">
        <v>31</v>
      </c>
      <c r="F13" s="23" t="s">
        <v>32</v>
      </c>
      <c r="G13" s="26">
        <f ca="1">HYPERLINK("http://slimages.macys.com/is/image/MCY/10218399 ")</f>
        <v>0</v>
      </c>
    </row>
    <row r="14" spans="1:14" ht="48.75">
      <c r="A14" s="22" t="s">
        <v>33</v>
      </c>
      <c r="B14" s="23" t="s">
        <v>34</v>
      </c>
      <c r="C14" s="24">
        <v>1</v>
      </c>
      <c r="D14" s="25">
        <v>278</v>
      </c>
      <c r="E14" s="23" t="s">
        <v>35</v>
      </c>
      <c r="F14" s="23" t="s">
        <v>32</v>
      </c>
      <c r="G14" s="26">
        <f ca="1">HYPERLINK("http://slimages.macys.com/is/image/MCY/11191291 ")</f>
        <v>0</v>
      </c>
    </row>
    <row r="15" spans="1:14" ht="60.75">
      <c r="A15" s="22" t="s">
        <v>36</v>
      </c>
      <c r="B15" s="23" t="s">
        <v>37</v>
      </c>
      <c r="C15" s="24">
        <v>1</v>
      </c>
      <c r="D15" s="25">
        <v>269</v>
      </c>
      <c r="E15" s="23" t="s">
        <v>38</v>
      </c>
      <c r="F15" s="23" t="s">
        <v>39</v>
      </c>
      <c r="G15" s="26">
        <f ca="1">HYPERLINK("http://slimages.macys.com/is/image/MCY/10593533 ")</f>
        <v>0</v>
      </c>
    </row>
    <row r="16" spans="1:14" ht="48.75">
      <c r="A16" s="22" t="s">
        <v>40</v>
      </c>
      <c r="B16" s="23" t="s">
        <v>41</v>
      </c>
      <c r="C16" s="24">
        <v>1</v>
      </c>
      <c r="D16" s="25">
        <v>268</v>
      </c>
      <c r="E16" s="23" t="s">
        <v>42</v>
      </c>
      <c r="F16" s="23" t="s">
        <v>43</v>
      </c>
      <c r="G16" s="26">
        <f ca="1">HYPERLINK("http://slimages.macys.com/is/image/MCY/9986323 ")</f>
        <v>0</v>
      </c>
    </row>
    <row r="17" spans="1:7" ht="36.75">
      <c r="A17" s="22" t="s">
        <v>44</v>
      </c>
      <c r="B17" s="23" t="s">
        <v>45</v>
      </c>
      <c r="C17" s="24">
        <v>1</v>
      </c>
      <c r="D17" s="25">
        <v>268</v>
      </c>
      <c r="E17" s="23" t="s">
        <v>46</v>
      </c>
      <c r="F17" s="23" t="s">
        <v>47</v>
      </c>
      <c r="G17" s="26">
        <f ca="1">HYPERLINK("http://slimages.macys.com/is/image/MCY/12290274 ")</f>
        <v>0</v>
      </c>
    </row>
    <row r="18" spans="1:7" ht="48.75">
      <c r="A18" s="22" t="s">
        <v>48</v>
      </c>
      <c r="B18" s="23" t="s">
        <v>49</v>
      </c>
      <c r="C18" s="24">
        <v>1</v>
      </c>
      <c r="D18" s="25">
        <v>248</v>
      </c>
      <c r="E18" s="23" t="s">
        <v>50</v>
      </c>
      <c r="F18" s="23" t="s">
        <v>32</v>
      </c>
      <c r="G18" s="26">
        <f ca="1">HYPERLINK("http://slimages.macys.com/is/image/MCY/11190826 ")</f>
        <v>0</v>
      </c>
    </row>
    <row r="19" spans="1:7" ht="48.75">
      <c r="A19" s="22" t="s">
        <v>51</v>
      </c>
      <c r="B19" s="23" t="s">
        <v>52</v>
      </c>
      <c r="C19" s="24">
        <v>1</v>
      </c>
      <c r="D19" s="25">
        <v>248</v>
      </c>
      <c r="E19" s="23" t="s">
        <v>53</v>
      </c>
      <c r="F19" s="23" t="s">
        <v>32</v>
      </c>
      <c r="G19" s="26">
        <f ca="1">HYPERLINK("http://images.bloomingdales.com/is/image/BLM/10194002 ")</f>
        <v>0</v>
      </c>
    </row>
    <row r="20" spans="1:7" ht="24.75">
      <c r="A20" s="22" t="s">
        <v>54</v>
      </c>
      <c r="B20" s="23" t="s">
        <v>55</v>
      </c>
      <c r="C20" s="24">
        <v>1</v>
      </c>
      <c r="D20" s="25">
        <v>345</v>
      </c>
      <c r="E20" s="23" t="s">
        <v>56</v>
      </c>
      <c r="F20" s="23" t="s">
        <v>57</v>
      </c>
      <c r="G20" s="26">
        <f ca="1">HYPERLINK("http://images.bloomingdales.com/is/image/BLM/9489920 ")</f>
        <v>0</v>
      </c>
    </row>
    <row r="21" spans="1:7" ht="36.75">
      <c r="A21" s="22" t="s">
        <v>58</v>
      </c>
      <c r="B21" s="23" t="s">
        <v>59</v>
      </c>
      <c r="C21" s="24">
        <v>1</v>
      </c>
      <c r="D21" s="25">
        <v>225</v>
      </c>
      <c r="E21" s="23" t="s">
        <v>42</v>
      </c>
      <c r="F21" s="23" t="s">
        <v>24</v>
      </c>
      <c r="G21" s="26">
        <f ca="1">HYPERLINK("http://slimages.macys.com/is/image/MCY/10679134 ")</f>
        <v>0</v>
      </c>
    </row>
    <row r="22" spans="1:7" ht="36.75">
      <c r="A22" s="22" t="s">
        <v>60</v>
      </c>
      <c r="B22" s="23" t="s">
        <v>61</v>
      </c>
      <c r="C22" s="24">
        <v>1</v>
      </c>
      <c r="D22" s="25">
        <v>248</v>
      </c>
      <c r="E22" s="23" t="s">
        <v>62</v>
      </c>
      <c r="F22" s="23" t="s">
        <v>47</v>
      </c>
      <c r="G22" s="26">
        <f ca="1">HYPERLINK("http://slimages.macys.com/is/image/MCY/10311706 ")</f>
        <v>0</v>
      </c>
    </row>
    <row r="23" spans="1:7" ht="36.75">
      <c r="A23" s="22" t="s">
        <v>63</v>
      </c>
      <c r="B23" s="23" t="s">
        <v>64</v>
      </c>
      <c r="C23" s="24">
        <v>1</v>
      </c>
      <c r="D23" s="25">
        <v>248</v>
      </c>
      <c r="E23" s="23" t="s">
        <v>65</v>
      </c>
      <c r="F23" s="23" t="s">
        <v>47</v>
      </c>
      <c r="G23" s="26">
        <f ca="1">HYPERLINK("http://slimages.macys.com/is/image/MCY/11513541 ")</f>
        <v>0</v>
      </c>
    </row>
    <row r="24" spans="1:7" ht="48.75">
      <c r="A24" s="22" t="s">
        <v>66</v>
      </c>
      <c r="B24" s="23" t="s">
        <v>67</v>
      </c>
      <c r="C24" s="24">
        <v>1</v>
      </c>
      <c r="D24" s="25">
        <v>228</v>
      </c>
      <c r="E24" s="23" t="s">
        <v>68</v>
      </c>
      <c r="F24" s="23" t="s">
        <v>32</v>
      </c>
      <c r="G24" s="26">
        <f ca="1">HYPERLINK("http://slimages.macys.com/is/image/MCY/10045053 ")</f>
        <v>0</v>
      </c>
    </row>
    <row r="25" spans="1:7" ht="48.75">
      <c r="A25" s="22" t="s">
        <v>69</v>
      </c>
      <c r="B25" s="23" t="s">
        <v>70</v>
      </c>
      <c r="C25" s="24">
        <v>1</v>
      </c>
      <c r="D25" s="25">
        <v>228</v>
      </c>
      <c r="E25" s="23" t="s">
        <v>71</v>
      </c>
      <c r="F25" s="23" t="s">
        <v>32</v>
      </c>
      <c r="G25" s="26">
        <f ca="1">HYPERLINK("http://slimages.macys.com/is/image/MCY/9212301 ")</f>
        <v>0</v>
      </c>
    </row>
    <row r="26" spans="1:7" ht="60.75">
      <c r="A26" s="22" t="s">
        <v>72</v>
      </c>
      <c r="B26" s="23" t="s">
        <v>73</v>
      </c>
      <c r="C26" s="24">
        <v>1</v>
      </c>
      <c r="D26" s="25">
        <v>250</v>
      </c>
      <c r="E26" s="23" t="s">
        <v>23</v>
      </c>
      <c r="F26" s="23" t="s">
        <v>74</v>
      </c>
      <c r="G26" s="26">
        <f ca="1">HYPERLINK("http://images.bloomingdales.com/is/image/BLM/9852204 ")</f>
        <v>0</v>
      </c>
    </row>
    <row r="27" spans="1:7" ht="48.75">
      <c r="A27" s="22" t="s">
        <v>75</v>
      </c>
      <c r="B27" s="23" t="s">
        <v>76</v>
      </c>
      <c r="C27" s="24">
        <v>1</v>
      </c>
      <c r="D27" s="25">
        <v>228</v>
      </c>
      <c r="E27" s="23" t="s">
        <v>77</v>
      </c>
      <c r="F27" s="23" t="s">
        <v>43</v>
      </c>
      <c r="G27" s="26">
        <f ca="1">HYPERLINK("http://slimages.macys.com/is/image/MCY/11959230 ")</f>
        <v>0</v>
      </c>
    </row>
    <row r="28" spans="1:7" ht="48.75">
      <c r="A28" s="22" t="s">
        <v>78</v>
      </c>
      <c r="B28" s="23" t="s">
        <v>79</v>
      </c>
      <c r="C28" s="24">
        <v>1</v>
      </c>
      <c r="D28" s="25">
        <v>228</v>
      </c>
      <c r="E28" s="23" t="s">
        <v>42</v>
      </c>
      <c r="F28" s="23" t="s">
        <v>43</v>
      </c>
      <c r="G28" s="26">
        <f ca="1">HYPERLINK("http://slimages.macys.com/is/image/MCY/10824631 ")</f>
        <v>0</v>
      </c>
    </row>
    <row r="29" spans="1:7" ht="48.75">
      <c r="A29" s="22" t="s">
        <v>80</v>
      </c>
      <c r="B29" s="23" t="s">
        <v>81</v>
      </c>
      <c r="C29" s="24">
        <v>1</v>
      </c>
      <c r="D29" s="25">
        <v>198</v>
      </c>
      <c r="E29" s="23" t="s">
        <v>82</v>
      </c>
      <c r="F29" s="23" t="s">
        <v>32</v>
      </c>
      <c r="G29" s="26">
        <f ca="1">HYPERLINK("http://slimages.macys.com/is/image/MCY/8841859 ")</f>
        <v>0</v>
      </c>
    </row>
    <row r="30" spans="1:7" ht="60.75">
      <c r="A30" s="22" t="s">
        <v>83</v>
      </c>
      <c r="B30" s="23" t="s">
        <v>84</v>
      </c>
      <c r="C30" s="24">
        <v>1</v>
      </c>
      <c r="D30" s="25">
        <v>198</v>
      </c>
      <c r="E30" s="23" t="s">
        <v>85</v>
      </c>
      <c r="F30" s="23" t="s">
        <v>86</v>
      </c>
      <c r="G30" s="26">
        <f ca="1">HYPERLINK("http://slimages.macys.com/is/image/MCY/11290255 ")</f>
        <v>0</v>
      </c>
    </row>
    <row r="31" spans="1:7" ht="48.75">
      <c r="A31" s="22" t="s">
        <v>87</v>
      </c>
      <c r="B31" s="23" t="s">
        <v>88</v>
      </c>
      <c r="C31" s="24">
        <v>1</v>
      </c>
      <c r="D31" s="25">
        <v>298</v>
      </c>
      <c r="E31" s="23"/>
      <c r="F31" s="23" t="s">
        <v>32</v>
      </c>
      <c r="G31" s="26">
        <f ca="1">HYPERLINK("http://slimages.macys.com/is/image/MCY/10186370 ")</f>
        <v>0</v>
      </c>
    </row>
    <row r="32" spans="1:7" ht="36.75">
      <c r="A32" s="22" t="s">
        <v>89</v>
      </c>
      <c r="B32" s="23" t="s">
        <v>90</v>
      </c>
      <c r="C32" s="24">
        <v>1</v>
      </c>
      <c r="D32" s="25">
        <v>198</v>
      </c>
      <c r="E32" s="23" t="s">
        <v>91</v>
      </c>
      <c r="F32" s="23" t="s">
        <v>47</v>
      </c>
      <c r="G32" s="26">
        <f ca="1">HYPERLINK("http://slimages.macys.com/is/image/MCY/9316801 ")</f>
        <v>0</v>
      </c>
    </row>
    <row r="33" spans="1:7" ht="36.75">
      <c r="A33" s="22" t="s">
        <v>92</v>
      </c>
      <c r="B33" s="23" t="s">
        <v>93</v>
      </c>
      <c r="C33" s="24">
        <v>1</v>
      </c>
      <c r="D33" s="25">
        <v>195</v>
      </c>
      <c r="E33" s="23" t="s">
        <v>68</v>
      </c>
      <c r="F33" s="23" t="s">
        <v>94</v>
      </c>
      <c r="G33" s="26">
        <f ca="1">HYPERLINK("http://images.bloomingdales.com/is/image/BLM/9857918 ")</f>
        <v>0</v>
      </c>
    </row>
    <row r="34" spans="1:7" ht="36.75">
      <c r="A34" s="22" t="s">
        <v>95</v>
      </c>
      <c r="B34" s="23" t="s">
        <v>93</v>
      </c>
      <c r="C34" s="24">
        <v>1</v>
      </c>
      <c r="D34" s="25">
        <v>195</v>
      </c>
      <c r="E34" s="23" t="s">
        <v>96</v>
      </c>
      <c r="F34" s="23" t="s">
        <v>94</v>
      </c>
      <c r="G34" s="26">
        <f ca="1">HYPERLINK("http://images.bloomingdales.com/is/image/BLM/9857918 ")</f>
        <v>0</v>
      </c>
    </row>
    <row r="35" spans="1:7" ht="48.75">
      <c r="A35" s="22" t="s">
        <v>97</v>
      </c>
      <c r="B35" s="23" t="s">
        <v>98</v>
      </c>
      <c r="C35" s="24">
        <v>1</v>
      </c>
      <c r="D35" s="25">
        <v>188</v>
      </c>
      <c r="E35" s="23" t="s">
        <v>99</v>
      </c>
      <c r="F35" s="23" t="s">
        <v>43</v>
      </c>
      <c r="G35" s="26">
        <f ca="1">HYPERLINK("http://slimages.macys.com/is/image/MCY/10127328 ")</f>
        <v>0</v>
      </c>
    </row>
    <row r="36" spans="1:7" ht="36.75">
      <c r="A36" s="22" t="s">
        <v>100</v>
      </c>
      <c r="B36" s="23" t="s">
        <v>101</v>
      </c>
      <c r="C36" s="24">
        <v>1</v>
      </c>
      <c r="D36" s="25">
        <v>178</v>
      </c>
      <c r="E36" s="23" t="s">
        <v>102</v>
      </c>
      <c r="F36" s="23" t="s">
        <v>47</v>
      </c>
      <c r="G36" s="26">
        <f ca="1">HYPERLINK("http://slimages.macys.com/is/image/MCY/10917620 ")</f>
        <v>0</v>
      </c>
    </row>
    <row r="37" spans="1:7" ht="36.75">
      <c r="A37" s="22" t="s">
        <v>103</v>
      </c>
      <c r="B37" s="23" t="s">
        <v>104</v>
      </c>
      <c r="C37" s="24">
        <v>1</v>
      </c>
      <c r="D37" s="25">
        <v>178</v>
      </c>
      <c r="E37" s="23" t="s">
        <v>62</v>
      </c>
      <c r="F37" s="23" t="s">
        <v>47</v>
      </c>
      <c r="G37" s="26">
        <f ca="1">HYPERLINK("http://slimages.macys.com/is/image/MCY/9720844 ")</f>
        <v>0</v>
      </c>
    </row>
    <row r="38" spans="1:7" ht="36.75">
      <c r="A38" s="22" t="s">
        <v>105</v>
      </c>
      <c r="B38" s="23" t="s">
        <v>106</v>
      </c>
      <c r="C38" s="24">
        <v>1</v>
      </c>
      <c r="D38" s="25">
        <v>198</v>
      </c>
      <c r="E38" s="23" t="s">
        <v>91</v>
      </c>
      <c r="F38" s="23" t="s">
        <v>47</v>
      </c>
      <c r="G38" s="26">
        <f ca="1">HYPERLINK("http://slimages.macys.com/is/image/MCY/11463187 ")</f>
        <v>0</v>
      </c>
    </row>
    <row r="39" spans="1:7" ht="24.75">
      <c r="A39" s="22" t="s">
        <v>107</v>
      </c>
      <c r="B39" s="23" t="s">
        <v>108</v>
      </c>
      <c r="C39" s="24">
        <v>1</v>
      </c>
      <c r="D39" s="25">
        <v>171.75</v>
      </c>
      <c r="E39" s="23" t="s">
        <v>68</v>
      </c>
      <c r="F39" s="23" t="s">
        <v>109</v>
      </c>
      <c r="G39" s="26">
        <f ca="1">HYPERLINK("http://slimages.macys.com/is/image/MCY/10039528 ")</f>
        <v>0</v>
      </c>
    </row>
    <row r="40" spans="1:7" ht="24.75">
      <c r="A40" s="22" t="s">
        <v>110</v>
      </c>
      <c r="B40" s="23" t="s">
        <v>111</v>
      </c>
      <c r="C40" s="24">
        <v>1</v>
      </c>
      <c r="D40" s="25">
        <v>171.75</v>
      </c>
      <c r="E40" s="23" t="s">
        <v>62</v>
      </c>
      <c r="F40" s="23" t="s">
        <v>109</v>
      </c>
      <c r="G40" s="26">
        <f ca="1">HYPERLINK("http://slimages.macys.com/is/image/MCY/10765156 ")</f>
        <v>0</v>
      </c>
    </row>
    <row r="41" spans="1:7" ht="48.75">
      <c r="A41" s="22" t="s">
        <v>112</v>
      </c>
      <c r="B41" s="23" t="s">
        <v>113</v>
      </c>
      <c r="C41" s="24">
        <v>1</v>
      </c>
      <c r="D41" s="25">
        <v>168</v>
      </c>
      <c r="E41" s="23" t="s">
        <v>114</v>
      </c>
      <c r="F41" s="23" t="s">
        <v>43</v>
      </c>
      <c r="G41" s="26">
        <f ca="1">HYPERLINK("http://slimages.macys.com/is/image/MCY/11246892 ")</f>
        <v>0</v>
      </c>
    </row>
    <row r="42" spans="1:7" ht="48.75">
      <c r="A42" s="22" t="s">
        <v>115</v>
      </c>
      <c r="B42" s="23" t="s">
        <v>116</v>
      </c>
      <c r="C42" s="24">
        <v>1</v>
      </c>
      <c r="D42" s="25">
        <v>168</v>
      </c>
      <c r="E42" s="23" t="s">
        <v>117</v>
      </c>
      <c r="F42" s="23" t="s">
        <v>43</v>
      </c>
      <c r="G42" s="26">
        <f ca="1">HYPERLINK("http://slimages.macys.com/is/image/MCY/11261705 ")</f>
        <v>0</v>
      </c>
    </row>
    <row r="43" spans="1:7" ht="36.75">
      <c r="A43" s="22" t="s">
        <v>118</v>
      </c>
      <c r="B43" s="23" t="s">
        <v>119</v>
      </c>
      <c r="C43" s="24">
        <v>1</v>
      </c>
      <c r="D43" s="25">
        <v>145</v>
      </c>
      <c r="E43" s="23" t="s">
        <v>91</v>
      </c>
      <c r="F43" s="23" t="s">
        <v>24</v>
      </c>
      <c r="G43" s="26">
        <f ca="1">HYPERLINK("http://slimages.macys.com/is/image/MCY/9966170 ")</f>
        <v>0</v>
      </c>
    </row>
    <row r="44" spans="1:7" ht="48.75">
      <c r="A44" s="22" t="s">
        <v>120</v>
      </c>
      <c r="B44" s="23" t="s">
        <v>121</v>
      </c>
      <c r="C44" s="24">
        <v>1</v>
      </c>
      <c r="D44" s="25">
        <v>158</v>
      </c>
      <c r="E44" s="23" t="s">
        <v>122</v>
      </c>
      <c r="F44" s="23" t="s">
        <v>43</v>
      </c>
      <c r="G44" s="26">
        <f ca="1">HYPERLINK("http://slimages.macys.com/is/image/MCY/11717838 ")</f>
        <v>0</v>
      </c>
    </row>
    <row r="45" spans="1:7" ht="48.75">
      <c r="A45" s="22" t="s">
        <v>123</v>
      </c>
      <c r="B45" s="23" t="s">
        <v>124</v>
      </c>
      <c r="C45" s="24">
        <v>1</v>
      </c>
      <c r="D45" s="25">
        <v>158</v>
      </c>
      <c r="E45" s="23" t="s">
        <v>68</v>
      </c>
      <c r="F45" s="23" t="s">
        <v>43</v>
      </c>
      <c r="G45" s="26">
        <f ca="1">HYPERLINK("http://slimages.macys.com/is/image/MCY/11717838 ")</f>
        <v>0</v>
      </c>
    </row>
    <row r="46" spans="1:7" ht="48.75">
      <c r="A46" s="22" t="s">
        <v>125</v>
      </c>
      <c r="B46" s="23" t="s">
        <v>126</v>
      </c>
      <c r="C46" s="24">
        <v>2</v>
      </c>
      <c r="D46" s="25">
        <v>158</v>
      </c>
      <c r="E46" s="23" t="s">
        <v>91</v>
      </c>
      <c r="F46" s="23" t="s">
        <v>43</v>
      </c>
      <c r="G46" s="26">
        <f ca="1">HYPERLINK("http://slimages.macys.com/is/image/MCY/11471029 ")</f>
        <v>0</v>
      </c>
    </row>
    <row r="47" spans="1:7" ht="48.75">
      <c r="A47" s="22" t="s">
        <v>127</v>
      </c>
      <c r="B47" s="23" t="s">
        <v>128</v>
      </c>
      <c r="C47" s="24">
        <v>1</v>
      </c>
      <c r="D47" s="25">
        <v>158</v>
      </c>
      <c r="E47" s="23" t="s">
        <v>35</v>
      </c>
      <c r="F47" s="23" t="s">
        <v>43</v>
      </c>
      <c r="G47" s="26">
        <f ca="1">HYPERLINK("http://slimages.macys.com/is/image/MCY/11470717 ")</f>
        <v>0</v>
      </c>
    </row>
    <row r="48" spans="1:7" ht="24.75">
      <c r="A48" s="22" t="s">
        <v>129</v>
      </c>
      <c r="B48" s="23" t="s">
        <v>130</v>
      </c>
      <c r="C48" s="24">
        <v>2</v>
      </c>
      <c r="D48" s="25">
        <v>149.25</v>
      </c>
      <c r="E48" s="23" t="s">
        <v>131</v>
      </c>
      <c r="F48" s="23" t="s">
        <v>109</v>
      </c>
      <c r="G48" s="26">
        <f ca="1">HYPERLINK("http://slimages.macys.com/is/image/MCY/10031259 ")</f>
        <v>0</v>
      </c>
    </row>
    <row r="49" spans="1:7" ht="48.75">
      <c r="A49" s="22" t="s">
        <v>132</v>
      </c>
      <c r="B49" s="23" t="s">
        <v>133</v>
      </c>
      <c r="C49" s="24">
        <v>1</v>
      </c>
      <c r="D49" s="25">
        <v>148</v>
      </c>
      <c r="E49" s="23" t="s">
        <v>99</v>
      </c>
      <c r="F49" s="23" t="s">
        <v>43</v>
      </c>
      <c r="G49" s="26">
        <f ca="1">HYPERLINK("http://slimages.macys.com/is/image/MCY/12361933 ")</f>
        <v>0</v>
      </c>
    </row>
    <row r="50" spans="1:7" ht="36.75">
      <c r="A50" s="22" t="s">
        <v>134</v>
      </c>
      <c r="B50" s="23" t="s">
        <v>135</v>
      </c>
      <c r="C50" s="24">
        <v>2</v>
      </c>
      <c r="D50" s="25">
        <v>148</v>
      </c>
      <c r="E50" s="23" t="s">
        <v>62</v>
      </c>
      <c r="F50" s="23" t="s">
        <v>47</v>
      </c>
      <c r="G50" s="26">
        <f ca="1">HYPERLINK("http://slimages.macys.com/is/image/MCY/12255398 ")</f>
        <v>0</v>
      </c>
    </row>
    <row r="51" spans="1:7" ht="48.75">
      <c r="A51" s="22" t="s">
        <v>136</v>
      </c>
      <c r="B51" s="23" t="s">
        <v>137</v>
      </c>
      <c r="C51" s="24">
        <v>1</v>
      </c>
      <c r="D51" s="25">
        <v>148</v>
      </c>
      <c r="E51" s="23" t="s">
        <v>35</v>
      </c>
      <c r="F51" s="23" t="s">
        <v>43</v>
      </c>
      <c r="G51" s="26">
        <f ca="1">HYPERLINK("http://slimages.macys.com/is/image/MCY/8935021 ")</f>
        <v>0</v>
      </c>
    </row>
    <row r="52" spans="1:7" ht="36.75">
      <c r="A52" s="22" t="s">
        <v>138</v>
      </c>
      <c r="B52" s="23" t="s">
        <v>139</v>
      </c>
      <c r="C52" s="24">
        <v>1</v>
      </c>
      <c r="D52" s="25">
        <v>148</v>
      </c>
      <c r="E52" s="23" t="s">
        <v>46</v>
      </c>
      <c r="F52" s="23" t="s">
        <v>47</v>
      </c>
      <c r="G52" s="26">
        <f ca="1">HYPERLINK("http://slimages.macys.com/is/image/MCY/12255398 ")</f>
        <v>0</v>
      </c>
    </row>
    <row r="53" spans="1:7" ht="48.75">
      <c r="A53" s="22" t="s">
        <v>140</v>
      </c>
      <c r="B53" s="23" t="s">
        <v>141</v>
      </c>
      <c r="C53" s="24">
        <v>1</v>
      </c>
      <c r="D53" s="25">
        <v>138</v>
      </c>
      <c r="E53" s="23" t="s">
        <v>91</v>
      </c>
      <c r="F53" s="23" t="s">
        <v>43</v>
      </c>
      <c r="G53" s="26">
        <f ca="1">HYPERLINK("http://slimages.macys.com/is/image/MCY/11243246 ")</f>
        <v>0</v>
      </c>
    </row>
    <row r="54" spans="1:7" ht="48.75">
      <c r="A54" s="22" t="s">
        <v>142</v>
      </c>
      <c r="B54" s="23" t="s">
        <v>143</v>
      </c>
      <c r="C54" s="24">
        <v>1</v>
      </c>
      <c r="D54" s="25">
        <v>138</v>
      </c>
      <c r="E54" s="23" t="s">
        <v>117</v>
      </c>
      <c r="F54" s="23" t="s">
        <v>43</v>
      </c>
      <c r="G54" s="26">
        <f ca="1">HYPERLINK("http://slimages.macys.com/is/image/MCY/11514751 ")</f>
        <v>0</v>
      </c>
    </row>
    <row r="55" spans="1:7" ht="36.75">
      <c r="A55" s="22" t="s">
        <v>144</v>
      </c>
      <c r="B55" s="23" t="s">
        <v>145</v>
      </c>
      <c r="C55" s="24">
        <v>1</v>
      </c>
      <c r="D55" s="25">
        <v>139</v>
      </c>
      <c r="E55" s="23" t="s">
        <v>146</v>
      </c>
      <c r="F55" s="23" t="s">
        <v>147</v>
      </c>
      <c r="G55" s="26">
        <f ca="1">HYPERLINK("http://slimages.macys.com/is/image/MCY/12684156 ")</f>
        <v>0</v>
      </c>
    </row>
    <row r="56" spans="1:7" ht="24.75">
      <c r="A56" s="22" t="s">
        <v>148</v>
      </c>
      <c r="B56" s="23" t="s">
        <v>149</v>
      </c>
      <c r="C56" s="24">
        <v>1</v>
      </c>
      <c r="D56" s="25">
        <v>175</v>
      </c>
      <c r="E56" s="23" t="s">
        <v>150</v>
      </c>
      <c r="F56" s="23" t="s">
        <v>57</v>
      </c>
      <c r="G56" s="26">
        <f ca="1">HYPERLINK("http://images.bloomingdales.com/is/image/BLM/9868579 ")</f>
        <v>0</v>
      </c>
    </row>
    <row r="57" spans="1:7" ht="36.75">
      <c r="A57" s="22" t="s">
        <v>151</v>
      </c>
      <c r="B57" s="23" t="s">
        <v>152</v>
      </c>
      <c r="C57" s="24">
        <v>2</v>
      </c>
      <c r="D57" s="25">
        <v>128</v>
      </c>
      <c r="E57" s="23" t="s">
        <v>114</v>
      </c>
      <c r="F57" s="23" t="s">
        <v>47</v>
      </c>
      <c r="G57" s="26">
        <f ca="1">HYPERLINK("http://slimages.macys.com/is/image/MCY/9591865 ")</f>
        <v>0</v>
      </c>
    </row>
    <row r="58" spans="1:7" ht="60.75">
      <c r="A58" s="22" t="s">
        <v>153</v>
      </c>
      <c r="B58" s="23" t="s">
        <v>154</v>
      </c>
      <c r="C58" s="24">
        <v>1</v>
      </c>
      <c r="D58" s="25">
        <v>118</v>
      </c>
      <c r="E58" s="23"/>
      <c r="F58" s="23" t="s">
        <v>155</v>
      </c>
      <c r="G58" s="26">
        <f ca="1">HYPERLINK("http://slimages.macys.com/is/image/MCY/10511765 ")</f>
        <v>0</v>
      </c>
    </row>
    <row r="59" spans="1:7" ht="36.75">
      <c r="A59" s="22" t="s">
        <v>156</v>
      </c>
      <c r="B59" s="23" t="s">
        <v>157</v>
      </c>
      <c r="C59" s="24">
        <v>1</v>
      </c>
      <c r="D59" s="25">
        <v>118</v>
      </c>
      <c r="E59" s="23" t="s">
        <v>46</v>
      </c>
      <c r="F59" s="23" t="s">
        <v>47</v>
      </c>
      <c r="G59" s="26">
        <f ca="1">HYPERLINK("http://slimages.macys.com/is/image/MCY/11463176 ")</f>
        <v>0</v>
      </c>
    </row>
    <row r="60" spans="1:7" ht="48.75">
      <c r="A60" s="22" t="s">
        <v>158</v>
      </c>
      <c r="B60" s="23" t="s">
        <v>159</v>
      </c>
      <c r="C60" s="24">
        <v>3</v>
      </c>
      <c r="D60" s="25">
        <v>118</v>
      </c>
      <c r="E60" s="23" t="s">
        <v>117</v>
      </c>
      <c r="F60" s="23" t="s">
        <v>43</v>
      </c>
      <c r="G60" s="26">
        <f ca="1">HYPERLINK("http://slimages.macys.com/is/image/MCY/11472286 ")</f>
        <v>0</v>
      </c>
    </row>
    <row r="61" spans="1:7" ht="36.75">
      <c r="A61" s="22" t="s">
        <v>160</v>
      </c>
      <c r="B61" s="23" t="s">
        <v>161</v>
      </c>
      <c r="C61" s="24">
        <v>1</v>
      </c>
      <c r="D61" s="25">
        <v>118</v>
      </c>
      <c r="E61" s="23" t="s">
        <v>65</v>
      </c>
      <c r="F61" s="23" t="s">
        <v>47</v>
      </c>
      <c r="G61" s="26">
        <f ca="1">HYPERLINK("http://slimages.macys.com/is/image/MCY/10162882 ")</f>
        <v>0</v>
      </c>
    </row>
    <row r="62" spans="1:7" ht="36.75">
      <c r="A62" s="22" t="s">
        <v>162</v>
      </c>
      <c r="B62" s="23" t="s">
        <v>163</v>
      </c>
      <c r="C62" s="24">
        <v>2</v>
      </c>
      <c r="D62" s="25">
        <v>118</v>
      </c>
      <c r="E62" s="23" t="s">
        <v>91</v>
      </c>
      <c r="F62" s="23" t="s">
        <v>47</v>
      </c>
      <c r="G62" s="26">
        <f ca="1">HYPERLINK("http://slimages.macys.com/is/image/MCY/11513159 ")</f>
        <v>0</v>
      </c>
    </row>
    <row r="63" spans="1:7" ht="48.75">
      <c r="A63" s="22" t="s">
        <v>164</v>
      </c>
      <c r="B63" s="23" t="s">
        <v>165</v>
      </c>
      <c r="C63" s="24">
        <v>1</v>
      </c>
      <c r="D63" s="25">
        <v>168</v>
      </c>
      <c r="E63" s="23" t="s">
        <v>146</v>
      </c>
      <c r="F63" s="23" t="s">
        <v>43</v>
      </c>
      <c r="G63" s="26">
        <f ca="1">HYPERLINK("http://slimages.macys.com/is/image/MCY/10509892 ")</f>
        <v>0</v>
      </c>
    </row>
    <row r="64" spans="1:7" ht="36.75">
      <c r="A64" s="22" t="s">
        <v>166</v>
      </c>
      <c r="B64" s="23" t="s">
        <v>167</v>
      </c>
      <c r="C64" s="24">
        <v>1</v>
      </c>
      <c r="D64" s="25">
        <v>119</v>
      </c>
      <c r="E64" s="23" t="s">
        <v>46</v>
      </c>
      <c r="F64" s="23" t="s">
        <v>147</v>
      </c>
      <c r="G64" s="26">
        <f ca="1">HYPERLINK("http://slimages.macys.com/is/image/MCY/10518606 ")</f>
        <v>0</v>
      </c>
    </row>
    <row r="65" spans="1:7" ht="48.75">
      <c r="A65" s="22" t="s">
        <v>168</v>
      </c>
      <c r="B65" s="23" t="s">
        <v>169</v>
      </c>
      <c r="C65" s="24">
        <v>3</v>
      </c>
      <c r="D65" s="25">
        <v>108</v>
      </c>
      <c r="E65" s="23" t="s">
        <v>62</v>
      </c>
      <c r="F65" s="23" t="s">
        <v>43</v>
      </c>
      <c r="G65" s="26">
        <f ca="1">HYPERLINK("http://slimages.macys.com/is/image/MCY/11718460 ")</f>
        <v>0</v>
      </c>
    </row>
    <row r="66" spans="1:7" ht="36.75">
      <c r="A66" s="22" t="s">
        <v>170</v>
      </c>
      <c r="B66" s="23" t="s">
        <v>171</v>
      </c>
      <c r="C66" s="24">
        <v>3</v>
      </c>
      <c r="D66" s="25">
        <v>108</v>
      </c>
      <c r="E66" s="23" t="s">
        <v>65</v>
      </c>
      <c r="F66" s="23" t="s">
        <v>47</v>
      </c>
      <c r="G66" s="26">
        <f ca="1">HYPERLINK("http://slimages.macys.com/is/image/MCY/10486793 ")</f>
        <v>0</v>
      </c>
    </row>
    <row r="67" spans="1:7" ht="60.75">
      <c r="A67" s="22" t="s">
        <v>172</v>
      </c>
      <c r="B67" s="23" t="s">
        <v>173</v>
      </c>
      <c r="C67" s="24">
        <v>1</v>
      </c>
      <c r="D67" s="25">
        <v>135.6</v>
      </c>
      <c r="E67" s="23" t="s">
        <v>68</v>
      </c>
      <c r="F67" s="23" t="s">
        <v>174</v>
      </c>
      <c r="G67" s="26">
        <f ca="1">HYPERLINK("http://slimages.macys.com/is/image/MCY/9780050 ")</f>
        <v>0</v>
      </c>
    </row>
    <row r="68" spans="1:7" ht="48.75">
      <c r="A68" s="22" t="s">
        <v>175</v>
      </c>
      <c r="B68" s="23" t="s">
        <v>176</v>
      </c>
      <c r="C68" s="24">
        <v>1</v>
      </c>
      <c r="D68" s="25">
        <v>98</v>
      </c>
      <c r="E68" s="23" t="s">
        <v>46</v>
      </c>
      <c r="F68" s="23" t="s">
        <v>32</v>
      </c>
      <c r="G68" s="26">
        <f ca="1">HYPERLINK("http://slimages.macys.com/is/image/MCY/9797926 ")</f>
        <v>0</v>
      </c>
    </row>
    <row r="69" spans="1:7" ht="36.75">
      <c r="A69" s="22" t="s">
        <v>177</v>
      </c>
      <c r="B69" s="23" t="s">
        <v>178</v>
      </c>
      <c r="C69" s="24">
        <v>1</v>
      </c>
      <c r="D69" s="25">
        <v>109</v>
      </c>
      <c r="E69" s="23" t="s">
        <v>46</v>
      </c>
      <c r="F69" s="23" t="s">
        <v>147</v>
      </c>
      <c r="G69" s="26">
        <f ca="1">HYPERLINK("http://slimages.macys.com/is/image/MCY/11803230 ")</f>
        <v>0</v>
      </c>
    </row>
    <row r="70" spans="1:7" ht="60.75">
      <c r="A70" s="22" t="s">
        <v>179</v>
      </c>
      <c r="B70" s="23" t="s">
        <v>180</v>
      </c>
      <c r="C70" s="24">
        <v>1</v>
      </c>
      <c r="D70" s="25">
        <v>119.6</v>
      </c>
      <c r="E70" s="23" t="s">
        <v>68</v>
      </c>
      <c r="F70" s="23" t="s">
        <v>174</v>
      </c>
      <c r="G70" s="26">
        <f ca="1">HYPERLINK("http://slimages.macys.com/is/image/MCY/10383795 ")</f>
        <v>0</v>
      </c>
    </row>
    <row r="71" spans="1:7" ht="36.75">
      <c r="A71" s="22" t="s">
        <v>181</v>
      </c>
      <c r="B71" s="23" t="s">
        <v>182</v>
      </c>
      <c r="C71" s="24">
        <v>1</v>
      </c>
      <c r="D71" s="25">
        <v>89.5</v>
      </c>
      <c r="E71" s="23" t="s">
        <v>183</v>
      </c>
      <c r="F71" s="23" t="s">
        <v>184</v>
      </c>
      <c r="G71" s="26">
        <f ca="1">HYPERLINK("http://slimages.macys.com/is/image/MCY/11415443 ")</f>
        <v>0</v>
      </c>
    </row>
    <row r="72" spans="1:7" ht="48.75">
      <c r="A72" s="22" t="s">
        <v>185</v>
      </c>
      <c r="B72" s="23" t="s">
        <v>186</v>
      </c>
      <c r="C72" s="24">
        <v>1</v>
      </c>
      <c r="D72" s="25">
        <v>103.6</v>
      </c>
      <c r="E72" s="23" t="s">
        <v>68</v>
      </c>
      <c r="F72" s="23" t="s">
        <v>187</v>
      </c>
      <c r="G72" s="26">
        <f ca="1">HYPERLINK("http://slimages.macys.com/is/image/MCY/10332936 ")</f>
        <v>0</v>
      </c>
    </row>
    <row r="73" spans="1:7" ht="60.75">
      <c r="A73" s="22" t="s">
        <v>188</v>
      </c>
      <c r="B73" s="23" t="s">
        <v>189</v>
      </c>
      <c r="C73" s="24">
        <v>1</v>
      </c>
      <c r="D73" s="25">
        <v>103.6</v>
      </c>
      <c r="E73" s="23" t="s">
        <v>190</v>
      </c>
      <c r="F73" s="23" t="s">
        <v>174</v>
      </c>
      <c r="G73" s="26">
        <f ca="1">HYPERLINK("http://slimages.macys.com/is/image/MCY/8382890 ")</f>
        <v>0</v>
      </c>
    </row>
    <row r="74" spans="1:7" ht="60.75">
      <c r="A74" s="22" t="s">
        <v>191</v>
      </c>
      <c r="B74" s="23" t="s">
        <v>192</v>
      </c>
      <c r="C74" s="24">
        <v>1</v>
      </c>
      <c r="D74" s="25">
        <v>135.6</v>
      </c>
      <c r="E74" s="23" t="s">
        <v>65</v>
      </c>
      <c r="F74" s="23" t="s">
        <v>174</v>
      </c>
      <c r="G74" s="26">
        <f ca="1">HYPERLINK("http://slimages.macys.com/is/image/MCY/9801913 ")</f>
        <v>0</v>
      </c>
    </row>
    <row r="75" spans="1:7" ht="36.75">
      <c r="A75" s="22" t="s">
        <v>193</v>
      </c>
      <c r="B75" s="23" t="s">
        <v>194</v>
      </c>
      <c r="C75" s="24">
        <v>1</v>
      </c>
      <c r="D75" s="25">
        <v>95</v>
      </c>
      <c r="E75" s="23" t="s">
        <v>195</v>
      </c>
      <c r="F75" s="23" t="s">
        <v>196</v>
      </c>
      <c r="G75" s="26">
        <f ca="1">HYPERLINK("http://images.bloomingdales.com/is/image/BLM/10177575 ")</f>
        <v>0</v>
      </c>
    </row>
    <row r="76" spans="1:7" ht="60.75">
      <c r="A76" s="22" t="s">
        <v>197</v>
      </c>
      <c r="B76" s="23" t="s">
        <v>198</v>
      </c>
      <c r="C76" s="24">
        <v>1</v>
      </c>
      <c r="D76" s="25">
        <v>103.6</v>
      </c>
      <c r="E76" s="23" t="s">
        <v>199</v>
      </c>
      <c r="F76" s="23" t="s">
        <v>174</v>
      </c>
      <c r="G76" s="26">
        <f ca="1">HYPERLINK("http://slimages.macys.com/is/image/MCY/10451653 ")</f>
        <v>0</v>
      </c>
    </row>
    <row r="77" spans="1:7" ht="24.75">
      <c r="A77" s="22" t="s">
        <v>200</v>
      </c>
      <c r="B77" s="23" t="s">
        <v>201</v>
      </c>
      <c r="C77" s="24">
        <v>2</v>
      </c>
      <c r="D77" s="25">
        <v>79.5</v>
      </c>
      <c r="E77" s="23" t="s">
        <v>65</v>
      </c>
      <c r="F77" s="23" t="s">
        <v>202</v>
      </c>
      <c r="G77" s="26">
        <f ca="1">HYPERLINK("http://slimages.macys.com/is/image/MCY/9434581 ")</f>
        <v>0</v>
      </c>
    </row>
    <row r="78" spans="1:7" ht="36.75">
      <c r="A78" s="22" t="s">
        <v>203</v>
      </c>
      <c r="B78" s="23" t="s">
        <v>204</v>
      </c>
      <c r="C78" s="24">
        <v>2</v>
      </c>
      <c r="D78" s="25">
        <v>99.5</v>
      </c>
      <c r="E78" s="23" t="s">
        <v>68</v>
      </c>
      <c r="F78" s="23" t="s">
        <v>184</v>
      </c>
      <c r="G78" s="26">
        <f ca="1">HYPERLINK("http://slimages.macys.com/is/image/MCY/11746242 ")</f>
        <v>0</v>
      </c>
    </row>
    <row r="79" spans="1:7" ht="36.75">
      <c r="A79" s="22" t="s">
        <v>205</v>
      </c>
      <c r="B79" s="23" t="s">
        <v>206</v>
      </c>
      <c r="C79" s="24">
        <v>1</v>
      </c>
      <c r="D79" s="25">
        <v>89.5</v>
      </c>
      <c r="E79" s="23" t="s">
        <v>99</v>
      </c>
      <c r="F79" s="23" t="s">
        <v>184</v>
      </c>
      <c r="G79" s="26">
        <f ca="1">HYPERLINK("http://slimages.macys.com/is/image/MCY/9954149 ")</f>
        <v>0</v>
      </c>
    </row>
    <row r="80" spans="1:7" ht="48.75">
      <c r="A80" s="22" t="s">
        <v>207</v>
      </c>
      <c r="B80" s="23" t="s">
        <v>208</v>
      </c>
      <c r="C80" s="24">
        <v>1</v>
      </c>
      <c r="D80" s="25">
        <v>60</v>
      </c>
      <c r="E80" s="23" t="s">
        <v>209</v>
      </c>
      <c r="F80" s="23" t="s">
        <v>210</v>
      </c>
      <c r="G80" s="26">
        <f ca="1">HYPERLINK("http://images.bloomingdales.com/is/image/BLM/9548660 ")</f>
        <v>0</v>
      </c>
    </row>
    <row r="81" spans="1:7" ht="36.75">
      <c r="A81" s="22" t="s">
        <v>211</v>
      </c>
      <c r="B81" s="23" t="s">
        <v>212</v>
      </c>
      <c r="C81" s="24">
        <v>1</v>
      </c>
      <c r="D81" s="25">
        <v>89</v>
      </c>
      <c r="E81" s="23" t="s">
        <v>62</v>
      </c>
      <c r="F81" s="23" t="s">
        <v>147</v>
      </c>
      <c r="G81" s="26">
        <f ca="1">HYPERLINK("http://slimages.macys.com/is/image/MCY/10533749 ")</f>
        <v>0</v>
      </c>
    </row>
    <row r="82" spans="1:7" ht="60.75">
      <c r="A82" s="22" t="s">
        <v>213</v>
      </c>
      <c r="B82" s="23" t="s">
        <v>214</v>
      </c>
      <c r="C82" s="24">
        <v>1</v>
      </c>
      <c r="D82" s="25">
        <v>103.6</v>
      </c>
      <c r="E82" s="23" t="s">
        <v>190</v>
      </c>
      <c r="F82" s="23" t="s">
        <v>174</v>
      </c>
      <c r="G82" s="26">
        <f ca="1">HYPERLINK("http://slimages.macys.com/is/image/MCY/2254492 ")</f>
        <v>0</v>
      </c>
    </row>
    <row r="83" spans="1:7" ht="48.75">
      <c r="A83" s="22" t="s">
        <v>215</v>
      </c>
      <c r="B83" s="23" t="s">
        <v>216</v>
      </c>
      <c r="C83" s="24">
        <v>1</v>
      </c>
      <c r="D83" s="25">
        <v>80</v>
      </c>
      <c r="E83" s="23" t="s">
        <v>62</v>
      </c>
      <c r="F83" s="23" t="s">
        <v>217</v>
      </c>
      <c r="G83" s="26">
        <f ca="1">HYPERLINK("http://images.bloomingdales.com/is/image/BLM/9104140 ")</f>
        <v>0</v>
      </c>
    </row>
    <row r="84" spans="1:7" ht="60.75">
      <c r="A84" s="22" t="s">
        <v>218</v>
      </c>
      <c r="B84" s="23" t="s">
        <v>219</v>
      </c>
      <c r="C84" s="24">
        <v>1</v>
      </c>
      <c r="D84" s="25">
        <v>79.599999999999994</v>
      </c>
      <c r="E84" s="23" t="s">
        <v>68</v>
      </c>
      <c r="F84" s="23" t="s">
        <v>174</v>
      </c>
      <c r="G84" s="26">
        <f ca="1">HYPERLINK("http://slimages.macys.com/is/image/MCY/9780943 ")</f>
        <v>0</v>
      </c>
    </row>
    <row r="85" spans="1:7" ht="36.75">
      <c r="A85" s="22" t="s">
        <v>220</v>
      </c>
      <c r="B85" s="23" t="s">
        <v>221</v>
      </c>
      <c r="C85" s="24">
        <v>2</v>
      </c>
      <c r="D85" s="25">
        <v>89.5</v>
      </c>
      <c r="E85" s="23" t="s">
        <v>68</v>
      </c>
      <c r="F85" s="23" t="s">
        <v>184</v>
      </c>
      <c r="G85" s="26">
        <f ca="1">HYPERLINK("http://slimages.macys.com/is/image/MCY/10289094 ")</f>
        <v>0</v>
      </c>
    </row>
    <row r="86" spans="1:7" ht="36.75">
      <c r="A86" s="22" t="s">
        <v>222</v>
      </c>
      <c r="B86" s="23" t="s">
        <v>223</v>
      </c>
      <c r="C86" s="24">
        <v>1</v>
      </c>
      <c r="D86" s="25">
        <v>78</v>
      </c>
      <c r="E86" s="23" t="s">
        <v>195</v>
      </c>
      <c r="F86" s="23" t="s">
        <v>224</v>
      </c>
      <c r="G86" s="26">
        <f ca="1">HYPERLINK("http://slimages.macys.com/is/image/MCY/9478427 ")</f>
        <v>0</v>
      </c>
    </row>
    <row r="87" spans="1:7" ht="36.75">
      <c r="A87" s="22" t="s">
        <v>225</v>
      </c>
      <c r="B87" s="23" t="s">
        <v>226</v>
      </c>
      <c r="C87" s="24">
        <v>1</v>
      </c>
      <c r="D87" s="25">
        <v>78</v>
      </c>
      <c r="E87" s="23" t="s">
        <v>68</v>
      </c>
      <c r="F87" s="23" t="s">
        <v>224</v>
      </c>
      <c r="G87" s="26">
        <f ca="1">HYPERLINK("http://slimages.macys.com/is/image/MCY/11746714 ")</f>
        <v>0</v>
      </c>
    </row>
    <row r="88" spans="1:7" ht="36.75">
      <c r="A88" s="22" t="s">
        <v>227</v>
      </c>
      <c r="B88" s="23" t="s">
        <v>228</v>
      </c>
      <c r="C88" s="24">
        <v>2</v>
      </c>
      <c r="D88" s="25">
        <v>78</v>
      </c>
      <c r="E88" s="23" t="s">
        <v>229</v>
      </c>
      <c r="F88" s="23" t="s">
        <v>224</v>
      </c>
      <c r="G88" s="26">
        <f ca="1">HYPERLINK("http://slimages.macys.com/is/image/MCY/11784297 ")</f>
        <v>0</v>
      </c>
    </row>
    <row r="89" spans="1:7" ht="36.75">
      <c r="A89" s="22" t="s">
        <v>230</v>
      </c>
      <c r="B89" s="23" t="s">
        <v>231</v>
      </c>
      <c r="C89" s="24">
        <v>1</v>
      </c>
      <c r="D89" s="25">
        <v>69.5</v>
      </c>
      <c r="E89" s="23" t="s">
        <v>68</v>
      </c>
      <c r="F89" s="23" t="s">
        <v>184</v>
      </c>
      <c r="G89" s="26">
        <f ca="1">HYPERLINK("http://slimages.macys.com/is/image/MCY/10481917 ")</f>
        <v>0</v>
      </c>
    </row>
    <row r="90" spans="1:7" ht="36.75">
      <c r="A90" s="22" t="s">
        <v>232</v>
      </c>
      <c r="B90" s="23" t="s">
        <v>233</v>
      </c>
      <c r="C90" s="24">
        <v>1</v>
      </c>
      <c r="D90" s="25">
        <v>75</v>
      </c>
      <c r="E90" s="23" t="s">
        <v>234</v>
      </c>
      <c r="F90" s="23" t="s">
        <v>196</v>
      </c>
      <c r="G90" s="26">
        <f ca="1">HYPERLINK("http://images.bloomingdales.com/is/image/BLM/10228070 ")</f>
        <v>0</v>
      </c>
    </row>
    <row r="91" spans="1:7" ht="60.75">
      <c r="A91" s="22" t="s">
        <v>235</v>
      </c>
      <c r="B91" s="23" t="s">
        <v>236</v>
      </c>
      <c r="C91" s="24">
        <v>1</v>
      </c>
      <c r="D91" s="25">
        <v>103.6</v>
      </c>
      <c r="E91" s="23" t="s">
        <v>65</v>
      </c>
      <c r="F91" s="23" t="s">
        <v>174</v>
      </c>
      <c r="G91" s="26">
        <f ca="1">HYPERLINK("http://slimages.macys.com/is/image/MCY/9446750 ")</f>
        <v>0</v>
      </c>
    </row>
    <row r="92" spans="1:7" ht="60.75">
      <c r="A92" s="22" t="s">
        <v>237</v>
      </c>
      <c r="B92" s="23" t="s">
        <v>238</v>
      </c>
      <c r="C92" s="24">
        <v>2</v>
      </c>
      <c r="D92" s="25">
        <v>103.6</v>
      </c>
      <c r="E92" s="23" t="s">
        <v>190</v>
      </c>
      <c r="F92" s="23" t="s">
        <v>174</v>
      </c>
      <c r="G92" s="26">
        <f ca="1">HYPERLINK("http://slimages.macys.com/is/image/MCY/2435364 ")</f>
        <v>0</v>
      </c>
    </row>
    <row r="93" spans="1:7" ht="36.75">
      <c r="A93" s="22" t="s">
        <v>239</v>
      </c>
      <c r="B93" s="23" t="s">
        <v>240</v>
      </c>
      <c r="C93" s="24">
        <v>1</v>
      </c>
      <c r="D93" s="25">
        <v>59.5</v>
      </c>
      <c r="E93" s="23" t="s">
        <v>65</v>
      </c>
      <c r="F93" s="23" t="s">
        <v>184</v>
      </c>
      <c r="G93" s="26">
        <f ca="1">HYPERLINK("http://slimages.macys.com/is/image/MCY/10288787 ")</f>
        <v>0</v>
      </c>
    </row>
    <row r="94" spans="1:7" ht="72.75">
      <c r="A94" s="22" t="s">
        <v>241</v>
      </c>
      <c r="B94" s="23" t="s">
        <v>242</v>
      </c>
      <c r="C94" s="24">
        <v>1</v>
      </c>
      <c r="D94" s="25">
        <v>61.44</v>
      </c>
      <c r="E94" s="23" t="s">
        <v>68</v>
      </c>
      <c r="F94" s="23" t="s">
        <v>243</v>
      </c>
      <c r="G94" s="26">
        <f ca="1">HYPERLINK("http://slimages.macys.com/is/image/MCY/10745944 ")</f>
        <v>0</v>
      </c>
    </row>
    <row r="95" spans="1:7" ht="60.75">
      <c r="A95" s="22" t="s">
        <v>244</v>
      </c>
      <c r="B95" s="23" t="s">
        <v>245</v>
      </c>
      <c r="C95" s="24">
        <v>1</v>
      </c>
      <c r="D95" s="25">
        <v>79.599999999999994</v>
      </c>
      <c r="E95" s="23" t="s">
        <v>246</v>
      </c>
      <c r="F95" s="23" t="s">
        <v>174</v>
      </c>
      <c r="G95" s="26">
        <f ca="1">HYPERLINK("http://slimages.macys.com/is/image/MCY/11776288 ")</f>
        <v>0</v>
      </c>
    </row>
    <row r="96" spans="1:7" ht="48.75">
      <c r="A96" s="22" t="s">
        <v>247</v>
      </c>
      <c r="B96" s="23" t="s">
        <v>248</v>
      </c>
      <c r="C96" s="24">
        <v>2</v>
      </c>
      <c r="D96" s="25">
        <v>68</v>
      </c>
      <c r="E96" s="23"/>
      <c r="F96" s="23" t="s">
        <v>249</v>
      </c>
      <c r="G96" s="26">
        <f ca="1">HYPERLINK("http://images.bloomingdales.com/is/image/BLM/9996662 ")</f>
        <v>0</v>
      </c>
    </row>
    <row r="97" spans="1:7" ht="48.75">
      <c r="A97" s="22" t="s">
        <v>250</v>
      </c>
      <c r="B97" s="23" t="s">
        <v>251</v>
      </c>
      <c r="C97" s="24">
        <v>1</v>
      </c>
      <c r="D97" s="25">
        <v>60</v>
      </c>
      <c r="E97" s="23" t="s">
        <v>68</v>
      </c>
      <c r="F97" s="23" t="s">
        <v>252</v>
      </c>
      <c r="G97" s="26">
        <f ca="1">HYPERLINK("http://slimages.macys.com/is/image/MCY/8589885 ")</f>
        <v>0</v>
      </c>
    </row>
    <row r="98" spans="1:7" ht="36.75">
      <c r="A98" s="22" t="s">
        <v>253</v>
      </c>
      <c r="B98" s="23" t="s">
        <v>254</v>
      </c>
      <c r="C98" s="24">
        <v>1</v>
      </c>
      <c r="D98" s="25">
        <v>69.5</v>
      </c>
      <c r="E98" s="23" t="s">
        <v>246</v>
      </c>
      <c r="F98" s="23" t="s">
        <v>184</v>
      </c>
      <c r="G98" s="26">
        <f ca="1">HYPERLINK("http://slimages.macys.com/is/image/MCY/10221602 ")</f>
        <v>0</v>
      </c>
    </row>
    <row r="99" spans="1:7" ht="36.75">
      <c r="A99" s="22" t="s">
        <v>255</v>
      </c>
      <c r="B99" s="23" t="s">
        <v>256</v>
      </c>
      <c r="C99" s="24">
        <v>1</v>
      </c>
      <c r="D99" s="25">
        <v>89.5</v>
      </c>
      <c r="E99" s="23" t="s">
        <v>257</v>
      </c>
      <c r="F99" s="23" t="s">
        <v>184</v>
      </c>
      <c r="G99" s="26">
        <f ca="1">HYPERLINK("http://slimages.macys.com/is/image/MCY/11928151 ")</f>
        <v>0</v>
      </c>
    </row>
    <row r="100" spans="1:7" ht="36.75">
      <c r="A100" s="22" t="s">
        <v>258</v>
      </c>
      <c r="B100" s="23" t="s">
        <v>259</v>
      </c>
      <c r="C100" s="24">
        <v>1</v>
      </c>
      <c r="D100" s="25">
        <v>59.5</v>
      </c>
      <c r="E100" s="23" t="s">
        <v>260</v>
      </c>
      <c r="F100" s="23" t="s">
        <v>184</v>
      </c>
      <c r="G100" s="26">
        <f ca="1">HYPERLINK("http://slimages.macys.com/is/image/MCY/10027121 ")</f>
        <v>0</v>
      </c>
    </row>
    <row r="101" spans="1:7" ht="36.75">
      <c r="A101" s="22" t="s">
        <v>261</v>
      </c>
      <c r="B101" s="23" t="s">
        <v>262</v>
      </c>
      <c r="C101" s="24">
        <v>1</v>
      </c>
      <c r="D101" s="25">
        <v>89.5</v>
      </c>
      <c r="E101" s="23" t="s">
        <v>68</v>
      </c>
      <c r="F101" s="23" t="s">
        <v>184</v>
      </c>
      <c r="G101" s="26">
        <f ca="1">HYPERLINK("http://slimages.macys.com/is/image/MCY/11702214 ")</f>
        <v>0</v>
      </c>
    </row>
    <row r="102" spans="1:7" ht="48.75">
      <c r="A102" s="22" t="s">
        <v>263</v>
      </c>
      <c r="B102" s="23" t="s">
        <v>264</v>
      </c>
      <c r="C102" s="24">
        <v>3</v>
      </c>
      <c r="D102" s="25">
        <v>55</v>
      </c>
      <c r="E102" s="23" t="s">
        <v>265</v>
      </c>
      <c r="F102" s="23" t="s">
        <v>252</v>
      </c>
      <c r="G102" s="26">
        <f ca="1">HYPERLINK("http://images.bloomingdales.com/is/image/BLM/10117669 ")</f>
        <v>0</v>
      </c>
    </row>
    <row r="103" spans="1:7" ht="48.75">
      <c r="A103" s="22" t="s">
        <v>266</v>
      </c>
      <c r="B103" s="23" t="s">
        <v>267</v>
      </c>
      <c r="C103" s="24">
        <v>5</v>
      </c>
      <c r="D103" s="25">
        <v>55</v>
      </c>
      <c r="E103" s="23" t="s">
        <v>265</v>
      </c>
      <c r="F103" s="23" t="s">
        <v>252</v>
      </c>
      <c r="G103" s="26">
        <f ca="1">HYPERLINK("http://images.bloomingdales.com/is/image/BLM/10117669 ")</f>
        <v>0</v>
      </c>
    </row>
    <row r="104" spans="1:7" ht="36.75">
      <c r="A104" s="22" t="s">
        <v>268</v>
      </c>
      <c r="B104" s="23" t="s">
        <v>269</v>
      </c>
      <c r="C104" s="24">
        <v>1</v>
      </c>
      <c r="D104" s="25">
        <v>99.5</v>
      </c>
      <c r="E104" s="23" t="s">
        <v>68</v>
      </c>
      <c r="F104" s="23" t="s">
        <v>270</v>
      </c>
      <c r="G104" s="26">
        <f ca="1">HYPERLINK("http://slimages.macys.com/is/image/MCY/12385103 ")</f>
        <v>0</v>
      </c>
    </row>
    <row r="105" spans="1:7" ht="48.75">
      <c r="A105" s="22" t="s">
        <v>271</v>
      </c>
      <c r="B105" s="23" t="s">
        <v>272</v>
      </c>
      <c r="C105" s="24">
        <v>1</v>
      </c>
      <c r="D105" s="25">
        <v>75</v>
      </c>
      <c r="E105" s="23" t="s">
        <v>56</v>
      </c>
      <c r="F105" s="23" t="s">
        <v>252</v>
      </c>
      <c r="G105" s="26">
        <f ca="1">HYPERLINK("http://slimages.macys.com/is/image/MCY/8790981 ")</f>
        <v>0</v>
      </c>
    </row>
    <row r="106" spans="1:7" ht="48.75">
      <c r="A106" s="22" t="s">
        <v>273</v>
      </c>
      <c r="B106" s="23" t="s">
        <v>274</v>
      </c>
      <c r="C106" s="24">
        <v>2</v>
      </c>
      <c r="D106" s="25">
        <v>50</v>
      </c>
      <c r="E106" s="23" t="s">
        <v>27</v>
      </c>
      <c r="F106" s="23" t="s">
        <v>252</v>
      </c>
      <c r="G106" s="26">
        <f ca="1">HYPERLINK("http://slimages.macys.com/is/image/MCY/9511043 ")</f>
        <v>0</v>
      </c>
    </row>
    <row r="107" spans="1:7" ht="48.75">
      <c r="A107" s="22" t="s">
        <v>275</v>
      </c>
      <c r="B107" s="23" t="s">
        <v>276</v>
      </c>
      <c r="C107" s="24">
        <v>2</v>
      </c>
      <c r="D107" s="25">
        <v>55</v>
      </c>
      <c r="E107" s="23" t="s">
        <v>68</v>
      </c>
      <c r="F107" s="23" t="s">
        <v>217</v>
      </c>
      <c r="G107" s="26">
        <f ca="1">HYPERLINK("http://images.bloomingdales.com/is/image/BLM/9541268 ")</f>
        <v>0</v>
      </c>
    </row>
    <row r="108" spans="1:7" ht="48.75">
      <c r="A108" s="22" t="s">
        <v>277</v>
      </c>
      <c r="B108" s="23" t="s">
        <v>278</v>
      </c>
      <c r="C108" s="24">
        <v>6</v>
      </c>
      <c r="D108" s="25">
        <v>50</v>
      </c>
      <c r="E108" s="23" t="s">
        <v>62</v>
      </c>
      <c r="F108" s="23" t="s">
        <v>252</v>
      </c>
      <c r="G108" s="26">
        <f ca="1">HYPERLINK("http://slimages.macys.com/is/image/MCY/10746214 ")</f>
        <v>0</v>
      </c>
    </row>
    <row r="109" spans="1:7" ht="48.75">
      <c r="A109" s="22" t="s">
        <v>279</v>
      </c>
      <c r="B109" s="23" t="s">
        <v>280</v>
      </c>
      <c r="C109" s="24">
        <v>6</v>
      </c>
      <c r="D109" s="25">
        <v>50</v>
      </c>
      <c r="E109" s="23"/>
      <c r="F109" s="23" t="s">
        <v>252</v>
      </c>
      <c r="G109" s="26">
        <f ca="1">HYPERLINK("http://slimages.macys.com/is/image/MCY/10746111 ")</f>
        <v>0</v>
      </c>
    </row>
    <row r="110" spans="1:7" ht="48.75">
      <c r="A110" s="22" t="s">
        <v>281</v>
      </c>
      <c r="B110" s="23" t="s">
        <v>282</v>
      </c>
      <c r="C110" s="24">
        <v>6</v>
      </c>
      <c r="D110" s="25">
        <v>50</v>
      </c>
      <c r="E110" s="23"/>
      <c r="F110" s="23" t="s">
        <v>252</v>
      </c>
      <c r="G110" s="26">
        <f ca="1">HYPERLINK("http://slimages.macys.com/is/image/MCY/10746111 ")</f>
        <v>0</v>
      </c>
    </row>
    <row r="111" spans="1:7" ht="48.75">
      <c r="A111" s="22" t="s">
        <v>283</v>
      </c>
      <c r="B111" s="23" t="s">
        <v>284</v>
      </c>
      <c r="C111" s="24">
        <v>8</v>
      </c>
      <c r="D111" s="25">
        <v>45</v>
      </c>
      <c r="E111" s="23" t="s">
        <v>62</v>
      </c>
      <c r="F111" s="23" t="s">
        <v>252</v>
      </c>
      <c r="G111" s="26">
        <f ca="1">HYPERLINK("http://slimages.macys.com/is/image/MCY/10746200 ")</f>
        <v>0</v>
      </c>
    </row>
    <row r="112" spans="1:7" ht="48.75">
      <c r="A112" s="22" t="s">
        <v>285</v>
      </c>
      <c r="B112" s="23" t="s">
        <v>276</v>
      </c>
      <c r="C112" s="24">
        <v>2</v>
      </c>
      <c r="D112" s="25">
        <v>50</v>
      </c>
      <c r="E112" s="23" t="s">
        <v>68</v>
      </c>
      <c r="F112" s="23" t="s">
        <v>217</v>
      </c>
      <c r="G112" s="26">
        <f ca="1">HYPERLINK("http://images.bloomingdales.com/is/image/BLM/9541270 ")</f>
        <v>0</v>
      </c>
    </row>
    <row r="113" spans="1:7" ht="36.75">
      <c r="A113" s="22" t="s">
        <v>286</v>
      </c>
      <c r="B113" s="23" t="s">
        <v>287</v>
      </c>
      <c r="C113" s="24">
        <v>7</v>
      </c>
      <c r="D113" s="25">
        <v>60</v>
      </c>
      <c r="E113" s="23" t="s">
        <v>229</v>
      </c>
      <c r="F113" s="23" t="s">
        <v>288</v>
      </c>
      <c r="G113" s="26">
        <f ca="1">HYPERLINK("http://images.bloomingdales.com/is/image/BLM/9781404 ")</f>
        <v>0</v>
      </c>
    </row>
    <row r="114" spans="1:7" ht="48.75">
      <c r="A114" s="22" t="s">
        <v>289</v>
      </c>
      <c r="B114" s="23" t="s">
        <v>290</v>
      </c>
      <c r="C114" s="24">
        <v>1</v>
      </c>
      <c r="D114" s="25">
        <v>89.5</v>
      </c>
      <c r="E114" s="23" t="s">
        <v>68</v>
      </c>
      <c r="F114" s="23" t="s">
        <v>291</v>
      </c>
      <c r="G114" s="26">
        <f ca="1">HYPERLINK("http://slimages.macys.com/is/image/MCY/10383384 ")</f>
        <v>0</v>
      </c>
    </row>
    <row r="115" spans="1:7" ht="48.75">
      <c r="A115" s="22" t="s">
        <v>292</v>
      </c>
      <c r="B115" s="23" t="s">
        <v>293</v>
      </c>
      <c r="C115" s="24">
        <v>1</v>
      </c>
      <c r="D115" s="25">
        <v>45</v>
      </c>
      <c r="E115" s="23" t="s">
        <v>56</v>
      </c>
      <c r="F115" s="23" t="s">
        <v>252</v>
      </c>
      <c r="G115" s="26">
        <f ca="1">HYPERLINK("http://slimages.macys.com/is/image/MCY/8323153 ")</f>
        <v>0</v>
      </c>
    </row>
    <row r="116" spans="1:7" ht="48.75">
      <c r="A116" s="22" t="s">
        <v>294</v>
      </c>
      <c r="B116" s="23" t="s">
        <v>295</v>
      </c>
      <c r="C116" s="24">
        <v>5</v>
      </c>
      <c r="D116" s="25">
        <v>45</v>
      </c>
      <c r="E116" s="23" t="s">
        <v>117</v>
      </c>
      <c r="F116" s="23" t="s">
        <v>252</v>
      </c>
      <c r="G116" s="26">
        <f ca="1">HYPERLINK("http://slimages.macys.com/is/image/MCY/10745847 ")</f>
        <v>0</v>
      </c>
    </row>
    <row r="117" spans="1:7" ht="48.75">
      <c r="A117" s="22" t="s">
        <v>296</v>
      </c>
      <c r="B117" s="23" t="s">
        <v>297</v>
      </c>
      <c r="C117" s="24">
        <v>1</v>
      </c>
      <c r="D117" s="25">
        <v>45</v>
      </c>
      <c r="E117" s="23" t="s">
        <v>56</v>
      </c>
      <c r="F117" s="23" t="s">
        <v>252</v>
      </c>
      <c r="G117" s="26">
        <f ca="1">HYPERLINK("http://slimages.macys.com/is/image/MCY/8331833 ")</f>
        <v>0</v>
      </c>
    </row>
    <row r="118" spans="1:7" ht="48.75">
      <c r="A118" s="22" t="s">
        <v>298</v>
      </c>
      <c r="B118" s="23" t="s">
        <v>299</v>
      </c>
      <c r="C118" s="24">
        <v>2</v>
      </c>
      <c r="D118" s="25">
        <v>45</v>
      </c>
      <c r="E118" s="23" t="s">
        <v>31</v>
      </c>
      <c r="F118" s="23" t="s">
        <v>252</v>
      </c>
      <c r="G118" s="26">
        <f ca="1">HYPERLINK("http://slimages.macys.com/is/image/MCY/9616053 ")</f>
        <v>0</v>
      </c>
    </row>
    <row r="119" spans="1:7" ht="48.75">
      <c r="A119" s="22" t="s">
        <v>300</v>
      </c>
      <c r="B119" s="23" t="s">
        <v>301</v>
      </c>
      <c r="C119" s="24">
        <v>4</v>
      </c>
      <c r="D119" s="25">
        <v>45</v>
      </c>
      <c r="E119" s="23" t="s">
        <v>117</v>
      </c>
      <c r="F119" s="23" t="s">
        <v>252</v>
      </c>
      <c r="G119" s="26">
        <f ca="1">HYPERLINK("http://slimages.macys.com/is/image/MCY/10745863 ")</f>
        <v>0</v>
      </c>
    </row>
    <row r="120" spans="1:7" ht="48.75">
      <c r="A120" s="22" t="s">
        <v>302</v>
      </c>
      <c r="B120" s="23" t="s">
        <v>303</v>
      </c>
      <c r="C120" s="24">
        <v>3</v>
      </c>
      <c r="D120" s="25">
        <v>45</v>
      </c>
      <c r="E120" s="23" t="s">
        <v>117</v>
      </c>
      <c r="F120" s="23" t="s">
        <v>252</v>
      </c>
      <c r="G120" s="26">
        <f ca="1">HYPERLINK("http://slimages.macys.com/is/image/MCY/10745869 ")</f>
        <v>0</v>
      </c>
    </row>
    <row r="121" spans="1:7" ht="60.75">
      <c r="A121" s="22" t="s">
        <v>304</v>
      </c>
      <c r="B121" s="23" t="s">
        <v>305</v>
      </c>
      <c r="C121" s="24">
        <v>1</v>
      </c>
      <c r="D121" s="25">
        <v>45</v>
      </c>
      <c r="E121" s="23" t="s">
        <v>31</v>
      </c>
      <c r="F121" s="23" t="s">
        <v>306</v>
      </c>
      <c r="G121" s="26">
        <f ca="1">HYPERLINK("http://slimages.macys.com/is/image/MCY/12072809 ")</f>
        <v>0</v>
      </c>
    </row>
    <row r="122" spans="1:7" ht="48.75">
      <c r="A122" s="22" t="s">
        <v>307</v>
      </c>
      <c r="B122" s="23" t="s">
        <v>308</v>
      </c>
      <c r="C122" s="24">
        <v>1</v>
      </c>
      <c r="D122" s="25">
        <v>99.5</v>
      </c>
      <c r="E122" s="23" t="s">
        <v>117</v>
      </c>
      <c r="F122" s="23" t="s">
        <v>291</v>
      </c>
      <c r="G122" s="26">
        <f ca="1">HYPERLINK("http://slimages.macys.com/is/image/MCY/9200558 ")</f>
        <v>0</v>
      </c>
    </row>
    <row r="123" spans="1:7" ht="48.75">
      <c r="A123" s="22" t="s">
        <v>309</v>
      </c>
      <c r="B123" s="23" t="s">
        <v>310</v>
      </c>
      <c r="C123" s="24">
        <v>6</v>
      </c>
      <c r="D123" s="25">
        <v>58</v>
      </c>
      <c r="E123" s="23" t="s">
        <v>68</v>
      </c>
      <c r="F123" s="23" t="s">
        <v>311</v>
      </c>
      <c r="G123" s="26">
        <f ca="1">HYPERLINK("http://images.bloomingdales.com/is/image/BLM/9936848 ")</f>
        <v>0</v>
      </c>
    </row>
    <row r="124" spans="1:7" ht="48.75">
      <c r="A124" s="22" t="s">
        <v>312</v>
      </c>
      <c r="B124" s="23" t="s">
        <v>313</v>
      </c>
      <c r="C124" s="24">
        <v>1</v>
      </c>
      <c r="D124" s="25">
        <v>59.5</v>
      </c>
      <c r="E124" s="23" t="s">
        <v>46</v>
      </c>
      <c r="F124" s="23" t="s">
        <v>314</v>
      </c>
      <c r="G124" s="26">
        <f ca="1">HYPERLINK("http://slimages.macys.com/is/image/MCY/9935711 ")</f>
        <v>0</v>
      </c>
    </row>
    <row r="125" spans="1:7" ht="48.75">
      <c r="A125" s="22" t="s">
        <v>315</v>
      </c>
      <c r="B125" s="23" t="s">
        <v>316</v>
      </c>
      <c r="C125" s="24">
        <v>1</v>
      </c>
      <c r="D125" s="25">
        <v>89.5</v>
      </c>
      <c r="E125" s="23" t="s">
        <v>209</v>
      </c>
      <c r="F125" s="23" t="s">
        <v>291</v>
      </c>
      <c r="G125" s="26">
        <f ca="1">HYPERLINK("http://slimages.macys.com/is/image/MCY/3698426 ")</f>
        <v>0</v>
      </c>
    </row>
    <row r="126" spans="1:7" ht="60.75">
      <c r="A126" s="22" t="s">
        <v>317</v>
      </c>
      <c r="B126" s="23" t="s">
        <v>318</v>
      </c>
      <c r="C126" s="24">
        <v>1</v>
      </c>
      <c r="D126" s="25">
        <v>55.6</v>
      </c>
      <c r="E126" s="23" t="s">
        <v>319</v>
      </c>
      <c r="F126" s="23" t="s">
        <v>320</v>
      </c>
      <c r="G126" s="26">
        <f ca="1">HYPERLINK("http://slimages.macys.com/is/image/MCY/10442316 ")</f>
        <v>0</v>
      </c>
    </row>
    <row r="127" spans="1:7" ht="60.75">
      <c r="A127" s="22" t="s">
        <v>321</v>
      </c>
      <c r="B127" s="23" t="s">
        <v>322</v>
      </c>
      <c r="C127" s="24">
        <v>1</v>
      </c>
      <c r="D127" s="25">
        <v>59.6</v>
      </c>
      <c r="E127" s="23" t="s">
        <v>257</v>
      </c>
      <c r="F127" s="23" t="s">
        <v>320</v>
      </c>
      <c r="G127" s="26">
        <f ca="1">HYPERLINK("http://slimages.macys.com/is/image/MCY/11942348 ")</f>
        <v>0</v>
      </c>
    </row>
    <row r="128" spans="1:7" ht="48.75">
      <c r="A128" s="22" t="s">
        <v>323</v>
      </c>
      <c r="B128" s="23" t="s">
        <v>324</v>
      </c>
      <c r="C128" s="24">
        <v>1</v>
      </c>
      <c r="D128" s="25">
        <v>79.5</v>
      </c>
      <c r="E128" s="23" t="s">
        <v>42</v>
      </c>
      <c r="F128" s="23" t="s">
        <v>291</v>
      </c>
      <c r="G128" s="26">
        <f ca="1">HYPERLINK("http://slimages.macys.com/is/image/MCY/11522636 ")</f>
        <v>0</v>
      </c>
    </row>
    <row r="129" spans="1:7" ht="36.75">
      <c r="A129" s="22" t="s">
        <v>325</v>
      </c>
      <c r="B129" s="23" t="s">
        <v>326</v>
      </c>
      <c r="C129" s="24">
        <v>1</v>
      </c>
      <c r="D129" s="25">
        <v>40</v>
      </c>
      <c r="E129" s="23" t="s">
        <v>195</v>
      </c>
      <c r="F129" s="23" t="s">
        <v>196</v>
      </c>
      <c r="G129" s="26">
        <f ca="1">HYPERLINK("http://images.bloomingdales.com/is/image/BLM/10177568 ")</f>
        <v>0</v>
      </c>
    </row>
    <row r="130" spans="1:7" ht="48.75">
      <c r="A130" s="22" t="s">
        <v>327</v>
      </c>
      <c r="B130" s="23" t="s">
        <v>328</v>
      </c>
      <c r="C130" s="24">
        <v>2</v>
      </c>
      <c r="D130" s="25">
        <v>48</v>
      </c>
      <c r="E130" s="23" t="s">
        <v>68</v>
      </c>
      <c r="F130" s="23" t="s">
        <v>249</v>
      </c>
      <c r="G130" s="26">
        <f ca="1">HYPERLINK("http://images.bloomingdales.com/is/image/BLM/10066402 ")</f>
        <v>0</v>
      </c>
    </row>
    <row r="131" spans="1:7" ht="36.75">
      <c r="A131" s="22" t="s">
        <v>329</v>
      </c>
      <c r="B131" s="23" t="s">
        <v>330</v>
      </c>
      <c r="C131" s="24">
        <v>1</v>
      </c>
      <c r="D131" s="25">
        <v>59.5</v>
      </c>
      <c r="E131" s="23" t="s">
        <v>102</v>
      </c>
      <c r="F131" s="23" t="s">
        <v>184</v>
      </c>
      <c r="G131" s="26">
        <f ca="1">HYPERLINK("http://slimages.macys.com/is/image/MCY/9863149 ")</f>
        <v>0</v>
      </c>
    </row>
    <row r="132" spans="1:7" ht="60.75">
      <c r="A132" s="22" t="s">
        <v>331</v>
      </c>
      <c r="B132" s="23" t="s">
        <v>332</v>
      </c>
      <c r="C132" s="24">
        <v>2</v>
      </c>
      <c r="D132" s="25">
        <v>40</v>
      </c>
      <c r="E132" s="23" t="s">
        <v>333</v>
      </c>
      <c r="F132" s="23" t="s">
        <v>334</v>
      </c>
      <c r="G132" s="26">
        <f ca="1">HYPERLINK("http://images.bloomingdales.com/is/image/BLM/10091633 ")</f>
        <v>0</v>
      </c>
    </row>
    <row r="133" spans="1:7" ht="60.75">
      <c r="A133" s="22" t="s">
        <v>335</v>
      </c>
      <c r="B133" s="23" t="s">
        <v>332</v>
      </c>
      <c r="C133" s="24">
        <v>2</v>
      </c>
      <c r="D133" s="25">
        <v>40</v>
      </c>
      <c r="E133" s="23" t="s">
        <v>68</v>
      </c>
      <c r="F133" s="23" t="s">
        <v>334</v>
      </c>
      <c r="G133" s="26">
        <f ca="1">HYPERLINK("http://images.bloomingdales.com/is/image/BLM/10091633 ")</f>
        <v>0</v>
      </c>
    </row>
    <row r="134" spans="1:7" ht="48.75">
      <c r="A134" s="22" t="s">
        <v>336</v>
      </c>
      <c r="B134" s="23" t="s">
        <v>337</v>
      </c>
      <c r="C134" s="24">
        <v>1</v>
      </c>
      <c r="D134" s="25">
        <v>40</v>
      </c>
      <c r="E134" s="23" t="s">
        <v>46</v>
      </c>
      <c r="F134" s="23" t="s">
        <v>249</v>
      </c>
      <c r="G134" s="26">
        <f ca="1">HYPERLINK("http://images.bloomingdales.com/is/image/BLM/10066398 ")</f>
        <v>0</v>
      </c>
    </row>
    <row r="135" spans="1:7" ht="36.75">
      <c r="A135" s="22" t="s">
        <v>338</v>
      </c>
      <c r="B135" s="23" t="s">
        <v>339</v>
      </c>
      <c r="C135" s="24">
        <v>2</v>
      </c>
      <c r="D135" s="25">
        <v>35</v>
      </c>
      <c r="E135" s="23" t="s">
        <v>96</v>
      </c>
      <c r="F135" s="23" t="s">
        <v>340</v>
      </c>
      <c r="G135" s="26">
        <f ca="1">HYPERLINK("http://images.bloomingdales.com/is/image/BLM/9410206 ")</f>
        <v>0</v>
      </c>
    </row>
    <row r="136" spans="1:7" ht="48.75">
      <c r="A136" s="22" t="s">
        <v>341</v>
      </c>
      <c r="B136" s="23" t="s">
        <v>342</v>
      </c>
      <c r="C136" s="24">
        <v>1</v>
      </c>
      <c r="D136" s="25">
        <v>79.5</v>
      </c>
      <c r="E136" s="23" t="s">
        <v>68</v>
      </c>
      <c r="F136" s="23" t="s">
        <v>291</v>
      </c>
      <c r="G136" s="26">
        <f ca="1">HYPERLINK("http://slimages.macys.com/is/image/MCY/3140287 ")</f>
        <v>0</v>
      </c>
    </row>
    <row r="137" spans="1:7" ht="48.75">
      <c r="A137" s="22" t="s">
        <v>343</v>
      </c>
      <c r="B137" s="23" t="s">
        <v>344</v>
      </c>
      <c r="C137" s="24">
        <v>2</v>
      </c>
      <c r="D137" s="25">
        <v>48</v>
      </c>
      <c r="E137" s="23" t="s">
        <v>333</v>
      </c>
      <c r="F137" s="23" t="s">
        <v>249</v>
      </c>
      <c r="G137" s="26">
        <f ca="1">HYPERLINK("http://images.bloomingdales.com/is/image/BLM/10092851 ")</f>
        <v>0</v>
      </c>
    </row>
    <row r="138" spans="1:7" ht="48.75">
      <c r="A138" s="22" t="s">
        <v>345</v>
      </c>
      <c r="B138" s="23" t="s">
        <v>344</v>
      </c>
      <c r="C138" s="24">
        <v>3</v>
      </c>
      <c r="D138" s="25">
        <v>48</v>
      </c>
      <c r="E138" s="23" t="s">
        <v>68</v>
      </c>
      <c r="F138" s="23" t="s">
        <v>249</v>
      </c>
      <c r="G138" s="26">
        <f ca="1">HYPERLINK("http://images.bloomingdales.com/is/image/BLM/10092851 ")</f>
        <v>0</v>
      </c>
    </row>
    <row r="139" spans="1:7" ht="60.75">
      <c r="A139" s="22" t="s">
        <v>346</v>
      </c>
      <c r="B139" s="23" t="s">
        <v>347</v>
      </c>
      <c r="C139" s="24">
        <v>1</v>
      </c>
      <c r="D139" s="25">
        <v>38</v>
      </c>
      <c r="E139" s="23" t="s">
        <v>68</v>
      </c>
      <c r="F139" s="23" t="s">
        <v>334</v>
      </c>
      <c r="G139" s="26">
        <f ca="1">HYPERLINK("http://images.bloomingdales.com/is/image/BLM/9798167 ")</f>
        <v>0</v>
      </c>
    </row>
    <row r="140" spans="1:7" ht="48.75">
      <c r="A140" s="22" t="s">
        <v>348</v>
      </c>
      <c r="B140" s="23" t="s">
        <v>344</v>
      </c>
      <c r="C140" s="24">
        <v>2</v>
      </c>
      <c r="D140" s="25">
        <v>48</v>
      </c>
      <c r="E140" s="23" t="s">
        <v>62</v>
      </c>
      <c r="F140" s="23" t="s">
        <v>249</v>
      </c>
      <c r="G140" s="26">
        <f ca="1">HYPERLINK("http://images.bloomingdales.com/is/image/BLM/10092851 ")</f>
        <v>0</v>
      </c>
    </row>
    <row r="141" spans="1:7" ht="48.75">
      <c r="A141" s="22" t="s">
        <v>349</v>
      </c>
      <c r="B141" s="23" t="s">
        <v>350</v>
      </c>
      <c r="C141" s="24">
        <v>2</v>
      </c>
      <c r="D141" s="25">
        <v>79.5</v>
      </c>
      <c r="E141" s="23" t="s">
        <v>195</v>
      </c>
      <c r="F141" s="23" t="s">
        <v>291</v>
      </c>
      <c r="G141" s="26">
        <f ca="1">HYPERLINK("http://slimages.macys.com/is/image/MCY/11320454 ")</f>
        <v>0</v>
      </c>
    </row>
    <row r="142" spans="1:7" ht="36.75">
      <c r="A142" s="22" t="s">
        <v>351</v>
      </c>
      <c r="B142" s="23" t="s">
        <v>352</v>
      </c>
      <c r="C142" s="24">
        <v>4</v>
      </c>
      <c r="D142" s="25">
        <v>42.5</v>
      </c>
      <c r="E142" s="23" t="s">
        <v>91</v>
      </c>
      <c r="F142" s="23" t="s">
        <v>353</v>
      </c>
      <c r="G142" s="26">
        <f ca="1">HYPERLINK("http://slimages.macys.com/is/image/MCY/11954588 ")</f>
        <v>0</v>
      </c>
    </row>
    <row r="143" spans="1:7" ht="36.75">
      <c r="A143" s="22" t="s">
        <v>354</v>
      </c>
      <c r="B143" s="23" t="s">
        <v>355</v>
      </c>
      <c r="C143" s="24">
        <v>1</v>
      </c>
      <c r="D143" s="25">
        <v>42.5</v>
      </c>
      <c r="E143" s="23" t="s">
        <v>122</v>
      </c>
      <c r="F143" s="23" t="s">
        <v>353</v>
      </c>
      <c r="G143" s="26">
        <f ca="1">HYPERLINK("http://slimages.macys.com/is/image/MCY/11954588 ")</f>
        <v>0</v>
      </c>
    </row>
    <row r="144" spans="1:7" ht="48.75">
      <c r="A144" s="22" t="s">
        <v>356</v>
      </c>
      <c r="B144" s="23" t="s">
        <v>357</v>
      </c>
      <c r="C144" s="24">
        <v>1</v>
      </c>
      <c r="D144" s="25">
        <v>50.58</v>
      </c>
      <c r="E144" s="23" t="s">
        <v>68</v>
      </c>
      <c r="F144" s="23" t="s">
        <v>358</v>
      </c>
      <c r="G144" s="26">
        <f ca="1">HYPERLINK("http://slimages.macys.com/is/image/MCY/10181291 ")</f>
        <v>0</v>
      </c>
    </row>
    <row r="145" spans="1:7" ht="36.75">
      <c r="A145" s="22" t="s">
        <v>359</v>
      </c>
      <c r="B145" s="23" t="s">
        <v>360</v>
      </c>
      <c r="C145" s="24">
        <v>2</v>
      </c>
      <c r="D145" s="25">
        <v>32.5</v>
      </c>
      <c r="E145" s="23" t="s">
        <v>50</v>
      </c>
      <c r="F145" s="23" t="s">
        <v>353</v>
      </c>
      <c r="G145" s="26">
        <f ca="1">HYPERLINK("http://slimages.macys.com/is/image/MCY/11949418 ")</f>
        <v>0</v>
      </c>
    </row>
    <row r="146" spans="1:7" ht="24.75">
      <c r="A146" s="22" t="s">
        <v>361</v>
      </c>
      <c r="B146" s="23" t="s">
        <v>362</v>
      </c>
      <c r="C146" s="24">
        <v>5</v>
      </c>
      <c r="D146" s="25">
        <v>35</v>
      </c>
      <c r="E146" s="23" t="s">
        <v>363</v>
      </c>
      <c r="F146" s="23" t="s">
        <v>364</v>
      </c>
      <c r="G146" s="26">
        <f ca="1">HYPERLINK("http://slimages.macys.com/is/image/MCY/12406001 ")</f>
        <v>0</v>
      </c>
    </row>
    <row r="147" spans="1:7" ht="48.75">
      <c r="A147" s="22" t="s">
        <v>365</v>
      </c>
      <c r="B147" s="23" t="s">
        <v>52</v>
      </c>
      <c r="C147" s="24">
        <v>2</v>
      </c>
      <c r="D147" s="25">
        <v>248</v>
      </c>
      <c r="E147" s="23" t="s">
        <v>68</v>
      </c>
      <c r="F147" s="23" t="s">
        <v>32</v>
      </c>
      <c r="G147" s="26"/>
    </row>
    <row r="148" spans="1:7" ht="36.75">
      <c r="A148" s="22" t="s">
        <v>366</v>
      </c>
      <c r="B148" s="23" t="s">
        <v>367</v>
      </c>
      <c r="C148" s="24">
        <v>2</v>
      </c>
      <c r="D148" s="25">
        <v>158</v>
      </c>
      <c r="E148" s="23" t="s">
        <v>46</v>
      </c>
      <c r="F148" s="23" t="s">
        <v>47</v>
      </c>
      <c r="G148" s="26"/>
    </row>
    <row r="149" spans="1:7" ht="48.75">
      <c r="A149" s="22" t="s">
        <v>368</v>
      </c>
      <c r="B149" s="23" t="s">
        <v>369</v>
      </c>
      <c r="C149" s="24">
        <v>1</v>
      </c>
      <c r="D149" s="25">
        <v>158</v>
      </c>
      <c r="E149" s="23" t="s">
        <v>91</v>
      </c>
      <c r="F149" s="23" t="s">
        <v>43</v>
      </c>
      <c r="G149" s="26"/>
    </row>
    <row r="150" spans="1:7" ht="36.75">
      <c r="A150" s="22" t="s">
        <v>370</v>
      </c>
      <c r="B150" s="23" t="s">
        <v>371</v>
      </c>
      <c r="C150" s="24">
        <v>1</v>
      </c>
      <c r="D150" s="25">
        <v>158</v>
      </c>
      <c r="E150" s="23" t="s">
        <v>372</v>
      </c>
      <c r="F150" s="23" t="s">
        <v>47</v>
      </c>
      <c r="G150" s="26"/>
    </row>
    <row r="151" spans="1:7" ht="24.75">
      <c r="A151" s="22" t="s">
        <v>373</v>
      </c>
      <c r="B151" s="23" t="s">
        <v>374</v>
      </c>
      <c r="C151" s="24">
        <v>1</v>
      </c>
      <c r="D151" s="25">
        <v>150</v>
      </c>
      <c r="E151" s="23" t="s">
        <v>246</v>
      </c>
      <c r="F151" s="23" t="s">
        <v>375</v>
      </c>
      <c r="G151" s="26"/>
    </row>
    <row r="152" spans="1:7" ht="36.75">
      <c r="A152" s="22" t="s">
        <v>376</v>
      </c>
      <c r="B152" s="23" t="s">
        <v>377</v>
      </c>
      <c r="C152" s="24">
        <v>1</v>
      </c>
      <c r="D152" s="25">
        <v>148</v>
      </c>
      <c r="E152" s="23" t="s">
        <v>257</v>
      </c>
      <c r="F152" s="23" t="s">
        <v>47</v>
      </c>
      <c r="G152" s="26"/>
    </row>
    <row r="153" spans="1:7" ht="48.75">
      <c r="A153" s="22" t="s">
        <v>378</v>
      </c>
      <c r="B153" s="23" t="s">
        <v>379</v>
      </c>
      <c r="C153" s="24">
        <v>1</v>
      </c>
      <c r="D153" s="25">
        <v>148</v>
      </c>
      <c r="E153" s="23" t="s">
        <v>380</v>
      </c>
      <c r="F153" s="23" t="s">
        <v>43</v>
      </c>
      <c r="G153" s="26"/>
    </row>
    <row r="154" spans="1:7" ht="48.75">
      <c r="A154" s="22" t="s">
        <v>381</v>
      </c>
      <c r="B154" s="23" t="s">
        <v>382</v>
      </c>
      <c r="C154" s="24">
        <v>1</v>
      </c>
      <c r="D154" s="25">
        <v>148</v>
      </c>
      <c r="E154" s="23" t="s">
        <v>42</v>
      </c>
      <c r="F154" s="23" t="s">
        <v>43</v>
      </c>
      <c r="G154" s="26"/>
    </row>
    <row r="155" spans="1:7" ht="48.75">
      <c r="A155" s="22" t="s">
        <v>383</v>
      </c>
      <c r="B155" s="23" t="s">
        <v>384</v>
      </c>
      <c r="C155" s="24">
        <v>1</v>
      </c>
      <c r="D155" s="25">
        <v>138</v>
      </c>
      <c r="E155" s="23" t="s">
        <v>246</v>
      </c>
      <c r="F155" s="23" t="s">
        <v>43</v>
      </c>
      <c r="G155" s="26"/>
    </row>
    <row r="156" spans="1:7" ht="48.75">
      <c r="A156" s="22" t="s">
        <v>385</v>
      </c>
      <c r="B156" s="23" t="s">
        <v>386</v>
      </c>
      <c r="C156" s="24">
        <v>1</v>
      </c>
      <c r="D156" s="25">
        <v>128</v>
      </c>
      <c r="E156" s="23" t="s">
        <v>91</v>
      </c>
      <c r="F156" s="23" t="s">
        <v>43</v>
      </c>
      <c r="G156" s="26"/>
    </row>
    <row r="157" spans="1:7" ht="36.75">
      <c r="A157" s="22" t="s">
        <v>387</v>
      </c>
      <c r="B157" s="23" t="s">
        <v>388</v>
      </c>
      <c r="C157" s="24">
        <v>1</v>
      </c>
      <c r="D157" s="25">
        <v>129</v>
      </c>
      <c r="E157" s="23" t="s">
        <v>68</v>
      </c>
      <c r="F157" s="23" t="s">
        <v>389</v>
      </c>
      <c r="G157" s="26"/>
    </row>
    <row r="158" spans="1:7" ht="36.75">
      <c r="A158" s="22" t="s">
        <v>390</v>
      </c>
      <c r="B158" s="23" t="s">
        <v>391</v>
      </c>
      <c r="C158" s="24">
        <v>1</v>
      </c>
      <c r="D158" s="25">
        <v>119</v>
      </c>
      <c r="E158" s="23" t="s">
        <v>62</v>
      </c>
      <c r="F158" s="23" t="s">
        <v>147</v>
      </c>
      <c r="G158" s="26"/>
    </row>
    <row r="159" spans="1:7" ht="36.75">
      <c r="A159" s="22" t="s">
        <v>392</v>
      </c>
      <c r="B159" s="23" t="s">
        <v>393</v>
      </c>
      <c r="C159" s="24">
        <v>1</v>
      </c>
      <c r="D159" s="25">
        <v>98</v>
      </c>
      <c r="E159" s="23" t="s">
        <v>68</v>
      </c>
      <c r="F159" s="23" t="s">
        <v>47</v>
      </c>
      <c r="G159" s="26"/>
    </row>
    <row r="160" spans="1:7" ht="60.75">
      <c r="A160" s="22" t="s">
        <v>394</v>
      </c>
      <c r="B160" s="23" t="s">
        <v>395</v>
      </c>
      <c r="C160" s="24">
        <v>1</v>
      </c>
      <c r="D160" s="25">
        <v>68</v>
      </c>
      <c r="E160" s="23" t="s">
        <v>27</v>
      </c>
      <c r="F160" s="23" t="s">
        <v>155</v>
      </c>
      <c r="G160" s="26"/>
    </row>
    <row r="161" spans="1:7" ht="60.75">
      <c r="A161" s="22" t="s">
        <v>396</v>
      </c>
      <c r="B161" s="23" t="s">
        <v>397</v>
      </c>
      <c r="C161" s="24">
        <v>1</v>
      </c>
      <c r="D161" s="25">
        <v>68</v>
      </c>
      <c r="E161" s="23" t="s">
        <v>27</v>
      </c>
      <c r="F161" s="23" t="s">
        <v>155</v>
      </c>
      <c r="G161" s="26"/>
    </row>
    <row r="162" spans="1:7" ht="48.75">
      <c r="A162" s="22" t="s">
        <v>398</v>
      </c>
      <c r="B162" s="23" t="s">
        <v>399</v>
      </c>
      <c r="C162" s="24">
        <v>1</v>
      </c>
      <c r="D162" s="25">
        <v>78</v>
      </c>
      <c r="E162" s="23" t="s">
        <v>68</v>
      </c>
      <c r="F162" s="23" t="s">
        <v>249</v>
      </c>
      <c r="G162" s="26"/>
    </row>
    <row r="163" spans="1:7" ht="36.75">
      <c r="A163" s="22" t="s">
        <v>400</v>
      </c>
      <c r="B163" s="23" t="s">
        <v>401</v>
      </c>
      <c r="C163" s="24">
        <v>2</v>
      </c>
      <c r="D163" s="25">
        <v>45</v>
      </c>
      <c r="E163" s="23" t="s">
        <v>68</v>
      </c>
      <c r="F163" s="23" t="s">
        <v>402</v>
      </c>
      <c r="G163" s="26"/>
    </row>
    <row r="164" spans="1:7" ht="36.75">
      <c r="A164" s="22" t="s">
        <v>403</v>
      </c>
      <c r="B164" s="23" t="s">
        <v>404</v>
      </c>
      <c r="C164" s="24">
        <v>8</v>
      </c>
      <c r="D164" s="25">
        <v>42.5</v>
      </c>
      <c r="E164" s="23" t="s">
        <v>405</v>
      </c>
      <c r="F164" s="23" t="s">
        <v>353</v>
      </c>
      <c r="G164" s="26"/>
    </row>
    <row r="165" spans="1:7" ht="36.75">
      <c r="A165" s="22" t="s">
        <v>406</v>
      </c>
      <c r="B165" s="23" t="s">
        <v>407</v>
      </c>
      <c r="C165" s="24">
        <v>9</v>
      </c>
      <c r="D165" s="25">
        <v>42.5</v>
      </c>
      <c r="E165" s="23" t="s">
        <v>150</v>
      </c>
      <c r="F165" s="23" t="s">
        <v>353</v>
      </c>
      <c r="G165" s="26"/>
    </row>
    <row r="166" spans="1:7" ht="36.75">
      <c r="A166" s="22" t="s">
        <v>408</v>
      </c>
      <c r="B166" s="23" t="s">
        <v>409</v>
      </c>
      <c r="C166" s="24">
        <v>9</v>
      </c>
      <c r="D166" s="25">
        <v>42.5</v>
      </c>
      <c r="E166" s="23" t="s">
        <v>410</v>
      </c>
      <c r="F166" s="23" t="s">
        <v>353</v>
      </c>
      <c r="G166" s="26"/>
    </row>
    <row r="167" spans="1:7" ht="36.75">
      <c r="A167" s="22" t="s">
        <v>411</v>
      </c>
      <c r="B167" s="23" t="s">
        <v>412</v>
      </c>
      <c r="C167" s="24">
        <v>6</v>
      </c>
      <c r="D167" s="25">
        <v>26.5</v>
      </c>
      <c r="E167" s="23" t="s">
        <v>405</v>
      </c>
      <c r="F167" s="23" t="s">
        <v>353</v>
      </c>
      <c r="G167" s="26"/>
    </row>
    <row r="168" spans="1:7" ht="36.75">
      <c r="A168" s="22" t="s">
        <v>413</v>
      </c>
      <c r="B168" s="23" t="s">
        <v>414</v>
      </c>
      <c r="C168" s="24">
        <v>4</v>
      </c>
      <c r="D168" s="25">
        <v>26.5</v>
      </c>
      <c r="E168" s="23" t="s">
        <v>68</v>
      </c>
      <c r="F168" s="23" t="s">
        <v>353</v>
      </c>
      <c r="G168" s="26"/>
    </row>
    <row r="169" spans="1:7" ht="36.75">
      <c r="A169" s="22" t="s">
        <v>415</v>
      </c>
      <c r="B169" s="23" t="s">
        <v>416</v>
      </c>
      <c r="C169" s="24">
        <v>7</v>
      </c>
      <c r="D169" s="25">
        <v>26.5</v>
      </c>
      <c r="E169" s="23" t="s">
        <v>150</v>
      </c>
      <c r="F169" s="23" t="s">
        <v>353</v>
      </c>
      <c r="G169" s="26"/>
    </row>
    <row r="170" spans="1:7" ht="37.5" thickBot="1">
      <c r="A170" s="27" t="s">
        <v>417</v>
      </c>
      <c r="B170" s="15" t="s">
        <v>418</v>
      </c>
      <c r="C170" s="17">
        <v>4</v>
      </c>
      <c r="D170" s="28">
        <v>24.5</v>
      </c>
      <c r="E170" s="15" t="s">
        <v>50</v>
      </c>
      <c r="F170" s="15" t="s">
        <v>353</v>
      </c>
      <c r="G170" s="29"/>
    </row>
  </sheetData>
  <pageMargins left="0.5" right="0.5" top="0.25" bottom="0.25" header="0.3" footer="0.3"/>
  <pageSetup scale="6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12117708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2019-11-05T00:44:24Z</dcterms:created>
  <dcterms:modified xsi:type="dcterms:W3CDTF">2019-11-05T00:44:24Z</dcterms:modified>
</cp:coreProperties>
</file>