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5.xml" ContentType="application/vnd.openxmlformats-officedocument.drawing+xml"/>
  <Override PartName="/xl/pivotTables/pivotTable17.xml" ContentType="application/vnd.openxmlformats-officedocument.spreadsheetml.pivotTable+xml"/>
  <Override PartName="/xl/drawings/drawing6.xml" ContentType="application/vnd.openxmlformats-officedocument.drawing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7.xml" ContentType="application/vnd.openxmlformats-officedocument.drawing+xml"/>
  <Override PartName="/xl/pivotTables/pivotTable29.xml" ContentType="application/vnd.openxmlformats-officedocument.spreadsheetml.pivot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15" documentId="8_{C5D2B0B5-A6C2-4DA4-B000-B6B7605A9422}" xr6:coauthVersionLast="47" xr6:coauthVersionMax="47" xr10:uidLastSave="{4FA9E98A-23E4-4811-8D96-FD203EB38D3A}"/>
  <bookViews>
    <workbookView xWindow="4044" yWindow="4044" windowWidth="20232" windowHeight="10008" firstSheet="21" activeTab="22" xr2:uid="{00000000-000D-0000-FFFF-FFFF00000000}"/>
  </bookViews>
  <sheets>
    <sheet name="ventas ticket promedio" sheetId="1" state="hidden" r:id="rId1"/>
    <sheet name="METODOS USAQUEN" sheetId="13" state="hidden" r:id="rId2"/>
    <sheet name="MODELO FINANCIERO BARRANQUERO" sheetId="34" r:id="rId3"/>
    <sheet name="Mensual Barranquero" sheetId="35" r:id="rId4"/>
    <sheet name="Acumulado Barranquero" sheetId="36" r:id="rId5"/>
    <sheet name="rentabilidad exportaciones" sheetId="25" r:id="rId6"/>
    <sheet name="rentabilidad exportaciones mes" sheetId="26" r:id="rId7"/>
    <sheet name="rentabilidad exportaciones acum" sheetId="27" r:id="rId8"/>
    <sheet name="financiera" sheetId="24" r:id="rId9"/>
    <sheet name="financiera mes" sheetId="29" r:id="rId10"/>
    <sheet name="financiera acum" sheetId="28" r:id="rId11"/>
    <sheet name="rentabilidad comercial" sheetId="23" r:id="rId12"/>
    <sheet name="rentabilidad comercial mes" sheetId="30" r:id="rId13"/>
    <sheet name="rentabilidad comercial acum" sheetId="31" r:id="rId14"/>
    <sheet name="mercadeo" sheetId="15" r:id="rId15"/>
    <sheet name="lanzamiento_base" sheetId="32" r:id="rId16"/>
    <sheet name="lanzamiento" sheetId="33" r:id="rId17"/>
    <sheet name="mercadeo2" sheetId="16" r:id="rId18"/>
    <sheet name="COMERCIAL" sheetId="18" r:id="rId19"/>
    <sheet name="Comercial1_mes" sheetId="20" r:id="rId20"/>
    <sheet name="Comercial2_mes" sheetId="21" r:id="rId21"/>
    <sheet name="Comercial1_acum" sheetId="38" r:id="rId22"/>
    <sheet name="Comercial2_acum" sheetId="39" r:id="rId23"/>
    <sheet name="CARTERA" sheetId="19" r:id="rId24"/>
    <sheet name="Cartera1" sheetId="22" r:id="rId25"/>
    <sheet name="RENTABILIDAD TIENDAS" sheetId="37" r:id="rId26"/>
    <sheet name="PRESUPUESTO" sheetId="10" state="hidden" r:id="rId27"/>
    <sheet name="ventas ticket promedio (2)" sheetId="11" state="hidden" r:id="rId28"/>
    <sheet name="Hoja3" sheetId="12" state="hidden" r:id="rId29"/>
    <sheet name="Hoja2" sheetId="9" state="hidden" r:id="rId30"/>
    <sheet name="Hoja5" sheetId="6" state="hidden" r:id="rId31"/>
  </sheets>
  <externalReferences>
    <externalReference r:id="rId32"/>
  </externalReferences>
  <definedNames>
    <definedName name="_xlnm._FilterDatabase" localSheetId="28" hidden="1">Hoja3!$A$6:$M$3813</definedName>
    <definedName name="_Key1" hidden="1">#REF!</definedName>
    <definedName name="_Order1" hidden="1">255</definedName>
    <definedName name="_Sort" hidden="1">#REF!</definedName>
    <definedName name="AS2DocOpenMode" hidden="1">"AS2DocumentEdit"</definedName>
    <definedName name="MARY" hidden="1">{#N/A,#N/A,FALSE,"Aging Summary";#N/A,#N/A,FALSE,"Ratio Analysis";#N/A,#N/A,FALSE,"Test 120 Day Accts";#N/A,#N/A,FALSE,"Tickmarks"}</definedName>
    <definedName name="NINA" hidden="1">{#N/A,#N/A,FALSE,"Aging Summary";#N/A,#N/A,FALSE,"Ratio Analysis";#N/A,#N/A,FALSE,"Test 120 Day Accts";#N/A,#N/A,FALSE,"Tickmarks"}</definedName>
    <definedName name="not4a" hidden="1">{#N/A,#N/A,FALSE,"Aging Summary";#N/A,#N/A,FALSE,"Ratio Analysis";#N/A,#N/A,FALSE,"Test 120 Day Accts";#N/A,#N/A,FALSE,"Tickmarks"}</definedName>
    <definedName name="TextRefCopy1">#REF!</definedName>
    <definedName name="TextRefCopyRangeCount" hidden="1">1</definedName>
    <definedName name="TRM">#REF!</definedName>
    <definedName name="wrn.Aging._.and._.Trend._.Analysis." hidden="1">{#N/A,#N/A,FALSE,"Aging Summary";#N/A,#N/A,FALSE,"Ratio Analysis";#N/A,#N/A,FALSE,"Test 120 Day Accts";#N/A,#N/A,FALSE,"Tickmarks"}</definedName>
  </definedNames>
  <calcPr calcId="191029" refMode="R1C1" iterateCount="0" calcOnSave="0" concurrentCalc="0"/>
  <pivotCaches>
    <pivotCache cacheId="508" r:id="rId33"/>
    <pivotCache cacheId="511" r:id="rId34"/>
    <pivotCache cacheId="514" r:id="rId35"/>
    <pivotCache cacheId="517" r:id="rId36"/>
    <pivotCache cacheId="520" r:id="rId37"/>
    <pivotCache cacheId="523" r:id="rId38"/>
    <pivotCache cacheId="526" r:id="rId39"/>
    <pivotCache cacheId="529" r:id="rId40"/>
    <pivotCache cacheId="532" r:id="rId41"/>
    <pivotCache cacheId="535" r:id="rId42"/>
    <pivotCache cacheId="538" r:id="rId43"/>
    <pivotCache cacheId="541" r:id="rId44"/>
    <pivotCache cacheId="544" r:id="rId45"/>
    <pivotCache cacheId="547" r:id="rId46"/>
    <pivotCache cacheId="550" r:id="rId47"/>
    <pivotCache cacheId="553" r:id="rId48"/>
    <pivotCache cacheId="556" r:id="rId49"/>
    <pivotCache cacheId="559" r:id="rId50"/>
    <pivotCache cacheId="562" r:id="rId51"/>
    <pivotCache cacheId="565" r:id="rId52"/>
    <pivotCache cacheId="568" r:id="rId53"/>
    <pivotCache cacheId="571" r:id="rId54"/>
    <pivotCache cacheId="574" r:id="rId55"/>
    <pivotCache cacheId="577" r:id="rId56"/>
    <pivotCache cacheId="580" r:id="rId57"/>
    <pivotCache cacheId="583" r:id="rId58"/>
    <pivotCache cacheId="586" r:id="rId59"/>
    <pivotCache cacheId="589" r:id="rId60"/>
    <pivotCache cacheId="592" r:id="rId6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9" i="39" l="1"/>
  <c r="B9" i="39"/>
  <c r="C9" i="39"/>
  <c r="D9" i="39"/>
  <c r="E9" i="39"/>
  <c r="F9" i="39"/>
  <c r="F1" i="39"/>
  <c r="B1" i="39"/>
  <c r="C1" i="39"/>
  <c r="D1" i="39"/>
  <c r="B2" i="39"/>
  <c r="C2" i="39"/>
  <c r="D2" i="39"/>
  <c r="E2" i="39"/>
  <c r="F2" i="39"/>
  <c r="B3" i="39"/>
  <c r="C3" i="39"/>
  <c r="D3" i="39"/>
  <c r="E3" i="39"/>
  <c r="F3" i="39"/>
  <c r="B4" i="39"/>
  <c r="C4" i="39"/>
  <c r="D4" i="39"/>
  <c r="E4" i="39"/>
  <c r="F4" i="39"/>
  <c r="B5" i="39"/>
  <c r="C5" i="39"/>
  <c r="D5" i="39"/>
  <c r="E5" i="39"/>
  <c r="F5" i="39"/>
  <c r="B6" i="39"/>
  <c r="C6" i="39"/>
  <c r="D6" i="39"/>
  <c r="E6" i="39"/>
  <c r="F6" i="39"/>
  <c r="B7" i="39"/>
  <c r="C7" i="39"/>
  <c r="D7" i="39"/>
  <c r="E7" i="39"/>
  <c r="F7" i="39"/>
  <c r="B8" i="39"/>
  <c r="C8" i="39"/>
  <c r="D8" i="39"/>
  <c r="E8" i="39"/>
  <c r="F8" i="39"/>
  <c r="A2" i="39"/>
  <c r="A3" i="39"/>
  <c r="A4" i="39"/>
  <c r="A5" i="39"/>
  <c r="A6" i="39"/>
  <c r="A7" i="39"/>
  <c r="A1" i="39"/>
  <c r="B1" i="38"/>
  <c r="C1" i="38"/>
  <c r="D1" i="38"/>
  <c r="E1" i="38"/>
  <c r="F1" i="38"/>
  <c r="B2" i="38"/>
  <c r="C2" i="38"/>
  <c r="D2" i="38"/>
  <c r="E2" i="38"/>
  <c r="F2" i="38"/>
  <c r="B3" i="38"/>
  <c r="C3" i="38"/>
  <c r="D3" i="38"/>
  <c r="E3" i="38"/>
  <c r="F3" i="38"/>
  <c r="B4" i="38"/>
  <c r="C4" i="38"/>
  <c r="D4" i="38"/>
  <c r="E4" i="38"/>
  <c r="F4" i="38"/>
  <c r="B5" i="38"/>
  <c r="C5" i="38"/>
  <c r="D5" i="38"/>
  <c r="E5" i="38"/>
  <c r="F5" i="38"/>
  <c r="B6" i="38"/>
  <c r="C6" i="38"/>
  <c r="D6" i="38"/>
  <c r="E6" i="38"/>
  <c r="F6" i="38"/>
  <c r="B7" i="38"/>
  <c r="C7" i="38"/>
  <c r="D7" i="38"/>
  <c r="E7" i="38"/>
  <c r="F7" i="38"/>
  <c r="B8" i="38"/>
  <c r="C8" i="38"/>
  <c r="D8" i="38"/>
  <c r="E8" i="38"/>
  <c r="F8" i="38"/>
  <c r="A3" i="38"/>
  <c r="A4" i="38"/>
  <c r="A5" i="38"/>
  <c r="A6" i="38"/>
  <c r="A7" i="38"/>
  <c r="A8" i="38"/>
  <c r="A2" i="38"/>
  <c r="A2" i="20"/>
  <c r="C2" i="20"/>
  <c r="C2" i="35"/>
  <c r="D2" i="35"/>
  <c r="E2" i="35"/>
  <c r="C3" i="35"/>
  <c r="D3" i="35"/>
  <c r="E3" i="35"/>
  <c r="B3" i="35"/>
  <c r="B2" i="35"/>
  <c r="R13" i="34"/>
  <c r="R15" i="34"/>
  <c r="R17" i="34"/>
  <c r="A12" i="34"/>
  <c r="A13" i="34"/>
  <c r="A14" i="34"/>
  <c r="B15" i="34"/>
  <c r="A15" i="34"/>
  <c r="A16" i="34"/>
  <c r="R123" i="34"/>
  <c r="R193" i="34"/>
  <c r="R58" i="34"/>
  <c r="R197" i="34"/>
  <c r="R198" i="34"/>
  <c r="R199" i="34"/>
  <c r="R200" i="34"/>
  <c r="R203" i="34"/>
  <c r="R209" i="34"/>
  <c r="R213" i="34"/>
  <c r="R214" i="34"/>
  <c r="R215" i="34"/>
  <c r="R216" i="34"/>
  <c r="R219" i="34"/>
  <c r="R220" i="34"/>
  <c r="R224" i="34"/>
  <c r="R226" i="34"/>
  <c r="R233" i="34"/>
  <c r="R195" i="34"/>
  <c r="R236" i="34"/>
  <c r="R238" i="34"/>
  <c r="R240" i="34"/>
  <c r="R243" i="34"/>
  <c r="R246" i="34"/>
  <c r="R247" i="34"/>
  <c r="S17" i="34"/>
  <c r="S123" i="34"/>
  <c r="S193" i="34"/>
  <c r="S198" i="34"/>
  <c r="S58" i="34"/>
  <c r="S199" i="34"/>
  <c r="S200" i="34"/>
  <c r="S203" i="34"/>
  <c r="S209" i="34"/>
  <c r="S211" i="34"/>
  <c r="S212" i="34"/>
  <c r="S213" i="34"/>
  <c r="S214" i="34"/>
  <c r="S215" i="34"/>
  <c r="S216" i="34"/>
  <c r="S219" i="34"/>
  <c r="S220" i="34"/>
  <c r="S223" i="34"/>
  <c r="S224" i="34"/>
  <c r="S226" i="34"/>
  <c r="S233" i="34"/>
  <c r="S195" i="34"/>
  <c r="S236" i="34"/>
  <c r="S238" i="34"/>
  <c r="S240" i="34"/>
  <c r="S243" i="34"/>
  <c r="S246" i="34"/>
  <c r="S247" i="34"/>
  <c r="T17" i="34"/>
  <c r="T123" i="34"/>
  <c r="T193" i="34"/>
  <c r="T198" i="34"/>
  <c r="T58" i="34"/>
  <c r="T199" i="34"/>
  <c r="T200" i="34"/>
  <c r="T203" i="34"/>
  <c r="T209" i="34"/>
  <c r="T211" i="34"/>
  <c r="T212" i="34"/>
  <c r="T213" i="34"/>
  <c r="T214" i="34"/>
  <c r="T215" i="34"/>
  <c r="T216" i="34"/>
  <c r="T219" i="34"/>
  <c r="T220" i="34"/>
  <c r="T223" i="34"/>
  <c r="T224" i="34"/>
  <c r="T226" i="34"/>
  <c r="T233" i="34"/>
  <c r="T195" i="34"/>
  <c r="T236" i="34"/>
  <c r="T238" i="34"/>
  <c r="T240" i="34"/>
  <c r="T243" i="34"/>
  <c r="T246" i="34"/>
  <c r="T247" i="34"/>
  <c r="U17" i="34"/>
  <c r="U123" i="34"/>
  <c r="U193" i="34"/>
  <c r="U198" i="34"/>
  <c r="U200" i="34"/>
  <c r="U58" i="34"/>
  <c r="U203" i="34"/>
  <c r="U209" i="34"/>
  <c r="U211" i="34"/>
  <c r="U212" i="34"/>
  <c r="U213" i="34"/>
  <c r="U214" i="34"/>
  <c r="U215" i="34"/>
  <c r="U216" i="34"/>
  <c r="U219" i="34"/>
  <c r="U220" i="34"/>
  <c r="U223" i="34"/>
  <c r="U224" i="34"/>
  <c r="U226" i="34"/>
  <c r="U233" i="34"/>
  <c r="U195" i="34"/>
  <c r="U236" i="34"/>
  <c r="U238" i="34"/>
  <c r="U240" i="34"/>
  <c r="U243" i="34"/>
  <c r="U246" i="34"/>
  <c r="U247" i="34"/>
  <c r="V17" i="34"/>
  <c r="V123" i="34"/>
  <c r="V193" i="34"/>
  <c r="V198" i="34"/>
  <c r="V200" i="34"/>
  <c r="V58" i="34"/>
  <c r="V203" i="34"/>
  <c r="V209" i="34"/>
  <c r="V211" i="34"/>
  <c r="V212" i="34"/>
  <c r="V213" i="34"/>
  <c r="V214" i="34"/>
  <c r="V215" i="34"/>
  <c r="V216" i="34"/>
  <c r="V219" i="34"/>
  <c r="V220" i="34"/>
  <c r="V223" i="34"/>
  <c r="V224" i="34"/>
  <c r="V226" i="34"/>
  <c r="V233" i="34"/>
  <c r="V195" i="34"/>
  <c r="V236" i="34"/>
  <c r="V238" i="34"/>
  <c r="V240" i="34"/>
  <c r="V243" i="34"/>
  <c r="V246" i="34"/>
  <c r="V247" i="34"/>
  <c r="W17" i="34"/>
  <c r="W123" i="34"/>
  <c r="W193" i="34"/>
  <c r="W198" i="34"/>
  <c r="W200" i="34"/>
  <c r="W58" i="34"/>
  <c r="W203" i="34"/>
  <c r="W209" i="34"/>
  <c r="W211" i="34"/>
  <c r="W212" i="34"/>
  <c r="W213" i="34"/>
  <c r="W214" i="34"/>
  <c r="W215" i="34"/>
  <c r="W216" i="34"/>
  <c r="W219" i="34"/>
  <c r="W220" i="34"/>
  <c r="W223" i="34"/>
  <c r="W224" i="34"/>
  <c r="W226" i="34"/>
  <c r="W233" i="34"/>
  <c r="W195" i="34"/>
  <c r="W236" i="34"/>
  <c r="W238" i="34"/>
  <c r="W240" i="34"/>
  <c r="W243" i="34"/>
  <c r="W246" i="34"/>
  <c r="W247" i="34"/>
  <c r="X17" i="34"/>
  <c r="X123" i="34"/>
  <c r="X193" i="34"/>
  <c r="X198" i="34"/>
  <c r="X200" i="34"/>
  <c r="X58" i="34"/>
  <c r="X203" i="34"/>
  <c r="X209" i="34"/>
  <c r="X211" i="34"/>
  <c r="X212" i="34"/>
  <c r="X213" i="34"/>
  <c r="X214" i="34"/>
  <c r="X215" i="34"/>
  <c r="X216" i="34"/>
  <c r="X219" i="34"/>
  <c r="X220" i="34"/>
  <c r="X223" i="34"/>
  <c r="X224" i="34"/>
  <c r="X226" i="34"/>
  <c r="X233" i="34"/>
  <c r="X195" i="34"/>
  <c r="X236" i="34"/>
  <c r="X238" i="34"/>
  <c r="X240" i="34"/>
  <c r="X243" i="34"/>
  <c r="X246" i="34"/>
  <c r="X247" i="34"/>
  <c r="Y17" i="34"/>
  <c r="Y123" i="34"/>
  <c r="Y193" i="34"/>
  <c r="Y198" i="34"/>
  <c r="Y200" i="34"/>
  <c r="Y58" i="34"/>
  <c r="Y203" i="34"/>
  <c r="Y209" i="34"/>
  <c r="Y211" i="34"/>
  <c r="Y212" i="34"/>
  <c r="Y213" i="34"/>
  <c r="Y214" i="34"/>
  <c r="Y215" i="34"/>
  <c r="Y216" i="34"/>
  <c r="Y219" i="34"/>
  <c r="Y220" i="34"/>
  <c r="Y223" i="34"/>
  <c r="Y224" i="34"/>
  <c r="Y226" i="34"/>
  <c r="Y233" i="34"/>
  <c r="Y195" i="34"/>
  <c r="Y236" i="34"/>
  <c r="Y238" i="34"/>
  <c r="Y240" i="34"/>
  <c r="Y243" i="34"/>
  <c r="Y246" i="34"/>
  <c r="Y247" i="34"/>
  <c r="Z17" i="34"/>
  <c r="Z123" i="34"/>
  <c r="Z193" i="34"/>
  <c r="Z198" i="34"/>
  <c r="Z200" i="34"/>
  <c r="Z58" i="34"/>
  <c r="Z203" i="34"/>
  <c r="Z209" i="34"/>
  <c r="Z211" i="34"/>
  <c r="Z212" i="34"/>
  <c r="Z213" i="34"/>
  <c r="Z214" i="34"/>
  <c r="Z215" i="34"/>
  <c r="Z216" i="34"/>
  <c r="Z219" i="34"/>
  <c r="Z220" i="34"/>
  <c r="Z223" i="34"/>
  <c r="Z224" i="34"/>
  <c r="Z226" i="34"/>
  <c r="Z233" i="34"/>
  <c r="Z195" i="34"/>
  <c r="Z236" i="34"/>
  <c r="Z238" i="34"/>
  <c r="Z240" i="34"/>
  <c r="Z243" i="34"/>
  <c r="Z246" i="34"/>
  <c r="Z247" i="34"/>
  <c r="AA17" i="34"/>
  <c r="AA123" i="34"/>
  <c r="AA193" i="34"/>
  <c r="AA198" i="34"/>
  <c r="AA200" i="34"/>
  <c r="AA58" i="34"/>
  <c r="AA203" i="34"/>
  <c r="AA209" i="34"/>
  <c r="AA211" i="34"/>
  <c r="AA212" i="34"/>
  <c r="AA213" i="34"/>
  <c r="AA214" i="34"/>
  <c r="AA215" i="34"/>
  <c r="AA216" i="34"/>
  <c r="AA219" i="34"/>
  <c r="AA220" i="34"/>
  <c r="AA223" i="34"/>
  <c r="AA224" i="34"/>
  <c r="AA226" i="34"/>
  <c r="AA233" i="34"/>
  <c r="AA195" i="34"/>
  <c r="AA236" i="34"/>
  <c r="AA238" i="34"/>
  <c r="AA240" i="34"/>
  <c r="AA243" i="34"/>
  <c r="AA246" i="34"/>
  <c r="AA247" i="34"/>
  <c r="AB17" i="34"/>
  <c r="AB123" i="34"/>
  <c r="AB193" i="34"/>
  <c r="AB198" i="34"/>
  <c r="AB200" i="34"/>
  <c r="AB58" i="34"/>
  <c r="AB203" i="34"/>
  <c r="AB209" i="34"/>
  <c r="AB211" i="34"/>
  <c r="AB212" i="34"/>
  <c r="AB213" i="34"/>
  <c r="AB214" i="34"/>
  <c r="AB215" i="34"/>
  <c r="AB216" i="34"/>
  <c r="AB219" i="34"/>
  <c r="AB220" i="34"/>
  <c r="AB223" i="34"/>
  <c r="AB224" i="34"/>
  <c r="AB226" i="34"/>
  <c r="AB233" i="34"/>
  <c r="AB195" i="34"/>
  <c r="AB236" i="34"/>
  <c r="AB238" i="34"/>
  <c r="AB240" i="34"/>
  <c r="AB243" i="34"/>
  <c r="AB246" i="34"/>
  <c r="AB247" i="34"/>
  <c r="AC17" i="34"/>
  <c r="AC123" i="34"/>
  <c r="AC193" i="34"/>
  <c r="AC198" i="34"/>
  <c r="AC200" i="34"/>
  <c r="AC58" i="34"/>
  <c r="AC203" i="34"/>
  <c r="AC209" i="34"/>
  <c r="AC211" i="34"/>
  <c r="AC212" i="34"/>
  <c r="AC213" i="34"/>
  <c r="AC214" i="34"/>
  <c r="AC215" i="34"/>
  <c r="AC216" i="34"/>
  <c r="AC219" i="34"/>
  <c r="AC220" i="34"/>
  <c r="AC223" i="34"/>
  <c r="AC224" i="34"/>
  <c r="AC226" i="34"/>
  <c r="AC233" i="34"/>
  <c r="AC195" i="34"/>
  <c r="AC236" i="34"/>
  <c r="AC28" i="34"/>
  <c r="J263" i="34"/>
  <c r="J264" i="34"/>
  <c r="AC29" i="34"/>
  <c r="AC37" i="34"/>
  <c r="AC238" i="34"/>
  <c r="AC240" i="34"/>
  <c r="AC243" i="34"/>
  <c r="AC246" i="34"/>
  <c r="AC247" i="34"/>
  <c r="C5" i="34"/>
  <c r="D6" i="34"/>
  <c r="D7" i="34"/>
  <c r="D8" i="34"/>
  <c r="L12" i="34"/>
  <c r="P12" i="34"/>
  <c r="Q12" i="34"/>
  <c r="Q13" i="34"/>
  <c r="Q14" i="34"/>
  <c r="N15" i="34"/>
  <c r="O15" i="34"/>
  <c r="Q15" i="34"/>
  <c r="M16" i="34"/>
  <c r="P16" i="34"/>
  <c r="Q16" i="34"/>
  <c r="E17" i="34"/>
  <c r="F17" i="34"/>
  <c r="G17" i="34"/>
  <c r="H17" i="34"/>
  <c r="I17" i="34"/>
  <c r="J17" i="34"/>
  <c r="K17" i="34"/>
  <c r="L17" i="34"/>
  <c r="M17" i="34"/>
  <c r="N17" i="34"/>
  <c r="O17" i="34"/>
  <c r="P17" i="34"/>
  <c r="Q17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E21" i="34"/>
  <c r="F21" i="34"/>
  <c r="G21" i="34"/>
  <c r="H21" i="34"/>
  <c r="I21" i="34"/>
  <c r="J21" i="34"/>
  <c r="D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AC21" i="34"/>
  <c r="E22" i="34"/>
  <c r="F22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AC22" i="34"/>
  <c r="E23" i="34"/>
  <c r="F23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AC23" i="34"/>
  <c r="E24" i="34"/>
  <c r="F24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AC24" i="34"/>
  <c r="R56" i="34"/>
  <c r="S56" i="34"/>
  <c r="T56" i="34"/>
  <c r="U56" i="34"/>
  <c r="V56" i="34"/>
  <c r="W56" i="34"/>
  <c r="X56" i="34"/>
  <c r="Y56" i="34"/>
  <c r="Z56" i="34"/>
  <c r="AA56" i="34"/>
  <c r="AB56" i="34"/>
  <c r="AC56" i="34"/>
  <c r="E58" i="34"/>
  <c r="F58" i="34"/>
  <c r="G58" i="34"/>
  <c r="H58" i="34"/>
  <c r="I58" i="34"/>
  <c r="J58" i="34"/>
  <c r="L58" i="34"/>
  <c r="M58" i="34"/>
  <c r="N58" i="34"/>
  <c r="O58" i="34"/>
  <c r="P58" i="34"/>
  <c r="Q58" i="34"/>
  <c r="AD58" i="34"/>
  <c r="AE58" i="34"/>
  <c r="L59" i="34"/>
  <c r="M59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AA59" i="34"/>
  <c r="AB59" i="34"/>
  <c r="AC59" i="34"/>
  <c r="L60" i="34"/>
  <c r="M60" i="34"/>
  <c r="N60" i="34"/>
  <c r="O60" i="34"/>
  <c r="P60" i="34"/>
  <c r="Q60" i="34"/>
  <c r="R60" i="34"/>
  <c r="S60" i="34"/>
  <c r="T60" i="34"/>
  <c r="U60" i="34"/>
  <c r="V60" i="34"/>
  <c r="W60" i="34"/>
  <c r="X60" i="34"/>
  <c r="Y60" i="34"/>
  <c r="Z60" i="34"/>
  <c r="AA60" i="34"/>
  <c r="AB60" i="34"/>
  <c r="AC60" i="34"/>
  <c r="L61" i="34"/>
  <c r="M61" i="34"/>
  <c r="N61" i="34"/>
  <c r="O61" i="34"/>
  <c r="P61" i="34"/>
  <c r="Q61" i="34"/>
  <c r="R61" i="34"/>
  <c r="S61" i="34"/>
  <c r="T61" i="34"/>
  <c r="U61" i="34"/>
  <c r="V61" i="34"/>
  <c r="W61" i="34"/>
  <c r="X61" i="34"/>
  <c r="Y61" i="34"/>
  <c r="Z61" i="34"/>
  <c r="AA61" i="34"/>
  <c r="AB61" i="34"/>
  <c r="AC61" i="34"/>
  <c r="L62" i="34"/>
  <c r="M62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Z62" i="34"/>
  <c r="AA62" i="34"/>
  <c r="AB62" i="34"/>
  <c r="AC62" i="34"/>
  <c r="L63" i="34"/>
  <c r="M63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AA63" i="34"/>
  <c r="AB63" i="34"/>
  <c r="AC63" i="34"/>
  <c r="L64" i="34"/>
  <c r="M64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Z64" i="34"/>
  <c r="AA64" i="34"/>
  <c r="AB64" i="34"/>
  <c r="AC64" i="34"/>
  <c r="L65" i="34"/>
  <c r="M65" i="34"/>
  <c r="N65" i="34"/>
  <c r="O65" i="34"/>
  <c r="P65" i="34"/>
  <c r="Q65" i="34"/>
  <c r="R65" i="34"/>
  <c r="S65" i="34"/>
  <c r="T65" i="34"/>
  <c r="U65" i="34"/>
  <c r="V65" i="34"/>
  <c r="W65" i="34"/>
  <c r="X65" i="34"/>
  <c r="Y65" i="34"/>
  <c r="Z65" i="34"/>
  <c r="AA65" i="34"/>
  <c r="AB65" i="34"/>
  <c r="AC65" i="34"/>
  <c r="L66" i="34"/>
  <c r="M66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Z66" i="34"/>
  <c r="AA66" i="34"/>
  <c r="AB66" i="34"/>
  <c r="AC66" i="34"/>
  <c r="L67" i="34"/>
  <c r="M67" i="34"/>
  <c r="N67" i="34"/>
  <c r="O67" i="34"/>
  <c r="P67" i="34"/>
  <c r="Q67" i="34"/>
  <c r="R67" i="34"/>
  <c r="S67" i="34"/>
  <c r="T67" i="34"/>
  <c r="U67" i="34"/>
  <c r="V67" i="34"/>
  <c r="W67" i="34"/>
  <c r="X67" i="34"/>
  <c r="Y67" i="34"/>
  <c r="Z67" i="34"/>
  <c r="AA67" i="34"/>
  <c r="AB67" i="34"/>
  <c r="AC67" i="34"/>
  <c r="L68" i="34"/>
  <c r="M68" i="34"/>
  <c r="N68" i="34"/>
  <c r="O68" i="34"/>
  <c r="P68" i="34"/>
  <c r="Q68" i="34"/>
  <c r="R68" i="34"/>
  <c r="S68" i="34"/>
  <c r="T68" i="34"/>
  <c r="U68" i="34"/>
  <c r="V68" i="34"/>
  <c r="W68" i="34"/>
  <c r="X68" i="34"/>
  <c r="Y68" i="34"/>
  <c r="Z68" i="34"/>
  <c r="AA68" i="34"/>
  <c r="AB68" i="34"/>
  <c r="AC68" i="34"/>
  <c r="L69" i="34"/>
  <c r="M69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AA69" i="34"/>
  <c r="AB69" i="34"/>
  <c r="AC69" i="34"/>
  <c r="L70" i="34"/>
  <c r="M70" i="34"/>
  <c r="N70" i="34"/>
  <c r="O70" i="34"/>
  <c r="P70" i="34"/>
  <c r="Q70" i="34"/>
  <c r="R70" i="34"/>
  <c r="S70" i="34"/>
  <c r="T70" i="34"/>
  <c r="U70" i="34"/>
  <c r="V70" i="34"/>
  <c r="W70" i="34"/>
  <c r="X70" i="34"/>
  <c r="Y70" i="34"/>
  <c r="Z70" i="34"/>
  <c r="AA70" i="34"/>
  <c r="AB70" i="34"/>
  <c r="AC70" i="34"/>
  <c r="L71" i="34"/>
  <c r="M71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Z71" i="34"/>
  <c r="AA71" i="34"/>
  <c r="AB71" i="34"/>
  <c r="AC71" i="34"/>
  <c r="L72" i="34"/>
  <c r="M72" i="34"/>
  <c r="N72" i="34"/>
  <c r="O72" i="34"/>
  <c r="P72" i="34"/>
  <c r="Q72" i="34"/>
  <c r="R72" i="34"/>
  <c r="S72" i="34"/>
  <c r="T72" i="34"/>
  <c r="U72" i="34"/>
  <c r="V72" i="34"/>
  <c r="W72" i="34"/>
  <c r="X72" i="34"/>
  <c r="Y72" i="34"/>
  <c r="Z72" i="34"/>
  <c r="AA72" i="34"/>
  <c r="AB72" i="34"/>
  <c r="AC72" i="34"/>
  <c r="L73" i="34"/>
  <c r="M73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Z73" i="34"/>
  <c r="AA73" i="34"/>
  <c r="AB73" i="34"/>
  <c r="AC73" i="34"/>
  <c r="L74" i="34"/>
  <c r="M74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AB74" i="34"/>
  <c r="AC74" i="34"/>
  <c r="L75" i="34"/>
  <c r="M75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AB75" i="34"/>
  <c r="AC75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AB76" i="34"/>
  <c r="AC76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AB77" i="34"/>
  <c r="AC77" i="34"/>
  <c r="L78" i="34"/>
  <c r="M78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AB78" i="34"/>
  <c r="AC78" i="34"/>
  <c r="L79" i="34"/>
  <c r="M79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AB79" i="34"/>
  <c r="AC79" i="34"/>
  <c r="L80" i="34"/>
  <c r="M80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AB80" i="34"/>
  <c r="AC80" i="34"/>
  <c r="L81" i="34"/>
  <c r="M81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AB81" i="34"/>
  <c r="AC81" i="34"/>
  <c r="L82" i="34"/>
  <c r="M82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AB82" i="34"/>
  <c r="AC82" i="34"/>
  <c r="L83" i="34"/>
  <c r="M83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AB83" i="34"/>
  <c r="AC83" i="34"/>
  <c r="L84" i="34"/>
  <c r="M84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AB84" i="34"/>
  <c r="AC84" i="34"/>
  <c r="L85" i="34"/>
  <c r="M85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AB85" i="34"/>
  <c r="AC85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AB86" i="34"/>
  <c r="AC86" i="34"/>
  <c r="L87" i="34"/>
  <c r="M87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AB87" i="34"/>
  <c r="AC87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AB88" i="34"/>
  <c r="AC88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AB89" i="34"/>
  <c r="AC89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AB90" i="34"/>
  <c r="AC90" i="34"/>
  <c r="L91" i="34"/>
  <c r="M91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AB91" i="34"/>
  <c r="AC91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AB92" i="34"/>
  <c r="AC92" i="34"/>
  <c r="L93" i="34"/>
  <c r="M93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AB93" i="34"/>
  <c r="AC93" i="34"/>
  <c r="L94" i="34"/>
  <c r="M94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AB94" i="34"/>
  <c r="AC94" i="34"/>
  <c r="L95" i="34"/>
  <c r="M95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AB95" i="34"/>
  <c r="AC95" i="34"/>
  <c r="L96" i="34"/>
  <c r="M96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AB96" i="34"/>
  <c r="AC96" i="34"/>
  <c r="L97" i="34"/>
  <c r="M97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AB97" i="34"/>
  <c r="AC97" i="34"/>
  <c r="L98" i="34"/>
  <c r="M98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AB98" i="34"/>
  <c r="AC98" i="34"/>
  <c r="L99" i="34"/>
  <c r="M99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AB99" i="34"/>
  <c r="AC99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L102" i="34"/>
  <c r="M102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AB102" i="34"/>
  <c r="AC102" i="34"/>
  <c r="L103" i="34"/>
  <c r="M103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AB103" i="34"/>
  <c r="AC103" i="34"/>
  <c r="L104" i="34"/>
  <c r="M104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AB104" i="34"/>
  <c r="AC104" i="34"/>
  <c r="L105" i="34"/>
  <c r="M105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AB105" i="34"/>
  <c r="AC105" i="34"/>
  <c r="L106" i="34"/>
  <c r="M106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AB106" i="34"/>
  <c r="AC106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AB107" i="34"/>
  <c r="AC107" i="34"/>
  <c r="L108" i="34"/>
  <c r="M108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AB108" i="34"/>
  <c r="AC108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AB109" i="34"/>
  <c r="AC109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AB110" i="34"/>
  <c r="AC110" i="34"/>
  <c r="L111" i="34"/>
  <c r="M111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AB111" i="34"/>
  <c r="AC111" i="34"/>
  <c r="L112" i="34"/>
  <c r="M112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AB112" i="34"/>
  <c r="AC112" i="34"/>
  <c r="L113" i="34"/>
  <c r="M113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AB113" i="34"/>
  <c r="AC113" i="34"/>
  <c r="L114" i="34"/>
  <c r="M114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AB114" i="34"/>
  <c r="AC114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AB115" i="34"/>
  <c r="AC115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AB116" i="34"/>
  <c r="AC116" i="34"/>
  <c r="L117" i="34"/>
  <c r="M117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AB117" i="34"/>
  <c r="AC117" i="34"/>
  <c r="L118" i="34"/>
  <c r="M118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AB118" i="34"/>
  <c r="AC118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AB119" i="34"/>
  <c r="AC119" i="34"/>
  <c r="L120" i="34"/>
  <c r="M120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AB120" i="34"/>
  <c r="AC120" i="34"/>
  <c r="E123" i="34"/>
  <c r="F123" i="34"/>
  <c r="G123" i="34"/>
  <c r="H123" i="34"/>
  <c r="I123" i="34"/>
  <c r="J123" i="34"/>
  <c r="K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23" i="34"/>
  <c r="N123" i="34"/>
  <c r="Q123" i="34"/>
  <c r="AD123" i="34"/>
  <c r="AE123" i="34"/>
  <c r="M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AB124" i="34"/>
  <c r="AC124" i="34"/>
  <c r="M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AB125" i="34"/>
  <c r="AC125" i="34"/>
  <c r="M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AB126" i="34"/>
  <c r="AC126" i="34"/>
  <c r="M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AB127" i="34"/>
  <c r="AC127" i="34"/>
  <c r="M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AB128" i="34"/>
  <c r="AC128" i="34"/>
  <c r="M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AB129" i="34"/>
  <c r="AC129" i="34"/>
  <c r="M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AB130" i="34"/>
  <c r="AC130" i="34"/>
  <c r="M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AB131" i="34"/>
  <c r="AC131" i="34"/>
  <c r="M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AB132" i="34"/>
  <c r="AC132" i="34"/>
  <c r="M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AB133" i="34"/>
  <c r="AC133" i="34"/>
  <c r="M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AB134" i="34"/>
  <c r="AC134" i="34"/>
  <c r="M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AB135" i="34"/>
  <c r="AC135" i="34"/>
  <c r="M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AB136" i="34"/>
  <c r="AC136" i="34"/>
  <c r="M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AB137" i="34"/>
  <c r="AC137" i="34"/>
  <c r="M138" i="34"/>
  <c r="O138" i="34"/>
  <c r="P138" i="34"/>
  <c r="Q138" i="34"/>
  <c r="R138" i="34"/>
  <c r="S138" i="34"/>
  <c r="T138" i="34"/>
  <c r="U138" i="34"/>
  <c r="V138" i="34"/>
  <c r="W138" i="34"/>
  <c r="X138" i="34"/>
  <c r="Y138" i="34"/>
  <c r="Z138" i="34"/>
  <c r="AA138" i="34"/>
  <c r="AB138" i="34"/>
  <c r="AC138" i="34"/>
  <c r="M139" i="34"/>
  <c r="O139" i="34"/>
  <c r="P139" i="34"/>
  <c r="Q139" i="34"/>
  <c r="R139" i="34"/>
  <c r="S139" i="34"/>
  <c r="T139" i="34"/>
  <c r="U139" i="34"/>
  <c r="V139" i="34"/>
  <c r="W139" i="34"/>
  <c r="X139" i="34"/>
  <c r="Y139" i="34"/>
  <c r="Z139" i="34"/>
  <c r="AA139" i="34"/>
  <c r="AB139" i="34"/>
  <c r="AC139" i="34"/>
  <c r="M140" i="34"/>
  <c r="O140" i="34"/>
  <c r="P140" i="34"/>
  <c r="Q140" i="34"/>
  <c r="R140" i="34"/>
  <c r="S140" i="34"/>
  <c r="T140" i="34"/>
  <c r="U140" i="34"/>
  <c r="V140" i="34"/>
  <c r="W140" i="34"/>
  <c r="X140" i="34"/>
  <c r="Y140" i="34"/>
  <c r="Z140" i="34"/>
  <c r="AA140" i="34"/>
  <c r="AB140" i="34"/>
  <c r="AC140" i="34"/>
  <c r="M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AA141" i="34"/>
  <c r="AB141" i="34"/>
  <c r="AC141" i="34"/>
  <c r="M142" i="34"/>
  <c r="O142" i="34"/>
  <c r="P142" i="34"/>
  <c r="Q142" i="34"/>
  <c r="R142" i="34"/>
  <c r="S142" i="34"/>
  <c r="T142" i="34"/>
  <c r="U142" i="34"/>
  <c r="V142" i="34"/>
  <c r="W142" i="34"/>
  <c r="X142" i="34"/>
  <c r="Y142" i="34"/>
  <c r="Z142" i="34"/>
  <c r="AA142" i="34"/>
  <c r="AB142" i="34"/>
  <c r="AC142" i="34"/>
  <c r="M143" i="34"/>
  <c r="O143" i="34"/>
  <c r="P143" i="34"/>
  <c r="Q143" i="34"/>
  <c r="R143" i="34"/>
  <c r="S143" i="34"/>
  <c r="T143" i="34"/>
  <c r="U143" i="34"/>
  <c r="V143" i="34"/>
  <c r="W143" i="34"/>
  <c r="X143" i="34"/>
  <c r="Y143" i="34"/>
  <c r="Z143" i="34"/>
  <c r="AA143" i="34"/>
  <c r="AB143" i="34"/>
  <c r="AC143" i="34"/>
  <c r="M144" i="34"/>
  <c r="O144" i="34"/>
  <c r="P144" i="34"/>
  <c r="Q144" i="34"/>
  <c r="R144" i="34"/>
  <c r="S144" i="34"/>
  <c r="T144" i="34"/>
  <c r="U144" i="34"/>
  <c r="V144" i="34"/>
  <c r="W144" i="34"/>
  <c r="X144" i="34"/>
  <c r="Y144" i="34"/>
  <c r="Z144" i="34"/>
  <c r="AA144" i="34"/>
  <c r="AB144" i="34"/>
  <c r="AC144" i="34"/>
  <c r="M145" i="34"/>
  <c r="O145" i="34"/>
  <c r="P145" i="34"/>
  <c r="Q145" i="34"/>
  <c r="R145" i="34"/>
  <c r="S145" i="34"/>
  <c r="T145" i="34"/>
  <c r="U145" i="34"/>
  <c r="V145" i="34"/>
  <c r="W145" i="34"/>
  <c r="X145" i="34"/>
  <c r="Y145" i="34"/>
  <c r="Z145" i="34"/>
  <c r="AA145" i="34"/>
  <c r="AB145" i="34"/>
  <c r="AC145" i="34"/>
  <c r="M146" i="34"/>
  <c r="O146" i="34"/>
  <c r="P146" i="34"/>
  <c r="Q146" i="34"/>
  <c r="R146" i="34"/>
  <c r="S146" i="34"/>
  <c r="T146" i="34"/>
  <c r="U146" i="34"/>
  <c r="V146" i="34"/>
  <c r="W146" i="34"/>
  <c r="X146" i="34"/>
  <c r="Y146" i="34"/>
  <c r="Z146" i="34"/>
  <c r="AA146" i="34"/>
  <c r="AB146" i="34"/>
  <c r="AC146" i="34"/>
  <c r="M147" i="34"/>
  <c r="O147" i="34"/>
  <c r="P147" i="34"/>
  <c r="Q147" i="34"/>
  <c r="R147" i="34"/>
  <c r="S147" i="34"/>
  <c r="T147" i="34"/>
  <c r="U147" i="34"/>
  <c r="V147" i="34"/>
  <c r="W147" i="34"/>
  <c r="X147" i="34"/>
  <c r="Y147" i="34"/>
  <c r="Z147" i="34"/>
  <c r="AA147" i="34"/>
  <c r="AB147" i="34"/>
  <c r="AC147" i="34"/>
  <c r="M148" i="34"/>
  <c r="O148" i="34"/>
  <c r="P148" i="34"/>
  <c r="Q148" i="34"/>
  <c r="R148" i="34"/>
  <c r="S148" i="34"/>
  <c r="T148" i="34"/>
  <c r="U148" i="34"/>
  <c r="V148" i="34"/>
  <c r="W148" i="34"/>
  <c r="X148" i="34"/>
  <c r="Y148" i="34"/>
  <c r="Z148" i="34"/>
  <c r="AA148" i="34"/>
  <c r="AB148" i="34"/>
  <c r="AC148" i="34"/>
  <c r="M149" i="34"/>
  <c r="O149" i="34"/>
  <c r="P149" i="34"/>
  <c r="Q149" i="34"/>
  <c r="R149" i="34"/>
  <c r="S149" i="34"/>
  <c r="T149" i="34"/>
  <c r="U149" i="34"/>
  <c r="V149" i="34"/>
  <c r="W149" i="34"/>
  <c r="X149" i="34"/>
  <c r="Y149" i="34"/>
  <c r="Z149" i="34"/>
  <c r="AA149" i="34"/>
  <c r="AB149" i="34"/>
  <c r="AC149" i="34"/>
  <c r="M150" i="34"/>
  <c r="O150" i="34"/>
  <c r="P150" i="34"/>
  <c r="Q150" i="34"/>
  <c r="R150" i="34"/>
  <c r="S150" i="34"/>
  <c r="T150" i="34"/>
  <c r="U150" i="34"/>
  <c r="V150" i="34"/>
  <c r="W150" i="34"/>
  <c r="X150" i="34"/>
  <c r="Y150" i="34"/>
  <c r="Z150" i="34"/>
  <c r="AA150" i="34"/>
  <c r="AB150" i="34"/>
  <c r="AC150" i="34"/>
  <c r="M151" i="34"/>
  <c r="O151" i="34"/>
  <c r="P151" i="34"/>
  <c r="Q151" i="34"/>
  <c r="R151" i="34"/>
  <c r="S151" i="34"/>
  <c r="T151" i="34"/>
  <c r="U151" i="34"/>
  <c r="V151" i="34"/>
  <c r="W151" i="34"/>
  <c r="X151" i="34"/>
  <c r="Y151" i="34"/>
  <c r="Z151" i="34"/>
  <c r="AA151" i="34"/>
  <c r="AB151" i="34"/>
  <c r="AC151" i="34"/>
  <c r="M152" i="34"/>
  <c r="O152" i="34"/>
  <c r="P152" i="34"/>
  <c r="Q152" i="34"/>
  <c r="R152" i="34"/>
  <c r="S152" i="34"/>
  <c r="T152" i="34"/>
  <c r="U152" i="34"/>
  <c r="V152" i="34"/>
  <c r="W152" i="34"/>
  <c r="X152" i="34"/>
  <c r="Y152" i="34"/>
  <c r="Z152" i="34"/>
  <c r="AA152" i="34"/>
  <c r="AB152" i="34"/>
  <c r="AC152" i="34"/>
  <c r="M153" i="34"/>
  <c r="O153" i="34"/>
  <c r="P153" i="34"/>
  <c r="Q153" i="34"/>
  <c r="R153" i="34"/>
  <c r="S153" i="34"/>
  <c r="T153" i="34"/>
  <c r="U153" i="34"/>
  <c r="V153" i="34"/>
  <c r="W153" i="34"/>
  <c r="X153" i="34"/>
  <c r="Y153" i="34"/>
  <c r="Z153" i="34"/>
  <c r="AA153" i="34"/>
  <c r="AB153" i="34"/>
  <c r="AC153" i="34"/>
  <c r="M154" i="34"/>
  <c r="O154" i="34"/>
  <c r="P154" i="34"/>
  <c r="Q154" i="34"/>
  <c r="R154" i="34"/>
  <c r="S154" i="34"/>
  <c r="T154" i="34"/>
  <c r="U154" i="34"/>
  <c r="V154" i="34"/>
  <c r="W154" i="34"/>
  <c r="X154" i="34"/>
  <c r="Y154" i="34"/>
  <c r="Z154" i="34"/>
  <c r="AA154" i="34"/>
  <c r="AB154" i="34"/>
  <c r="AC154" i="34"/>
  <c r="M155" i="34"/>
  <c r="O155" i="34"/>
  <c r="P155" i="34"/>
  <c r="Q155" i="34"/>
  <c r="R155" i="34"/>
  <c r="S155" i="34"/>
  <c r="T155" i="34"/>
  <c r="U155" i="34"/>
  <c r="V155" i="34"/>
  <c r="W155" i="34"/>
  <c r="X155" i="34"/>
  <c r="Y155" i="34"/>
  <c r="Z155" i="34"/>
  <c r="AA155" i="34"/>
  <c r="AB155" i="34"/>
  <c r="AC155" i="34"/>
  <c r="M156" i="34"/>
  <c r="O156" i="34"/>
  <c r="P156" i="34"/>
  <c r="Q156" i="34"/>
  <c r="R156" i="34"/>
  <c r="S156" i="34"/>
  <c r="T156" i="34"/>
  <c r="U156" i="34"/>
  <c r="V156" i="34"/>
  <c r="W156" i="34"/>
  <c r="X156" i="34"/>
  <c r="Y156" i="34"/>
  <c r="Z156" i="34"/>
  <c r="AA156" i="34"/>
  <c r="AB156" i="34"/>
  <c r="AC156" i="34"/>
  <c r="M157" i="34"/>
  <c r="O157" i="34"/>
  <c r="P157" i="34"/>
  <c r="Q157" i="34"/>
  <c r="R157" i="34"/>
  <c r="S157" i="34"/>
  <c r="T157" i="34"/>
  <c r="U157" i="34"/>
  <c r="V157" i="34"/>
  <c r="W157" i="34"/>
  <c r="X157" i="34"/>
  <c r="Y157" i="34"/>
  <c r="Z157" i="34"/>
  <c r="AA157" i="34"/>
  <c r="AB157" i="34"/>
  <c r="AC157" i="34"/>
  <c r="M158" i="34"/>
  <c r="O158" i="34"/>
  <c r="P158" i="34"/>
  <c r="Q158" i="34"/>
  <c r="R158" i="34"/>
  <c r="S158" i="34"/>
  <c r="T158" i="34"/>
  <c r="U158" i="34"/>
  <c r="V158" i="34"/>
  <c r="W158" i="34"/>
  <c r="X158" i="34"/>
  <c r="Y158" i="34"/>
  <c r="Z158" i="34"/>
  <c r="AA158" i="34"/>
  <c r="AB158" i="34"/>
  <c r="AC158" i="34"/>
  <c r="M159" i="34"/>
  <c r="O159" i="34"/>
  <c r="P159" i="34"/>
  <c r="Q159" i="34"/>
  <c r="R159" i="34"/>
  <c r="S159" i="34"/>
  <c r="T159" i="34"/>
  <c r="U159" i="34"/>
  <c r="V159" i="34"/>
  <c r="W159" i="34"/>
  <c r="X159" i="34"/>
  <c r="Y159" i="34"/>
  <c r="Z159" i="34"/>
  <c r="AA159" i="34"/>
  <c r="AB159" i="34"/>
  <c r="AC159" i="34"/>
  <c r="M160" i="34"/>
  <c r="O160" i="34"/>
  <c r="P160" i="34"/>
  <c r="Q160" i="34"/>
  <c r="R160" i="34"/>
  <c r="S160" i="34"/>
  <c r="T160" i="34"/>
  <c r="U160" i="34"/>
  <c r="V160" i="34"/>
  <c r="W160" i="34"/>
  <c r="X160" i="34"/>
  <c r="Y160" i="34"/>
  <c r="Z160" i="34"/>
  <c r="AA160" i="34"/>
  <c r="AB160" i="34"/>
  <c r="AC160" i="34"/>
  <c r="M161" i="34"/>
  <c r="O161" i="34"/>
  <c r="P161" i="34"/>
  <c r="Q161" i="34"/>
  <c r="R161" i="34"/>
  <c r="S161" i="34"/>
  <c r="T161" i="34"/>
  <c r="U161" i="34"/>
  <c r="V161" i="34"/>
  <c r="W161" i="34"/>
  <c r="X161" i="34"/>
  <c r="Y161" i="34"/>
  <c r="Z161" i="34"/>
  <c r="AA161" i="34"/>
  <c r="AB161" i="34"/>
  <c r="AC161" i="34"/>
  <c r="M162" i="34"/>
  <c r="O162" i="34"/>
  <c r="P162" i="34"/>
  <c r="Q162" i="34"/>
  <c r="R162" i="34"/>
  <c r="S162" i="34"/>
  <c r="T162" i="34"/>
  <c r="U162" i="34"/>
  <c r="V162" i="34"/>
  <c r="W162" i="34"/>
  <c r="X162" i="34"/>
  <c r="Y162" i="34"/>
  <c r="Z162" i="34"/>
  <c r="AA162" i="34"/>
  <c r="AB162" i="34"/>
  <c r="AC162" i="34"/>
  <c r="M163" i="34"/>
  <c r="O163" i="34"/>
  <c r="P163" i="34"/>
  <c r="Q163" i="34"/>
  <c r="R163" i="34"/>
  <c r="S163" i="34"/>
  <c r="T163" i="34"/>
  <c r="U163" i="34"/>
  <c r="V163" i="34"/>
  <c r="W163" i="34"/>
  <c r="X163" i="34"/>
  <c r="Y163" i="34"/>
  <c r="Z163" i="34"/>
  <c r="AA163" i="34"/>
  <c r="AB163" i="34"/>
  <c r="AC163" i="34"/>
  <c r="M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AA164" i="34"/>
  <c r="AB164" i="34"/>
  <c r="AC164" i="34"/>
  <c r="M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AA165" i="34"/>
  <c r="AB165" i="34"/>
  <c r="AC165" i="34"/>
  <c r="M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AA166" i="34"/>
  <c r="AB166" i="34"/>
  <c r="AC166" i="34"/>
  <c r="M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AA167" i="34"/>
  <c r="AB167" i="34"/>
  <c r="AC167" i="34"/>
  <c r="M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AA168" i="34"/>
  <c r="AB168" i="34"/>
  <c r="AC168" i="34"/>
  <c r="M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AA169" i="34"/>
  <c r="AB169" i="34"/>
  <c r="AC169" i="34"/>
  <c r="M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AA170" i="34"/>
  <c r="AB170" i="34"/>
  <c r="AC170" i="34"/>
  <c r="M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AA171" i="34"/>
  <c r="AB171" i="34"/>
  <c r="AC171" i="34"/>
  <c r="M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AA172" i="34"/>
  <c r="AB172" i="34"/>
  <c r="AC172" i="34"/>
  <c r="M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AA173" i="34"/>
  <c r="AB173" i="34"/>
  <c r="AC173" i="34"/>
  <c r="M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AA174" i="34"/>
  <c r="AB174" i="34"/>
  <c r="AC174" i="34"/>
  <c r="M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AA175" i="34"/>
  <c r="AB175" i="34"/>
  <c r="AC175" i="34"/>
  <c r="M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AA176" i="34"/>
  <c r="AB176" i="34"/>
  <c r="AC176" i="34"/>
  <c r="M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AA177" i="34"/>
  <c r="AB177" i="34"/>
  <c r="AC177" i="34"/>
  <c r="M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AA178" i="34"/>
  <c r="AB178" i="34"/>
  <c r="AC178" i="34"/>
  <c r="M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AA179" i="34"/>
  <c r="AB179" i="34"/>
  <c r="AC179" i="34"/>
  <c r="M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AA180" i="34"/>
  <c r="AB180" i="34"/>
  <c r="AC180" i="34"/>
  <c r="M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AA181" i="34"/>
  <c r="AB181" i="34"/>
  <c r="AC181" i="34"/>
  <c r="M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AA182" i="34"/>
  <c r="AB182" i="34"/>
  <c r="AC182" i="34"/>
  <c r="M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AA183" i="34"/>
  <c r="AB183" i="34"/>
  <c r="AC183" i="34"/>
  <c r="M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AA184" i="34"/>
  <c r="AB184" i="34"/>
  <c r="AC184" i="34"/>
  <c r="M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AA185" i="34"/>
  <c r="AB185" i="34"/>
  <c r="AC185" i="34"/>
  <c r="M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AA186" i="34"/>
  <c r="AB186" i="34"/>
  <c r="AC186" i="34"/>
  <c r="M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AA187" i="34"/>
  <c r="AB187" i="34"/>
  <c r="AC187" i="34"/>
  <c r="M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AA188" i="34"/>
  <c r="AB188" i="34"/>
  <c r="AC188" i="34"/>
  <c r="M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AA189" i="34"/>
  <c r="AB189" i="34"/>
  <c r="AC189" i="34"/>
  <c r="M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AA192" i="34"/>
  <c r="AB192" i="34"/>
  <c r="AC192" i="34"/>
  <c r="E193" i="34"/>
  <c r="F193" i="34"/>
  <c r="G193" i="34"/>
  <c r="H193" i="34"/>
  <c r="I193" i="34"/>
  <c r="J193" i="34"/>
  <c r="K193" i="34"/>
  <c r="L193" i="34"/>
  <c r="M193" i="34"/>
  <c r="N193" i="34"/>
  <c r="O193" i="34"/>
  <c r="P193" i="34"/>
  <c r="Q193" i="34"/>
  <c r="E194" i="34"/>
  <c r="F194" i="34"/>
  <c r="G194" i="34"/>
  <c r="H194" i="34"/>
  <c r="I194" i="34"/>
  <c r="J194" i="34"/>
  <c r="K194" i="34"/>
  <c r="L194" i="34"/>
  <c r="M194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AA194" i="34"/>
  <c r="AB194" i="34"/>
  <c r="AC194" i="34"/>
  <c r="E195" i="34"/>
  <c r="F195" i="34"/>
  <c r="G195" i="34"/>
  <c r="H195" i="34"/>
  <c r="I195" i="34"/>
  <c r="J195" i="34"/>
  <c r="K195" i="34"/>
  <c r="L206" i="34"/>
  <c r="L195" i="34"/>
  <c r="M198" i="34"/>
  <c r="M206" i="34"/>
  <c r="M223" i="34"/>
  <c r="M233" i="34"/>
  <c r="M195" i="34"/>
  <c r="N198" i="34"/>
  <c r="N204" i="34"/>
  <c r="N206" i="34"/>
  <c r="N223" i="34"/>
  <c r="N224" i="34"/>
  <c r="N195" i="34"/>
  <c r="O198" i="34"/>
  <c r="O203" i="34"/>
  <c r="O204" i="34"/>
  <c r="O223" i="34"/>
  <c r="O226" i="34"/>
  <c r="O195" i="34"/>
  <c r="P198" i="34"/>
  <c r="P213" i="34"/>
  <c r="P221" i="34"/>
  <c r="P223" i="34"/>
  <c r="P226" i="34"/>
  <c r="P195" i="34"/>
  <c r="Q195" i="34"/>
  <c r="Q196" i="34"/>
  <c r="Q197" i="34"/>
  <c r="Q198" i="34"/>
  <c r="Q199" i="34"/>
  <c r="Q200" i="34"/>
  <c r="Q201" i="34"/>
  <c r="Q202" i="34"/>
  <c r="Q203" i="34"/>
  <c r="Q204" i="34"/>
  <c r="Q205" i="34"/>
  <c r="Q206" i="34"/>
  <c r="Q207" i="34"/>
  <c r="Q208" i="34"/>
  <c r="Q209" i="34"/>
  <c r="Q210" i="34"/>
  <c r="Q211" i="34"/>
  <c r="Q212" i="34"/>
  <c r="Q213" i="34"/>
  <c r="Q214" i="34"/>
  <c r="Q215" i="34"/>
  <c r="Q216" i="34"/>
  <c r="Q217" i="34"/>
  <c r="Q218" i="34"/>
  <c r="Q219" i="34"/>
  <c r="Q220" i="34"/>
  <c r="Q221" i="34"/>
  <c r="Q222" i="34"/>
  <c r="Q223" i="34"/>
  <c r="Q224" i="34"/>
  <c r="Q225" i="34"/>
  <c r="Q226" i="34"/>
  <c r="Q227" i="34"/>
  <c r="Q228" i="34"/>
  <c r="Q229" i="34"/>
  <c r="Q230" i="34"/>
  <c r="Q231" i="34"/>
  <c r="Q232" i="34"/>
  <c r="Q233" i="34"/>
  <c r="Q234" i="34"/>
  <c r="Q235" i="34"/>
  <c r="E236" i="34"/>
  <c r="F236" i="34"/>
  <c r="G236" i="34"/>
  <c r="H236" i="34"/>
  <c r="I236" i="34"/>
  <c r="J236" i="34"/>
  <c r="K236" i="34"/>
  <c r="L236" i="34"/>
  <c r="M236" i="34"/>
  <c r="N236" i="34"/>
  <c r="O236" i="34"/>
  <c r="P236" i="34"/>
  <c r="Q236" i="34"/>
  <c r="E237" i="34"/>
  <c r="F237" i="34"/>
  <c r="G237" i="34"/>
  <c r="H237" i="34"/>
  <c r="I237" i="34"/>
  <c r="J237" i="34"/>
  <c r="K237" i="34"/>
  <c r="L237" i="34"/>
  <c r="M237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AA237" i="34"/>
  <c r="AB237" i="34"/>
  <c r="AC237" i="34"/>
  <c r="L238" i="34"/>
  <c r="M238" i="34"/>
  <c r="N238" i="34"/>
  <c r="O238" i="34"/>
  <c r="P238" i="34"/>
  <c r="Q238" i="34"/>
  <c r="E240" i="34"/>
  <c r="F240" i="34"/>
  <c r="G240" i="34"/>
  <c r="H240" i="34"/>
  <c r="I240" i="34"/>
  <c r="J240" i="34"/>
  <c r="K240" i="34"/>
  <c r="L240" i="34"/>
  <c r="M240" i="34"/>
  <c r="N240" i="34"/>
  <c r="O240" i="34"/>
  <c r="P240" i="34"/>
  <c r="Q240" i="34"/>
  <c r="Q241" i="34"/>
  <c r="E243" i="34"/>
  <c r="F243" i="34"/>
  <c r="G243" i="34"/>
  <c r="H243" i="34"/>
  <c r="I243" i="34"/>
  <c r="J243" i="34"/>
  <c r="K243" i="34"/>
  <c r="L243" i="34"/>
  <c r="M243" i="34"/>
  <c r="N243" i="34"/>
  <c r="O243" i="34"/>
  <c r="P243" i="34"/>
  <c r="Q243" i="34"/>
  <c r="E244" i="34"/>
  <c r="F244" i="34"/>
  <c r="G244" i="34"/>
  <c r="H244" i="34"/>
  <c r="I244" i="34"/>
  <c r="J244" i="34"/>
  <c r="K244" i="34"/>
  <c r="L244" i="34"/>
  <c r="M244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AA244" i="34"/>
  <c r="AB244" i="34"/>
  <c r="AC244" i="34"/>
  <c r="E247" i="34"/>
  <c r="F247" i="34"/>
  <c r="G247" i="34"/>
  <c r="H247" i="34"/>
  <c r="I247" i="34"/>
  <c r="J247" i="34"/>
  <c r="K247" i="34"/>
  <c r="L247" i="34"/>
  <c r="M247" i="34"/>
  <c r="N247" i="34"/>
  <c r="O247" i="34"/>
  <c r="P247" i="34"/>
  <c r="Q247" i="34"/>
  <c r="B3" i="21"/>
  <c r="B4" i="21"/>
  <c r="B5" i="21"/>
  <c r="B6" i="21"/>
  <c r="B7" i="21"/>
  <c r="B2" i="21"/>
  <c r="B7" i="20"/>
  <c r="AC285" i="34"/>
  <c r="AC286" i="34"/>
  <c r="AC287" i="34"/>
  <c r="AC257" i="34"/>
  <c r="AB257" i="34"/>
  <c r="AC288" i="34"/>
  <c r="R258" i="34"/>
  <c r="R310" i="34"/>
  <c r="R311" i="34"/>
  <c r="S258" i="34"/>
  <c r="S310" i="34"/>
  <c r="S311" i="34"/>
  <c r="T258" i="34"/>
  <c r="T310" i="34"/>
  <c r="T311" i="34"/>
  <c r="U258" i="34"/>
  <c r="U310" i="34"/>
  <c r="U311" i="34"/>
  <c r="V258" i="34"/>
  <c r="V310" i="34"/>
  <c r="V311" i="34"/>
  <c r="W258" i="34"/>
  <c r="W310" i="34"/>
  <c r="W311" i="34"/>
  <c r="X258" i="34"/>
  <c r="X310" i="34"/>
  <c r="X311" i="34"/>
  <c r="Y258" i="34"/>
  <c r="Y310" i="34"/>
  <c r="Y311" i="34"/>
  <c r="Z258" i="34"/>
  <c r="Z310" i="34"/>
  <c r="Z311" i="34"/>
  <c r="AA258" i="34"/>
  <c r="AA309" i="34"/>
  <c r="AA310" i="34"/>
  <c r="AA311" i="34"/>
  <c r="AB258" i="34"/>
  <c r="AB309" i="34"/>
  <c r="AB310" i="34"/>
  <c r="AB311" i="34"/>
  <c r="AC258" i="34"/>
  <c r="AC289" i="34"/>
  <c r="P267" i="34"/>
  <c r="R267" i="34"/>
  <c r="S267" i="34"/>
  <c r="T267" i="34"/>
  <c r="U267" i="34"/>
  <c r="V267" i="34"/>
  <c r="W267" i="34"/>
  <c r="X267" i="34"/>
  <c r="Y267" i="34"/>
  <c r="Z267" i="34"/>
  <c r="AA267" i="34"/>
  <c r="AB267" i="34"/>
  <c r="AC267" i="34"/>
  <c r="AC290" i="34"/>
  <c r="AC261" i="34"/>
  <c r="K259" i="34"/>
  <c r="L259" i="34"/>
  <c r="M259" i="34"/>
  <c r="N259" i="34"/>
  <c r="O259" i="34"/>
  <c r="P259" i="34"/>
  <c r="R259" i="34"/>
  <c r="S259" i="34"/>
  <c r="T259" i="34"/>
  <c r="U259" i="34"/>
  <c r="V259" i="34"/>
  <c r="W259" i="34"/>
  <c r="X259" i="34"/>
  <c r="Y259" i="34"/>
  <c r="Z259" i="34"/>
  <c r="AA259" i="34"/>
  <c r="AB259" i="34"/>
  <c r="AC259" i="34"/>
  <c r="AB261" i="34"/>
  <c r="AC292" i="34"/>
  <c r="R270" i="34"/>
  <c r="S270" i="34"/>
  <c r="T270" i="34"/>
  <c r="U270" i="34"/>
  <c r="V270" i="34"/>
  <c r="W270" i="34"/>
  <c r="X270" i="34"/>
  <c r="Y270" i="34"/>
  <c r="Z270" i="34"/>
  <c r="AA270" i="34"/>
  <c r="AB270" i="34"/>
  <c r="AC270" i="34"/>
  <c r="AC293" i="34"/>
  <c r="P268" i="34"/>
  <c r="R268" i="34"/>
  <c r="S268" i="34"/>
  <c r="T268" i="34"/>
  <c r="U268" i="34"/>
  <c r="V268" i="34"/>
  <c r="W268" i="34"/>
  <c r="X268" i="34"/>
  <c r="Y268" i="34"/>
  <c r="Z268" i="34"/>
  <c r="AA268" i="34"/>
  <c r="AB268" i="34"/>
  <c r="AC268" i="34"/>
  <c r="AC291" i="34"/>
  <c r="AC294" i="34"/>
  <c r="AC295" i="34"/>
  <c r="AC296" i="34"/>
  <c r="AC297" i="34"/>
  <c r="AC298" i="34"/>
  <c r="AC303" i="34"/>
  <c r="AC304" i="34"/>
  <c r="AB285" i="34"/>
  <c r="AB286" i="34"/>
  <c r="AB287" i="34"/>
  <c r="AA257" i="34"/>
  <c r="AB288" i="34"/>
  <c r="AB289" i="34"/>
  <c r="AB290" i="34"/>
  <c r="AA261" i="34"/>
  <c r="AB292" i="34"/>
  <c r="AB293" i="34"/>
  <c r="AB291" i="34"/>
  <c r="AB294" i="34"/>
  <c r="AB295" i="34"/>
  <c r="AB296" i="34"/>
  <c r="AB297" i="34"/>
  <c r="AB298" i="34"/>
  <c r="AB303" i="34"/>
  <c r="AB304" i="34"/>
  <c r="AA285" i="34"/>
  <c r="AA286" i="34"/>
  <c r="AA287" i="34"/>
  <c r="Z257" i="34"/>
  <c r="AA288" i="34"/>
  <c r="AA289" i="34"/>
  <c r="AA290" i="34"/>
  <c r="Z261" i="34"/>
  <c r="AA292" i="34"/>
  <c r="AA293" i="34"/>
  <c r="AA291" i="34"/>
  <c r="AA294" i="34"/>
  <c r="AA295" i="34"/>
  <c r="AA296" i="34"/>
  <c r="AA297" i="34"/>
  <c r="AA298" i="34"/>
  <c r="AA303" i="34"/>
  <c r="AA304" i="34"/>
  <c r="Z285" i="34"/>
  <c r="Z286" i="34"/>
  <c r="Z287" i="34"/>
  <c r="Y257" i="34"/>
  <c r="Z288" i="34"/>
  <c r="Z289" i="34"/>
  <c r="Z290" i="34"/>
  <c r="Y261" i="34"/>
  <c r="Z292" i="34"/>
  <c r="Z293" i="34"/>
  <c r="Z291" i="34"/>
  <c r="Z294" i="34"/>
  <c r="Z295" i="34"/>
  <c r="Z296" i="34"/>
  <c r="Z297" i="34"/>
  <c r="Z298" i="34"/>
  <c r="Z303" i="34"/>
  <c r="Z304" i="34"/>
  <c r="Y285" i="34"/>
  <c r="Y286" i="34"/>
  <c r="Y287" i="34"/>
  <c r="X257" i="34"/>
  <c r="Y288" i="34"/>
  <c r="Y289" i="34"/>
  <c r="Y290" i="34"/>
  <c r="X261" i="34"/>
  <c r="Y292" i="34"/>
  <c r="Y293" i="34"/>
  <c r="Y291" i="34"/>
  <c r="Y294" i="34"/>
  <c r="Y295" i="34"/>
  <c r="Y296" i="34"/>
  <c r="Y297" i="34"/>
  <c r="Y298" i="34"/>
  <c r="Y303" i="34"/>
  <c r="Y304" i="34"/>
  <c r="X285" i="34"/>
  <c r="X286" i="34"/>
  <c r="X287" i="34"/>
  <c r="W257" i="34"/>
  <c r="X288" i="34"/>
  <c r="X289" i="34"/>
  <c r="X290" i="34"/>
  <c r="W261" i="34"/>
  <c r="X292" i="34"/>
  <c r="X293" i="34"/>
  <c r="X291" i="34"/>
  <c r="X294" i="34"/>
  <c r="X295" i="34"/>
  <c r="X296" i="34"/>
  <c r="X297" i="34"/>
  <c r="X298" i="34"/>
  <c r="X303" i="34"/>
  <c r="X304" i="34"/>
  <c r="W285" i="34"/>
  <c r="W286" i="34"/>
  <c r="W287" i="34"/>
  <c r="V257" i="34"/>
  <c r="W288" i="34"/>
  <c r="W289" i="34"/>
  <c r="W290" i="34"/>
  <c r="V261" i="34"/>
  <c r="W292" i="34"/>
  <c r="W293" i="34"/>
  <c r="W291" i="34"/>
  <c r="W294" i="34"/>
  <c r="W295" i="34"/>
  <c r="W296" i="34"/>
  <c r="W297" i="34"/>
  <c r="W298" i="34"/>
  <c r="W303" i="34"/>
  <c r="W304" i="34"/>
  <c r="V285" i="34"/>
  <c r="V286" i="34"/>
  <c r="V287" i="34"/>
  <c r="U257" i="34"/>
  <c r="V288" i="34"/>
  <c r="V289" i="34"/>
  <c r="V290" i="34"/>
  <c r="U261" i="34"/>
  <c r="V292" i="34"/>
  <c r="V293" i="34"/>
  <c r="V291" i="34"/>
  <c r="V294" i="34"/>
  <c r="V295" i="34"/>
  <c r="V296" i="34"/>
  <c r="V297" i="34"/>
  <c r="V298" i="34"/>
  <c r="V303" i="34"/>
  <c r="V304" i="34"/>
  <c r="U285" i="34"/>
  <c r="U286" i="34"/>
  <c r="U287" i="34"/>
  <c r="T257" i="34"/>
  <c r="U288" i="34"/>
  <c r="U289" i="34"/>
  <c r="U290" i="34"/>
  <c r="T261" i="34"/>
  <c r="U292" i="34"/>
  <c r="U293" i="34"/>
  <c r="U291" i="34"/>
  <c r="U294" i="34"/>
  <c r="U295" i="34"/>
  <c r="U296" i="34"/>
  <c r="U297" i="34"/>
  <c r="U298" i="34"/>
  <c r="U303" i="34"/>
  <c r="U304" i="34"/>
  <c r="T285" i="34"/>
  <c r="T286" i="34"/>
  <c r="T287" i="34"/>
  <c r="S257" i="34"/>
  <c r="T288" i="34"/>
  <c r="T289" i="34"/>
  <c r="T290" i="34"/>
  <c r="S261" i="34"/>
  <c r="T292" i="34"/>
  <c r="T293" i="34"/>
  <c r="T291" i="34"/>
  <c r="T294" i="34"/>
  <c r="T295" i="34"/>
  <c r="T296" i="34"/>
  <c r="T297" i="34"/>
  <c r="T298" i="34"/>
  <c r="T303" i="34"/>
  <c r="T304" i="34"/>
  <c r="S285" i="34"/>
  <c r="S286" i="34"/>
  <c r="S287" i="34"/>
  <c r="R257" i="34"/>
  <c r="S288" i="34"/>
  <c r="S289" i="34"/>
  <c r="S290" i="34"/>
  <c r="R261" i="34"/>
  <c r="S292" i="34"/>
  <c r="Q269" i="34"/>
  <c r="R269" i="34"/>
  <c r="S293" i="34"/>
  <c r="S291" i="34"/>
  <c r="S294" i="34"/>
  <c r="S295" i="34"/>
  <c r="S296" i="34"/>
  <c r="S297" i="34"/>
  <c r="S298" i="34"/>
  <c r="S303" i="34"/>
  <c r="S304" i="34"/>
  <c r="R285" i="34"/>
  <c r="R286" i="34"/>
  <c r="R287" i="34"/>
  <c r="R288" i="34"/>
  <c r="R289" i="34"/>
  <c r="R290" i="34"/>
  <c r="R292" i="34"/>
  <c r="R293" i="34"/>
  <c r="R291" i="34"/>
  <c r="R294" i="34"/>
  <c r="R295" i="34"/>
  <c r="R296" i="34"/>
  <c r="R297" i="34"/>
  <c r="R298" i="34"/>
  <c r="R303" i="34"/>
  <c r="R304" i="34"/>
  <c r="P285" i="34"/>
  <c r="P286" i="34"/>
  <c r="P287" i="34"/>
  <c r="P288" i="34"/>
  <c r="P289" i="34"/>
  <c r="P290" i="34"/>
  <c r="P292" i="34"/>
  <c r="P293" i="34"/>
  <c r="O268" i="34"/>
  <c r="P291" i="34"/>
  <c r="P294" i="34"/>
  <c r="P295" i="34"/>
  <c r="P296" i="34"/>
  <c r="P297" i="34"/>
  <c r="P298" i="34"/>
  <c r="P303" i="34"/>
  <c r="P304" i="34"/>
  <c r="O285" i="34"/>
  <c r="O286" i="34"/>
  <c r="O287" i="34"/>
  <c r="O288" i="34"/>
  <c r="O289" i="34"/>
  <c r="L267" i="34"/>
  <c r="M267" i="34"/>
  <c r="M268" i="34"/>
  <c r="N268" i="34"/>
  <c r="N267" i="34"/>
  <c r="O290" i="34"/>
  <c r="O292" i="34"/>
  <c r="O293" i="34"/>
  <c r="O291" i="34"/>
  <c r="O294" i="34"/>
  <c r="O296" i="34"/>
  <c r="O297" i="34"/>
  <c r="O298" i="34"/>
  <c r="O303" i="34"/>
  <c r="O304" i="34"/>
  <c r="O305" i="34"/>
  <c r="O306" i="34"/>
  <c r="P305" i="34"/>
  <c r="P306" i="34"/>
  <c r="R305" i="34"/>
  <c r="R306" i="34"/>
  <c r="S305" i="34"/>
  <c r="S306" i="34"/>
  <c r="T305" i="34"/>
  <c r="T306" i="34"/>
  <c r="U305" i="34"/>
  <c r="U306" i="34"/>
  <c r="V305" i="34"/>
  <c r="V306" i="34"/>
  <c r="W305" i="34"/>
  <c r="W306" i="34"/>
  <c r="X305" i="34"/>
  <c r="X306" i="34"/>
  <c r="Y305" i="34"/>
  <c r="Y306" i="34"/>
  <c r="Z305" i="34"/>
  <c r="Z306" i="34"/>
  <c r="AA305" i="34"/>
  <c r="AA306" i="34"/>
  <c r="AB305" i="34"/>
  <c r="AB306" i="34"/>
  <c r="AC305" i="34"/>
  <c r="AC306" i="34"/>
  <c r="AC314" i="34"/>
  <c r="AB314" i="34"/>
  <c r="AA314" i="34"/>
  <c r="Z314" i="34"/>
  <c r="Y314" i="34"/>
  <c r="X314" i="34"/>
  <c r="W314" i="34"/>
  <c r="V314" i="34"/>
  <c r="U314" i="34"/>
  <c r="T314" i="34"/>
  <c r="S314" i="34"/>
  <c r="AC310" i="34"/>
  <c r="AC311" i="34"/>
  <c r="Q306" i="34"/>
  <c r="L285" i="34"/>
  <c r="L286" i="34"/>
  <c r="L287" i="34"/>
  <c r="L288" i="34"/>
  <c r="L289" i="34"/>
  <c r="L290" i="34"/>
  <c r="L261" i="34"/>
  <c r="L292" i="34"/>
  <c r="L293" i="34"/>
  <c r="K268" i="34"/>
  <c r="L291" i="34"/>
  <c r="L294" i="34"/>
  <c r="L295" i="34"/>
  <c r="L296" i="34"/>
  <c r="L297" i="34"/>
  <c r="L298" i="34"/>
  <c r="L303" i="34"/>
  <c r="L304" i="34"/>
  <c r="L305" i="34"/>
  <c r="L306" i="34"/>
  <c r="J306" i="34"/>
  <c r="I285" i="34"/>
  <c r="I286" i="34"/>
  <c r="I287" i="34"/>
  <c r="I288" i="34"/>
  <c r="I289" i="34"/>
  <c r="I290" i="34"/>
  <c r="I292" i="34"/>
  <c r="I269" i="34"/>
  <c r="H269" i="34"/>
  <c r="I293" i="34"/>
  <c r="I291" i="34"/>
  <c r="I294" i="34"/>
  <c r="I295" i="34"/>
  <c r="I296" i="34"/>
  <c r="I297" i="34"/>
  <c r="I303" i="34"/>
  <c r="I304" i="34"/>
  <c r="H285" i="34"/>
  <c r="H286" i="34"/>
  <c r="H287" i="34"/>
  <c r="H288" i="34"/>
  <c r="H289" i="34"/>
  <c r="H290" i="34"/>
  <c r="H292" i="34"/>
  <c r="G269" i="34"/>
  <c r="H293" i="34"/>
  <c r="H291" i="34"/>
  <c r="H294" i="34"/>
  <c r="H295" i="34"/>
  <c r="H296" i="34"/>
  <c r="H297" i="34"/>
  <c r="H303" i="34"/>
  <c r="H304" i="34"/>
  <c r="G285" i="34"/>
  <c r="G286" i="34"/>
  <c r="G287" i="34"/>
  <c r="G288" i="34"/>
  <c r="G289" i="34"/>
  <c r="G290" i="34"/>
  <c r="G292" i="34"/>
  <c r="F269" i="34"/>
  <c r="G293" i="34"/>
  <c r="G291" i="34"/>
  <c r="G294" i="34"/>
  <c r="G295" i="34"/>
  <c r="G296" i="34"/>
  <c r="G297" i="34"/>
  <c r="G303" i="34"/>
  <c r="G304" i="34"/>
  <c r="F285" i="34"/>
  <c r="F286" i="34"/>
  <c r="F287" i="34"/>
  <c r="F288" i="34"/>
  <c r="F289" i="34"/>
  <c r="F290" i="34"/>
  <c r="F292" i="34"/>
  <c r="E269" i="34"/>
  <c r="F293" i="34"/>
  <c r="F291" i="34"/>
  <c r="F294" i="34"/>
  <c r="F295" i="34"/>
  <c r="F296" i="34"/>
  <c r="F297" i="34"/>
  <c r="F303" i="34"/>
  <c r="F304" i="34"/>
  <c r="E306" i="34"/>
  <c r="F305" i="34"/>
  <c r="F306" i="34"/>
  <c r="G305" i="34"/>
  <c r="G306" i="34"/>
  <c r="H305" i="34"/>
  <c r="H306" i="34"/>
  <c r="I305" i="34"/>
  <c r="I306" i="34"/>
  <c r="Q305" i="34"/>
  <c r="N305" i="34"/>
  <c r="M305" i="34"/>
  <c r="K305" i="34"/>
  <c r="J305" i="34"/>
  <c r="N285" i="34"/>
  <c r="N286" i="34"/>
  <c r="N287" i="34"/>
  <c r="N288" i="34"/>
  <c r="N289" i="34"/>
  <c r="N290" i="34"/>
  <c r="M261" i="34"/>
  <c r="N292" i="34"/>
  <c r="N293" i="34"/>
  <c r="N291" i="34"/>
  <c r="N294" i="34"/>
  <c r="N295" i="34"/>
  <c r="N296" i="34"/>
  <c r="N297" i="34"/>
  <c r="N298" i="34"/>
  <c r="N303" i="34"/>
  <c r="N304" i="34"/>
  <c r="M285" i="34"/>
  <c r="M286" i="34"/>
  <c r="M287" i="34"/>
  <c r="M288" i="34"/>
  <c r="M289" i="34"/>
  <c r="M290" i="34"/>
  <c r="M292" i="34"/>
  <c r="M293" i="34"/>
  <c r="M291" i="34"/>
  <c r="M294" i="34"/>
  <c r="M295" i="34"/>
  <c r="M296" i="34"/>
  <c r="M297" i="34"/>
  <c r="M298" i="34"/>
  <c r="M303" i="34"/>
  <c r="M304" i="34"/>
  <c r="K285" i="34"/>
  <c r="K286" i="34"/>
  <c r="K287" i="34"/>
  <c r="K288" i="34"/>
  <c r="J258" i="34"/>
  <c r="K289" i="34"/>
  <c r="K290" i="34"/>
  <c r="K292" i="34"/>
  <c r="J269" i="34"/>
  <c r="K293" i="34"/>
  <c r="K291" i="34"/>
  <c r="K294" i="34"/>
  <c r="K295" i="34"/>
  <c r="K296" i="34"/>
  <c r="K297" i="34"/>
  <c r="K303" i="34"/>
  <c r="K304" i="34"/>
  <c r="J285" i="34"/>
  <c r="J286" i="34"/>
  <c r="J287" i="34"/>
  <c r="J288" i="34"/>
  <c r="J289" i="34"/>
  <c r="J290" i="34"/>
  <c r="J292" i="34"/>
  <c r="J293" i="34"/>
  <c r="J291" i="34"/>
  <c r="J294" i="34"/>
  <c r="J295" i="34"/>
  <c r="J296" i="34"/>
  <c r="J297" i="34"/>
  <c r="J303" i="34"/>
  <c r="J304" i="34"/>
  <c r="Q303" i="34"/>
  <c r="Q302" i="34"/>
  <c r="Q301" i="34"/>
  <c r="Q300" i="34"/>
  <c r="Q299" i="34"/>
  <c r="Q298" i="34"/>
  <c r="Q297" i="34"/>
  <c r="Q296" i="34"/>
  <c r="Q295" i="34"/>
  <c r="Q294" i="34"/>
  <c r="Q293" i="34"/>
  <c r="Q292" i="34"/>
  <c r="Q291" i="34"/>
  <c r="Q290" i="34"/>
  <c r="Q289" i="34"/>
  <c r="Q288" i="34"/>
  <c r="Q287" i="34"/>
  <c r="Q286" i="34"/>
  <c r="E285" i="34"/>
  <c r="Q285" i="34"/>
  <c r="AC256" i="34"/>
  <c r="K260" i="34"/>
  <c r="L260" i="34"/>
  <c r="M260" i="34"/>
  <c r="N260" i="34"/>
  <c r="O260" i="34"/>
  <c r="P260" i="34"/>
  <c r="R260" i="34"/>
  <c r="S260" i="34"/>
  <c r="T260" i="34"/>
  <c r="U260" i="34"/>
  <c r="V260" i="34"/>
  <c r="W260" i="34"/>
  <c r="X260" i="34"/>
  <c r="Y260" i="34"/>
  <c r="Z260" i="34"/>
  <c r="AA260" i="34"/>
  <c r="AB260" i="34"/>
  <c r="AC260" i="34"/>
  <c r="AC255" i="34"/>
  <c r="K263" i="34"/>
  <c r="L263" i="34"/>
  <c r="M263" i="34"/>
  <c r="N263" i="34"/>
  <c r="O263" i="34"/>
  <c r="P263" i="34"/>
  <c r="R263" i="34"/>
  <c r="S263" i="34"/>
  <c r="T263" i="34"/>
  <c r="U263" i="34"/>
  <c r="V263" i="34"/>
  <c r="W263" i="34"/>
  <c r="X263" i="34"/>
  <c r="Y263" i="34"/>
  <c r="Z263" i="34"/>
  <c r="AA263" i="34"/>
  <c r="AB263" i="34"/>
  <c r="AC263" i="34"/>
  <c r="K265" i="34"/>
  <c r="L265" i="34"/>
  <c r="M265" i="34"/>
  <c r="N265" i="34"/>
  <c r="O265" i="34"/>
  <c r="P265" i="34"/>
  <c r="R265" i="34"/>
  <c r="S265" i="34"/>
  <c r="T265" i="34"/>
  <c r="U265" i="34"/>
  <c r="V265" i="34"/>
  <c r="W265" i="34"/>
  <c r="X265" i="34"/>
  <c r="Y265" i="34"/>
  <c r="Z265" i="34"/>
  <c r="AA265" i="34"/>
  <c r="AB265" i="34"/>
  <c r="AC265" i="34"/>
  <c r="AC262" i="34"/>
  <c r="AC266" i="34"/>
  <c r="AC271" i="34"/>
  <c r="K272" i="34"/>
  <c r="L272" i="34"/>
  <c r="M272" i="34"/>
  <c r="N272" i="34"/>
  <c r="O272" i="34"/>
  <c r="P272" i="34"/>
  <c r="R272" i="34"/>
  <c r="S272" i="34"/>
  <c r="T272" i="34"/>
  <c r="U272" i="34"/>
  <c r="V272" i="34"/>
  <c r="W272" i="34"/>
  <c r="X272" i="34"/>
  <c r="Y272" i="34"/>
  <c r="Z272" i="34"/>
  <c r="AA272" i="34"/>
  <c r="AB272" i="34"/>
  <c r="AC272" i="34"/>
  <c r="AC273" i="34"/>
  <c r="AC274" i="34"/>
  <c r="K275" i="34"/>
  <c r="L275" i="34"/>
  <c r="M275" i="34"/>
  <c r="N275" i="34"/>
  <c r="O275" i="34"/>
  <c r="P275" i="34"/>
  <c r="R275" i="34"/>
  <c r="S275" i="34"/>
  <c r="T275" i="34"/>
  <c r="U275" i="34"/>
  <c r="V275" i="34"/>
  <c r="W275" i="34"/>
  <c r="X275" i="34"/>
  <c r="Y275" i="34"/>
  <c r="Z275" i="34"/>
  <c r="AA275" i="34"/>
  <c r="AB275" i="34"/>
  <c r="AC275" i="34"/>
  <c r="AC278" i="34"/>
  <c r="N278" i="34"/>
  <c r="O279" i="34"/>
  <c r="O278" i="34"/>
  <c r="P279" i="34"/>
  <c r="P278" i="34"/>
  <c r="R279" i="34"/>
  <c r="R278" i="34"/>
  <c r="S279" i="34"/>
  <c r="S278" i="34"/>
  <c r="T279" i="34"/>
  <c r="T278" i="34"/>
  <c r="U279" i="34"/>
  <c r="U278" i="34"/>
  <c r="V279" i="34"/>
  <c r="V278" i="34"/>
  <c r="W279" i="34"/>
  <c r="W278" i="34"/>
  <c r="X279" i="34"/>
  <c r="X278" i="34"/>
  <c r="Y279" i="34"/>
  <c r="Y278" i="34"/>
  <c r="Z279" i="34"/>
  <c r="Z278" i="34"/>
  <c r="AA279" i="34"/>
  <c r="AA278" i="34"/>
  <c r="AB279" i="34"/>
  <c r="AB278" i="34"/>
  <c r="AC279" i="34"/>
  <c r="K277" i="34"/>
  <c r="L277" i="34"/>
  <c r="M277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AA277" i="34"/>
  <c r="AB277" i="34"/>
  <c r="AC277" i="34"/>
  <c r="K276" i="34"/>
  <c r="L276" i="34"/>
  <c r="M276" i="34"/>
  <c r="N276" i="34"/>
  <c r="O276" i="34"/>
  <c r="P276" i="34"/>
  <c r="R276" i="34"/>
  <c r="S276" i="34"/>
  <c r="T276" i="34"/>
  <c r="U276" i="34"/>
  <c r="V276" i="34"/>
  <c r="W276" i="34"/>
  <c r="X276" i="34"/>
  <c r="Y276" i="34"/>
  <c r="Z276" i="34"/>
  <c r="AA276" i="34"/>
  <c r="AB276" i="34"/>
  <c r="AC276" i="34"/>
  <c r="AC280" i="34"/>
  <c r="AC281" i="34"/>
  <c r="AB256" i="34"/>
  <c r="AB255" i="34"/>
  <c r="AB262" i="34"/>
  <c r="AB266" i="34"/>
  <c r="AB271" i="34"/>
  <c r="AB273" i="34"/>
  <c r="AB274" i="34"/>
  <c r="AB280" i="34"/>
  <c r="AB281" i="34"/>
  <c r="AA256" i="34"/>
  <c r="AA255" i="34"/>
  <c r="AA262" i="34"/>
  <c r="AA266" i="34"/>
  <c r="AA271" i="34"/>
  <c r="AA273" i="34"/>
  <c r="AA274" i="34"/>
  <c r="AA280" i="34"/>
  <c r="AA281" i="34"/>
  <c r="Z256" i="34"/>
  <c r="Z255" i="34"/>
  <c r="Z262" i="34"/>
  <c r="Z266" i="34"/>
  <c r="Z271" i="34"/>
  <c r="Z273" i="34"/>
  <c r="Z274" i="34"/>
  <c r="Z280" i="34"/>
  <c r="Z281" i="34"/>
  <c r="Y256" i="34"/>
  <c r="Y255" i="34"/>
  <c r="Y262" i="34"/>
  <c r="Y266" i="34"/>
  <c r="Y271" i="34"/>
  <c r="Y273" i="34"/>
  <c r="Y274" i="34"/>
  <c r="Y280" i="34"/>
  <c r="Y281" i="34"/>
  <c r="X256" i="34"/>
  <c r="X255" i="34"/>
  <c r="X262" i="34"/>
  <c r="X266" i="34"/>
  <c r="X271" i="34"/>
  <c r="X273" i="34"/>
  <c r="X274" i="34"/>
  <c r="X280" i="34"/>
  <c r="X281" i="34"/>
  <c r="W256" i="34"/>
  <c r="W255" i="34"/>
  <c r="W262" i="34"/>
  <c r="W266" i="34"/>
  <c r="W271" i="34"/>
  <c r="W273" i="34"/>
  <c r="W274" i="34"/>
  <c r="W280" i="34"/>
  <c r="W281" i="34"/>
  <c r="V256" i="34"/>
  <c r="V255" i="34"/>
  <c r="V262" i="34"/>
  <c r="V266" i="34"/>
  <c r="V271" i="34"/>
  <c r="V273" i="34"/>
  <c r="V274" i="34"/>
  <c r="V280" i="34"/>
  <c r="V281" i="34"/>
  <c r="U256" i="34"/>
  <c r="U255" i="34"/>
  <c r="U262" i="34"/>
  <c r="U266" i="34"/>
  <c r="U271" i="34"/>
  <c r="U273" i="34"/>
  <c r="U274" i="34"/>
  <c r="U280" i="34"/>
  <c r="U281" i="34"/>
  <c r="T256" i="34"/>
  <c r="T255" i="34"/>
  <c r="T262" i="34"/>
  <c r="T266" i="34"/>
  <c r="T271" i="34"/>
  <c r="T273" i="34"/>
  <c r="T274" i="34"/>
  <c r="T280" i="34"/>
  <c r="T281" i="34"/>
  <c r="S256" i="34"/>
  <c r="S255" i="34"/>
  <c r="S262" i="34"/>
  <c r="S266" i="34"/>
  <c r="S271" i="34"/>
  <c r="S273" i="34"/>
  <c r="S274" i="34"/>
  <c r="S280" i="34"/>
  <c r="S281" i="34"/>
  <c r="R256" i="34"/>
  <c r="R255" i="34"/>
  <c r="R262" i="34"/>
  <c r="R266" i="34"/>
  <c r="R271" i="34"/>
  <c r="R273" i="34"/>
  <c r="R274" i="34"/>
  <c r="R280" i="34"/>
  <c r="R281" i="34"/>
  <c r="P256" i="34"/>
  <c r="P255" i="34"/>
  <c r="P262" i="34"/>
  <c r="P266" i="34"/>
  <c r="Q266" i="34"/>
  <c r="P271" i="34"/>
  <c r="P273" i="34"/>
  <c r="P274" i="34"/>
  <c r="Q274" i="34"/>
  <c r="P280" i="34"/>
  <c r="Q280" i="34"/>
  <c r="Q281" i="34"/>
  <c r="P281" i="34"/>
  <c r="O256" i="34"/>
  <c r="O255" i="34"/>
  <c r="O262" i="34"/>
  <c r="O266" i="34"/>
  <c r="O271" i="34"/>
  <c r="O273" i="34"/>
  <c r="O274" i="34"/>
  <c r="O280" i="34"/>
  <c r="O281" i="34"/>
  <c r="N256" i="34"/>
  <c r="N255" i="34"/>
  <c r="N262" i="34"/>
  <c r="N266" i="34"/>
  <c r="N271" i="34"/>
  <c r="N273" i="34"/>
  <c r="N274" i="34"/>
  <c r="N280" i="34"/>
  <c r="N281" i="34"/>
  <c r="M256" i="34"/>
  <c r="M255" i="34"/>
  <c r="M262" i="34"/>
  <c r="M266" i="34"/>
  <c r="M271" i="34"/>
  <c r="M273" i="34"/>
  <c r="M274" i="34"/>
  <c r="M278" i="34"/>
  <c r="M279" i="34"/>
  <c r="M280" i="34"/>
  <c r="M281" i="34"/>
  <c r="L256" i="34"/>
  <c r="L255" i="34"/>
  <c r="L262" i="34"/>
  <c r="L266" i="34"/>
  <c r="L271" i="34"/>
  <c r="L273" i="34"/>
  <c r="L274" i="34"/>
  <c r="L278" i="34"/>
  <c r="K278" i="34"/>
  <c r="L279" i="34"/>
  <c r="L280" i="34"/>
  <c r="L281" i="34"/>
  <c r="K255" i="34"/>
  <c r="K262" i="34"/>
  <c r="K266" i="34"/>
  <c r="K271" i="34"/>
  <c r="K273" i="34"/>
  <c r="K274" i="34"/>
  <c r="K280" i="34"/>
  <c r="K281" i="34"/>
  <c r="J255" i="34"/>
  <c r="J262" i="34"/>
  <c r="J266" i="34"/>
  <c r="J271" i="34"/>
  <c r="J273" i="34"/>
  <c r="J274" i="34"/>
  <c r="J278" i="34"/>
  <c r="I278" i="34"/>
  <c r="H278" i="34"/>
  <c r="G278" i="34"/>
  <c r="F278" i="34"/>
  <c r="E278" i="34"/>
  <c r="F279" i="34"/>
  <c r="G279" i="34"/>
  <c r="H279" i="34"/>
  <c r="I279" i="34"/>
  <c r="J279" i="34"/>
  <c r="J280" i="34"/>
  <c r="J281" i="34"/>
  <c r="I255" i="34"/>
  <c r="I263" i="34"/>
  <c r="I262" i="34"/>
  <c r="I266" i="34"/>
  <c r="I271" i="34"/>
  <c r="I273" i="34"/>
  <c r="I274" i="34"/>
  <c r="I280" i="34"/>
  <c r="I281" i="34"/>
  <c r="H255" i="34"/>
  <c r="H263" i="34"/>
  <c r="H262" i="34"/>
  <c r="H266" i="34"/>
  <c r="H271" i="34"/>
  <c r="H273" i="34"/>
  <c r="H274" i="34"/>
  <c r="H280" i="34"/>
  <c r="H281" i="34"/>
  <c r="G255" i="34"/>
  <c r="G263" i="34"/>
  <c r="G262" i="34"/>
  <c r="G266" i="34"/>
  <c r="G271" i="34"/>
  <c r="G273" i="34"/>
  <c r="G274" i="34"/>
  <c r="G280" i="34"/>
  <c r="G281" i="34"/>
  <c r="F255" i="34"/>
  <c r="F263" i="34"/>
  <c r="F262" i="34"/>
  <c r="F266" i="34"/>
  <c r="F271" i="34"/>
  <c r="F273" i="34"/>
  <c r="F274" i="34"/>
  <c r="F280" i="34"/>
  <c r="F281" i="34"/>
  <c r="E255" i="34"/>
  <c r="E263" i="34"/>
  <c r="E262" i="34"/>
  <c r="E266" i="34"/>
  <c r="E271" i="34"/>
  <c r="E273" i="34"/>
  <c r="E274" i="34"/>
  <c r="E280" i="34"/>
  <c r="E281" i="34"/>
  <c r="Q279" i="34"/>
  <c r="Q278" i="34"/>
  <c r="Q276" i="34"/>
  <c r="Q275" i="34"/>
  <c r="Q273" i="34"/>
  <c r="Q272" i="34"/>
  <c r="Q271" i="34"/>
  <c r="Q270" i="34"/>
  <c r="Q268" i="34"/>
  <c r="Q267" i="34"/>
  <c r="Q265" i="34"/>
  <c r="AC264" i="34"/>
  <c r="AB264" i="34"/>
  <c r="AA264" i="34"/>
  <c r="Z264" i="34"/>
  <c r="Y264" i="34"/>
  <c r="X264" i="34"/>
  <c r="W264" i="34"/>
  <c r="V264" i="34"/>
  <c r="U264" i="34"/>
  <c r="T264" i="34"/>
  <c r="S264" i="34"/>
  <c r="R264" i="34"/>
  <c r="P264" i="34"/>
  <c r="Q264" i="34"/>
  <c r="O264" i="34"/>
  <c r="N264" i="34"/>
  <c r="M264" i="34"/>
  <c r="L264" i="34"/>
  <c r="K264" i="34"/>
  <c r="I264" i="34"/>
  <c r="H264" i="34"/>
  <c r="G264" i="34"/>
  <c r="F264" i="34"/>
  <c r="E264" i="34"/>
  <c r="Q263" i="34"/>
  <c r="Q262" i="34"/>
  <c r="Q261" i="34"/>
  <c r="Q260" i="34"/>
  <c r="Q259" i="34"/>
  <c r="Q258" i="34"/>
  <c r="Q257" i="34"/>
  <c r="Q256" i="34"/>
  <c r="Q255" i="34"/>
  <c r="P250" i="34"/>
  <c r="Q250" i="34"/>
  <c r="O250" i="34"/>
  <c r="N250" i="34"/>
  <c r="M250" i="34"/>
  <c r="L250" i="34"/>
  <c r="K250" i="34"/>
  <c r="J250" i="34"/>
  <c r="I250" i="34"/>
  <c r="H250" i="34"/>
  <c r="G250" i="34"/>
  <c r="F250" i="34"/>
  <c r="E250" i="34"/>
  <c r="AC248" i="34"/>
  <c r="AB248" i="34"/>
  <c r="AA248" i="34"/>
  <c r="Z248" i="34"/>
  <c r="Y248" i="34"/>
  <c r="X248" i="34"/>
  <c r="W248" i="34"/>
  <c r="V248" i="34"/>
  <c r="U248" i="34"/>
  <c r="T248" i="34"/>
  <c r="S248" i="34"/>
  <c r="R248" i="34"/>
  <c r="Q248" i="34"/>
  <c r="P248" i="34"/>
  <c r="O248" i="34"/>
  <c r="N248" i="34"/>
  <c r="M248" i="34"/>
  <c r="L248" i="34"/>
  <c r="K248" i="34"/>
  <c r="J248" i="34"/>
  <c r="I248" i="34"/>
  <c r="H248" i="34"/>
  <c r="G248" i="34"/>
  <c r="F248" i="34"/>
  <c r="E248" i="34"/>
  <c r="A1" i="33"/>
  <c r="B1" i="33"/>
  <c r="C1" i="33"/>
  <c r="B2" i="33"/>
  <c r="C2" i="33"/>
  <c r="A2" i="33"/>
  <c r="B1" i="31"/>
  <c r="C1" i="31"/>
  <c r="B2" i="31"/>
  <c r="C2" i="31"/>
  <c r="B3" i="31"/>
  <c r="C3" i="31"/>
  <c r="B4" i="31"/>
  <c r="C4" i="31"/>
  <c r="B5" i="31"/>
  <c r="C5" i="31"/>
  <c r="B6" i="31"/>
  <c r="C6" i="31"/>
  <c r="B7" i="31"/>
  <c r="C7" i="31"/>
  <c r="B8" i="31"/>
  <c r="C8" i="31"/>
  <c r="B9" i="31"/>
  <c r="C9" i="31"/>
  <c r="B10" i="31"/>
  <c r="C10" i="31"/>
  <c r="B11" i="31"/>
  <c r="C11" i="31"/>
  <c r="B12" i="31"/>
  <c r="C12" i="31"/>
  <c r="B13" i="31"/>
  <c r="C13" i="31"/>
  <c r="B14" i="31"/>
  <c r="C14" i="31"/>
  <c r="B15" i="31"/>
  <c r="C15" i="31"/>
  <c r="A2" i="3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B1" i="30"/>
  <c r="C1" i="30"/>
  <c r="B2" i="30"/>
  <c r="C2" i="30"/>
  <c r="B3" i="30"/>
  <c r="C3" i="30"/>
  <c r="B4" i="30"/>
  <c r="C4" i="30"/>
  <c r="B5" i="30"/>
  <c r="C5" i="30"/>
  <c r="B6" i="30"/>
  <c r="C6" i="30"/>
  <c r="B7" i="30"/>
  <c r="C7" i="30"/>
  <c r="B8" i="30"/>
  <c r="C8" i="30"/>
  <c r="B9" i="30"/>
  <c r="C9" i="30"/>
  <c r="B10" i="30"/>
  <c r="C10" i="30"/>
  <c r="B11" i="30"/>
  <c r="C11" i="30"/>
  <c r="B12" i="30"/>
  <c r="C12" i="30"/>
  <c r="B13" i="30"/>
  <c r="C13" i="30"/>
  <c r="B14" i="30"/>
  <c r="C14" i="30"/>
  <c r="B15" i="30"/>
  <c r="C15" i="30"/>
  <c r="A15" i="30"/>
  <c r="A14" i="30"/>
  <c r="A2" i="30"/>
  <c r="A3" i="30"/>
  <c r="A4" i="30"/>
  <c r="A5" i="30"/>
  <c r="A6" i="30"/>
  <c r="A7" i="30"/>
  <c r="A8" i="30"/>
  <c r="A9" i="30"/>
  <c r="A10" i="30"/>
  <c r="A11" i="30"/>
  <c r="A12" i="30"/>
  <c r="A13" i="30"/>
  <c r="A1" i="30"/>
  <c r="B2" i="29"/>
  <c r="B3" i="29"/>
  <c r="B4" i="29"/>
  <c r="A2" i="29"/>
  <c r="A3" i="29"/>
  <c r="A4" i="29"/>
  <c r="A1" i="29"/>
  <c r="A4" i="28"/>
  <c r="B4" i="28"/>
  <c r="B2" i="28"/>
  <c r="B3" i="28"/>
  <c r="A2" i="28"/>
  <c r="A3" i="28"/>
  <c r="A1" i="28"/>
  <c r="B1" i="27"/>
  <c r="B2" i="27"/>
  <c r="B3" i="27"/>
  <c r="A2" i="27"/>
  <c r="A3" i="27"/>
  <c r="A1" i="27"/>
  <c r="B1" i="26"/>
  <c r="B2" i="26"/>
  <c r="B3" i="26"/>
  <c r="A2" i="26"/>
  <c r="A3" i="26"/>
  <c r="A1" i="26"/>
  <c r="H1" i="21"/>
  <c r="H2" i="21"/>
  <c r="H3" i="21"/>
  <c r="H4" i="21"/>
  <c r="H5" i="21"/>
  <c r="H6" i="21"/>
  <c r="H7" i="21"/>
  <c r="A1" i="21"/>
  <c r="E7" i="16"/>
  <c r="F7" i="16"/>
  <c r="E11" i="22"/>
  <c r="A2" i="22"/>
  <c r="F2" i="22"/>
  <c r="B2" i="22"/>
  <c r="C2" i="22"/>
  <c r="D2" i="22"/>
  <c r="E2" i="22"/>
  <c r="A3" i="22"/>
  <c r="F3" i="22"/>
  <c r="B3" i="22"/>
  <c r="C3" i="22"/>
  <c r="D3" i="22"/>
  <c r="E3" i="22"/>
  <c r="A4" i="22"/>
  <c r="F4" i="22"/>
  <c r="B4" i="22"/>
  <c r="C4" i="22"/>
  <c r="D4" i="22"/>
  <c r="E4" i="22"/>
  <c r="A5" i="22"/>
  <c r="F5" i="22"/>
  <c r="B5" i="22"/>
  <c r="C5" i="22"/>
  <c r="D5" i="22"/>
  <c r="E5" i="22"/>
  <c r="A6" i="22"/>
  <c r="F6" i="22"/>
  <c r="B6" i="22"/>
  <c r="C6" i="22"/>
  <c r="D6" i="22"/>
  <c r="E6" i="22"/>
  <c r="A7" i="22"/>
  <c r="F7" i="22"/>
  <c r="B7" i="22"/>
  <c r="C7" i="22"/>
  <c r="D7" i="22"/>
  <c r="E7" i="22"/>
  <c r="A8" i="22"/>
  <c r="F8" i="22"/>
  <c r="B8" i="22"/>
  <c r="C8" i="22"/>
  <c r="D8" i="22"/>
  <c r="E8" i="22"/>
  <c r="A9" i="22"/>
  <c r="F9" i="22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G1" i="21"/>
  <c r="G2" i="21"/>
  <c r="G3" i="21"/>
  <c r="G4" i="21"/>
  <c r="G5" i="21"/>
  <c r="G6" i="21"/>
  <c r="G7" i="21"/>
  <c r="A2" i="21"/>
  <c r="C2" i="21"/>
  <c r="D2" i="21"/>
  <c r="E2" i="21"/>
  <c r="F2" i="21"/>
  <c r="A3" i="21"/>
  <c r="C3" i="21"/>
  <c r="D3" i="21"/>
  <c r="E3" i="21"/>
  <c r="F3" i="21"/>
  <c r="A4" i="21"/>
  <c r="C4" i="21"/>
  <c r="D4" i="21"/>
  <c r="E4" i="21"/>
  <c r="F4" i="21"/>
  <c r="A5" i="21"/>
  <c r="C5" i="21"/>
  <c r="D5" i="21"/>
  <c r="E5" i="21"/>
  <c r="F5" i="21"/>
  <c r="A6" i="21"/>
  <c r="C6" i="21"/>
  <c r="D6" i="21"/>
  <c r="E6" i="21"/>
  <c r="F6" i="21"/>
  <c r="A7" i="21"/>
  <c r="C7" i="21"/>
  <c r="D7" i="21"/>
  <c r="E7" i="21"/>
  <c r="F7" i="21"/>
  <c r="B1" i="21"/>
  <c r="C1" i="21"/>
  <c r="D1" i="21"/>
  <c r="E1" i="21"/>
  <c r="F1" i="21"/>
  <c r="B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5" i="12"/>
  <c r="B246" i="12"/>
  <c r="B247" i="12"/>
  <c r="B248" i="12"/>
  <c r="B249" i="12"/>
  <c r="B250" i="12"/>
  <c r="B251" i="12"/>
  <c r="B252" i="12"/>
  <c r="B253" i="12"/>
  <c r="B254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6" i="12"/>
  <c r="B277" i="12"/>
  <c r="B278" i="12"/>
  <c r="B279" i="12"/>
  <c r="B280" i="12"/>
  <c r="B281" i="12"/>
  <c r="B282" i="12"/>
  <c r="B283" i="12"/>
  <c r="B284" i="12"/>
  <c r="B285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8" i="12"/>
  <c r="B309" i="12"/>
  <c r="B310" i="12"/>
  <c r="B311" i="12"/>
  <c r="B312" i="12"/>
  <c r="B313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1" i="12"/>
  <c r="B372" i="12"/>
  <c r="B373" i="12"/>
  <c r="B374" i="12"/>
  <c r="B375" i="12"/>
  <c r="B376" i="12"/>
  <c r="B377" i="12"/>
  <c r="B378" i="12"/>
  <c r="B379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5" i="12"/>
  <c r="B586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B588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5" i="12"/>
  <c r="B1466" i="12"/>
  <c r="B1467" i="12"/>
  <c r="B1468" i="12"/>
  <c r="B1469" i="12"/>
  <c r="B1470" i="12"/>
  <c r="B1471" i="12"/>
  <c r="B1472" i="12"/>
  <c r="B1473" i="12"/>
  <c r="B1474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6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B1998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B3386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8" i="12"/>
  <c r="B3559" i="12"/>
  <c r="B3560" i="12"/>
  <c r="B3561" i="12"/>
  <c r="B3562" i="12"/>
  <c r="B3563" i="12"/>
  <c r="B3564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80" i="12"/>
  <c r="B3581" i="12"/>
  <c r="B3582" i="12"/>
  <c r="B3583" i="12"/>
  <c r="B3584" i="12"/>
  <c r="B3585" i="12"/>
  <c r="B3586" i="12"/>
  <c r="B3587" i="12"/>
  <c r="B3590" i="12"/>
  <c r="B3591" i="12"/>
  <c r="B3592" i="12"/>
  <c r="B3593" i="12"/>
  <c r="B3594" i="12"/>
  <c r="B3595" i="12"/>
  <c r="B3596" i="12"/>
  <c r="B3597" i="12"/>
  <c r="B3598" i="12"/>
  <c r="B3599" i="12"/>
  <c r="B3604" i="12"/>
  <c r="B3605" i="12"/>
  <c r="B3606" i="12"/>
  <c r="B3607" i="12"/>
  <c r="B3608" i="12"/>
  <c r="B3609" i="12"/>
  <c r="B3610" i="12"/>
  <c r="B3611" i="12"/>
  <c r="B3612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5" i="12"/>
  <c r="B3656" i="12"/>
  <c r="B3657" i="12"/>
  <c r="B3658" i="12"/>
  <c r="B3659" i="12"/>
  <c r="B3660" i="12"/>
  <c r="B3661" i="12"/>
  <c r="B3662" i="12"/>
  <c r="B3663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9" i="12"/>
  <c r="B3680" i="12"/>
  <c r="B3681" i="12"/>
  <c r="B3682" i="12"/>
  <c r="B3683" i="12"/>
  <c r="B3684" i="12"/>
  <c r="B3685" i="12"/>
  <c r="B3686" i="12"/>
  <c r="B3687" i="12"/>
  <c r="B3688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8" i="12"/>
  <c r="B3809" i="12"/>
  <c r="B3810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Analista Financiero</author>
  </authors>
  <commentList>
    <comment ref="K256" authorId="0" shapeId="0" xr:uid="{E8D15F99-12C8-47BE-8725-461FE3B64E3F}">
      <text>
        <r>
          <rPr>
            <b/>
            <sz val="9"/>
            <color indexed="81"/>
            <rFont val="Tahoma"/>
            <family val="2"/>
          </rPr>
          <t>Analista Financiero:</t>
        </r>
        <r>
          <rPr>
            <sz val="9"/>
            <color indexed="81"/>
            <rFont val="Tahoma"/>
            <family val="2"/>
          </rPr>
          <t xml:space="preserve">
pendiente diferencia en caja de 8k usd aprox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59ca6f0d-2342-48d5-88fa-b598e5f8b0b9 Model" type="5" refreshedVersion="7" background="1" refreshOnLoad="1">
    <dbPr connection="Provider=MSOLAP.8;Integrated Security=ClaimsToken;Persist Security Info=True;Initial Catalog=sobe_wowvirtualserver-59ca6f0d-2342-48d5-88fa-b598e5f8b0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8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Año].&amp;[2024],[Calendario].[Año].&amp;[2025]}"/>
    <s v="{[Unidad de negocio].[Unidad de Negocio].&amp;[Comercial]}"/>
    <s v="{[Calendario].[Año].&amp;[2025]}"/>
    <s v="pbiazure://api.powerbi.com 651016b2-8eb4-4a6f-be68-0f95757eaab9 Model"/>
    <s v="pbiazure://api.powerbi.com 59ca6f0d-2342-48d5-88fa-b598e5f8b0b9 Model"/>
    <s v="{[INDICADORES].[Grupo Depurado].&amp;[GERENCIA COMERCIAL]}"/>
    <s v="{[INDICADORES].[Años].&amp;[2025]}"/>
    <s v="{[Calendario].[mes].&amp;[abril]}"/>
    <s v="{[Calendario].[mes].[All]}"/>
    <s v="{[INDICADORES].[Grupo Depurado].[All]}"/>
    <s v="{[INDICADORES].[Grupo Depurado].&amp;[EXPORTACIONES]}"/>
    <s v="{[Calendario].[Mes].&amp;[mayo],[Calendario].[Mes].&amp;[abril],[Calendario].[Mes].&amp;[enero],[Calendario].[Mes].&amp;[marzo],[Calendario].[Mes].&amp;[febrero],[Calendario].[Mes].&amp;[octubre],[Calendario].[Mes].&amp;[diciembre],[Calendario].[Mes].&amp;[noviembre]}"/>
    <s v="{[LANZAMIENTOS].[ESTADO].[All]}"/>
    <s v="{[Unidad de negocio].[Unidad de Negocio].&amp;[Comercial],[Unidad de negocio].[Unidad de Negocio].&amp;[Exterior],[Unidad de negocio].[Unidad de Negocio].&amp;[Maquila],[Unidad de negocio].[Unidad de Negocio].&amp;[Tiendas y Restaurante],[Unidad de negocio].[Unidad de Negocio].&amp;[Virtual]}"/>
    <s v="{[Calendario].[Date].&amp;[2024-10-01T00:00:00],[Calendario].[Date].&amp;[2024-10-02T00:00:00],[Calendario].[Date].&amp;[2024-10-03T00:00:00],[Calendario].[Date].&amp;[2024-10-04T00:00:00],[Calendario].[Date].&amp;[2024-10-05T00:00:00],[Calendario].[Date].&amp;[2024-10-06T00:00:00],[Calendario].[Date].&amp;[2024-10-07T00:00:00],[Calendario].[Date].&amp;[2024-10-08T00:00:00],[Calendario].[Date].&amp;[2024-10-09T00:00:00],[Calendario].[Date].&amp;[2024-10-10T00:00:00],[Calendario].[Date].&amp;[2024-10-11T00:00:00],[Calendario].[Date].&amp;[2024-10-12T00:00:00],[Calendario].[Date].&amp;[2024-10-13T00:00:00],[Calendario].[Date].&amp;[2024-10-14T00:00:00],[Calendario].[Date].&amp;[2024-10-15T00:00:00],[Calendario].[Date].&amp;[2024-10-16T00:00:00],[Calendario].[Date].&amp;[2024-10-17T00:00:00],[Calendario].[Date].&amp;[2024-10-18T00:00:00],[Calendario].[Date].&amp;[2024-10-19T00:00:00],[Calendario].[Date].&amp;[2024-10-20T00:00:00],[Calendario].[Date].&amp;[2024-10-21T00:00:00],[Calendario].[Date].&amp;[2024-10-22T00:00:00],[Calendario].[Date].&amp;[2024-10-23T00:00:00],[Calendario].[Date].&amp;[2024-10-24T00:00:00],[Calendario].[Date].&amp;[2024-10-25T00:00:00],[Calendario].[Date].&amp;[2024-10-26T00:00:00],[Calendario].[Date].&amp;[2024-10-27T00:00:00],[Calendario].[Date].&amp;[2024-10-28T00:00:00],[Calendario].[Date].&amp;[2024-10-29T00:00:00],[Calendario].[Date].&amp;[2024-10-30T00:00:00],[Calendario].[Date].&amp;[2024-10-31T00:00:00],[Calendario].[Date].&amp;[2024-11-01T00:00:00],[Calendario].[Date].&amp;[2024-11-02T00:00:00],[Calendario].[Date].&amp;[2024-11-03T00:00:00],[Calendario].[Date].&amp;[2024-11-04T00:00:00],[Calendario].[Date].&amp;[2024-11-05T00:00:00],[Calendario].[Date].&amp;[2024-11-06T00:00:00],[Calendario].[Date].&amp;[2024-11-07T00:00:00],[Calendario].[Date].&amp;[2024-11-08T00:00:00],[Calendario].[Date].&amp;[2024-11-09T00:00:00],[Calendario].[Date].&amp;[2024-11-10T00:00:00],[Calendario].[Date].&amp;[2024-11-11T00:00:00],[Calendario].[Date].&amp;[2024-11-12T00:00:00],[Calendario].[Date].&amp;[2024-11-13T00:00:00],[Calendario].[Date].&amp;[2024-11-14T00:00:00],[Calendario].[Date].&amp;[2024-11-15T00:00:00],[Calendario].[Date].&amp;[2024-11-16T00:00:00],[Calendario].[Date].&amp;[2024-11-17T00:00:00],[Calendario].[Date].&amp;[2024-11-18T00:00:00],[Calendario].[Date].&amp;[2024-11-19T00:00:00],[Calendario].[Date].&amp;[2024-11-20T00:00:00],[Calendario].[Date].&amp;[2024-11-21T00:00:00],[Calendario].[Date].&amp;[2024-11-22T00:00:00],[Calendario].[Date].&amp;[2024-11-23T00:00:00],[Calendario].[Date].&amp;[2024-11-24T00:00:00],[Calendario].[Date].&amp;[2024-11-25T00:00:00],[Calendario].[Date].&amp;[2024-11-26T00:00:00],[Calendario].[Date].&amp;[2024-11-27T00:00:00],[Calendario].[Date].&amp;[2024-11-28T00:00:00],[Calendario].[Date].&amp;[2024-11-29T00:00:00],[Calendario].[Date].&amp;[2024-11-30T00:00:00],[Calendario].[Date].&amp;[2024-12-01T00:00:00],[Calendario].[Date].&amp;[2024-12-02T00:00:00],[Calendario].[Date].&amp;[2024-12-03T00:00:00],[Calendario].[Date].&amp;[2024-12-04T00:00:00],[Calendario].[Date].&amp;[2024-12-05T00:00:00],[Calendario].[Date].&amp;[2024-12-06T00:00:00],[Calendario].[Date].&amp;[2024-12-07T00:00:00],[Calendario].[Date].&amp;[2024-12-08T00:00:00],[Calendario].[Date].&amp;[2024-12-09T00:00:00],[Calendario].[Date].&amp;[2024-12-10T00:00:00],[Calendario].[Date].&amp;[2024-12-11T00:00:00],[Calendario].[Date].&amp;[2024-12-12T00:00:00],[Calendario].[Date].&amp;[2024-12-13T00:00:00],[Calendario].[Date].&amp;[2024-12-14T00:00:00],[Calendario].[Date].&amp;[2024-12-15T00:00:00],[Calendario].[Date].&amp;[2024-12-16T00:00:00],[Calendario].[Date].&amp;[2024-12-17T00:00:00],[Calendario].[Date].&amp;[2024-12-18T00:00:00],[Calendario].[Date].&amp;[2024-12-19T00:00:00],[Calendario].[Date].&amp;[2024-12-20T00:00:00],[Calendario].[Date].&amp;[2024-12-21T00:00:00],[Calendario].[Date].&amp;[2024-12-22T00:00:00],[Calendario].[Date].&amp;[2024-12-23T00:00:00],[Calendario].[Date].&amp;[2024-12-24T00:00:00],[Calendario].[Date].&amp;[2024-12-25T00:00:00],[Calendario].[Date].&amp;[2024-12-26T00:00:00],[Calendario].[Date].&amp;[2024-12-27T00:00:00],[Calendario].[Date].&amp;[2024-12-28T00:00:00],[Calendario].[Date].&amp;[2024-12-29T00:00:00],[Calendario].[Date].&amp;[2024-12-30T00:00:00],[Calendario].[Date].&amp;[2024-12-31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lendario].[Mes].&amp;[junio]}"/>
    <s v="{[Calendario].[Mes].&amp;[mayo],[Calendario].[Mes].&amp;[abril],[Calendario].[Mes].&amp;[enero],[Calendario].[Mes].&amp;[junio],[Calendario].[Mes].&amp;[marzo],[Calendario].[Mes].&amp;[febrero]}"/>
    <s v="{[Calendario].[Date].&amp;[2024-01-01T00:00:00],[Calendario].[Date].&amp;[2024-01-02T00:00:00],[Calendario].[Date].&amp;[2024-01-03T00:00:00],[Calendario].[Date].&amp;[2024-01-04T00:00:00],[Calendario].[Date].&amp;[2024-01-05T00:00:00],[Calendario].[Date].&amp;[2024-01-06T00:00:00],[Calendario].[Date].&amp;[2024-01-07T00:00:00],[Calendario].[Date].&amp;[2024-01-08T00:00:00],[Calendario].[Date].&amp;[2024-01-09T00:00:00],[Calendario].[Date].&amp;[2024-01-10T00:00:00],[Calendario].[Date].&amp;[2024-01-11T00:00:00],[Calendario].[Date].&amp;[2024-01-12T00:00:00],[Calendario].[Date].&amp;[2024-01-13T00:00:00],[Calendario].[Date].&amp;[2024-01-14T00:00:00],[Calendario].[Date].&amp;[2024-01-15T00:00:00],[Calendario].[Date].&amp;[2024-01-16T00:00:00],[Calendario].[Date].&amp;[2024-01-17T00:00:00],[Calendario].[Date].&amp;[2024-01-18T00:00:00],[Calendario].[Date].&amp;[2024-01-19T00:00:00],[Calendario].[Date].&amp;[2024-01-20T00:00:00],[Calendario].[Date].&amp;[2024-01-21T00:00:00],[Calendario].[Date].&amp;[2024-01-22T00:00:00],[Calendario].[Date].&amp;[2024-01-23T00:00:00],[Calendario].[Date].&amp;[2024-01-24T00:00:00],[Calendario].[Date].&amp;[2024-01-25T00:00:00],[Calendario].[Date].&amp;[2024-01-26T00:00:00],[Calendario].[Date].&amp;[2024-01-27T00:00:00],[Calendario].[Date].&amp;[2024-01-28T00:00:00],[Calendario].[Date].&amp;[2024-01-29T00:00:00],[Calendario].[Date].&amp;[2024-01-30T00:00:00],[Calendario].[Date].&amp;[2024-01-31T00:00:00],[Calendario].[Date].&amp;[2024-02-01T00:00:00],[Calendario].[Date].&amp;[2024-02-02T00:00:00],[Calendario].[Date].&amp;[2024-02-03T00:00:00],[Calendario].[Date].&amp;[2024-02-04T00:00:00],[Calendario].[Date].&amp;[2024-02-05T00:00:00],[Calendario].[Date].&amp;[2024-02-06T00:00:00],[Calendario].[Date].&amp;[2024-02-07T00:00:00],[Calendario].[Date].&amp;[2024-02-08T00:00:00],[Calendario].[Date].&amp;[2024-02-09T00:00:00],[Calendario].[Date].&amp;[2024-02-10T00:00:00],[Calendario].[Date].&amp;[2024-02-11T00:00:00],[Calendario].[Date].&amp;[2024-02-12T00:00:00],[Calendario].[Date].&amp;[2024-02-13T00:00:00],[Calendario].[Date].&amp;[2024-02-14T00:00:00],[Calendario].[Date].&amp;[2024-02-15T00:00:00],[Calendario].[Date].&amp;[2024-02-16T00:00:00],[Calendario].[Date].&amp;[2024-02-17T00:00:00],[Calendario].[Date].&amp;[2024-02-18T00:00:00],[Calendario].[Date].&amp;[2024-02-19T00:00:00],[Calendario].[Date].&amp;[2024-02-20T00:00:00],[Calendario].[Date].&amp;[2024-02-21T00:00:00],[Calendario].[Date].&amp;[2024-02-22T00:00:00],[Calendario].[Date].&amp;[2024-02-23T00:00:00],[Calendario].[Date].&amp;[2024-02-24T00:00:00],[Calendario].[Date].&amp;[2024-02-25T00:00:00],[Calendario].[Date].&amp;[2024-02-26T00:00:00],[Calendario].[Date].&amp;[2024-02-27T00:00:00],[Calendario].[Date].&amp;[2024-02-28T00:00:00],[Calendario].[Date].&amp;[2024-02-29T00:00:00],[Calendario].[Date].&amp;[2024-03-01T00:00:00],[Calendario].[Date].&amp;[2024-03-02T00:00:00],[Calendario].[Date].&amp;[2024-03-03T00:00:00],[Calendario].[Date].&amp;[2024-03-04T00:00:00],[Calendario].[Date].&amp;[2024-03-05T00:00:00],[Calendario].[Date].&amp;[2024-03-06T00:00:00],[Calendario].[Date].&amp;[2024-03-07T00:00:00],[Calendario].[Date].&amp;[2024-03-08T00:00:00],[Calendario].[Date].&amp;[2024-03-09T00:00:00],[Calendario].[Date].&amp;[2024-03-10T00:00:00],[Calendario].[Date].&amp;[2024-03-11T00:00:00],[Calendario].[Date].&amp;[2024-03-12T00:00:00],[Calendario].[Date].&amp;[2024-03-13T00:00:00],[Calendario].[Date].&amp;[2024-03-14T00:00:00],[Calendario].[Date].&amp;[2024-03-15T00:00:00],[Calendario].[Date].&amp;[2024-03-16T00:00:00],[Calendario].[Date].&amp;[2024-03-17T00:00:00],[Calendario].[Date].&amp;[2024-03-18T00:00:00],[Calendario].[Date].&amp;[2024-03-19T00:00:00],[Calendario].[Date].&amp;[2024-03-20T00:00:00],[Calendario].[Date].&amp;[2024-03-21T00:00:00],[Calendario].[Date].&amp;[2024-03-22T00:00:00],[Calendario].[Date].&amp;[2024-03-23T00:00:00],[Calendario].[Date].&amp;[2024-03-24T00:00:00],[Calendario].[Date].&amp;[2024-03-25T00:00:00],[Calendario].[Date].&amp;[2024-03-26T00:00:00],[Calendario].[Date].&amp;[2024-03-27T00:00:00],[Calendario].[Date].&amp;[2024-03-28T00:00:00],[Calendario].[Date].&amp;[2024-03-29T00:00:00],[Calendario].[Date].&amp;[2024-03-30T00:00:00],[Calendario].[Date].&amp;[2024-03-31T00:00:00],[Calendario].[Date].&amp;[2024-04-01T00:00:00],[Calendario].[Date].&amp;[2024-04-02T00:00:00],[Calendario].[Date].&amp;[2024-04-03T00:00:00],[Calendario].[Date].&amp;[2024-04-04T00:00:00],[Calendario].[Date].&amp;[2024-04-05T00:00:00],[Calendario].[Date].&amp;[2024-04-06T00:00:00],[Calendario].[Date].&amp;[2024-04-07T00:00:00],[Calendario].[Date].&amp;[2024-04-08T00:00:00],[Calendario].[Date].&amp;[2024-04-09T00:00:00],[Calendario].[Date].&amp;[2024-04-10T00:00:00],[Calendario].[Date].&amp;[2024-04-11T00:00:00],[Calendario].[Date].&amp;[2024-04-12T00:00:00],[Calendario].[Date].&amp;[2024-04-13T00:00:00],[Calendario].[Date].&amp;[2024-04-14T00:00:00],[Calendario].[Date].&amp;[2024-04-15T00:00:00],[Calendario].[Date].&amp;[2024-04-16T00:00:00],[Calendario].[Date].&amp;[2024-04-17T00:00:00],[Calendario].[Date].&amp;[2024-04-18T00:00:00],[Calendario].[Date].&amp;[2024-04-19T00:00:00],[Calendario].[Date].&amp;[2024-04-20T00:00:00],[Calendario].[Date].&amp;[2024-04-21T00:00:00],[Calendario].[Date].&amp;[2024-04-22T00:00:00],[Calendario].[Date].&amp;[2024-04-23T00:00:00],[Calendario].[Date].&amp;[2024-04-24T00:00:00],[Calendario].[Date].&amp;[2024-04-25T00:00:00],[Calendario].[Date].&amp;[2024-04-26T00:00:00],[Calendario].[Date].&amp;[2024-04-27T00:00:00],[Calendario].[Date].&amp;[2024-04-28T00:00:00],[Calendario].[Date].&amp;[2024-04-29T00:00:00],[Calendario].[Date].&amp;[2024-04-30T00:00:00],[Calendario].[Date].&amp;[2024-05-01T00:00:00],[Calendario].[Date].&amp;[2024-05-02T00:00:00],[Calendario].[Date].&amp;[2024-05-03T00:00:00],[Calendario].[Date].&amp;[2024-05-04T00:00:00],[Calendario].[Date].&amp;[2024-05-05T00:00:00],[Calendario].[Date].&amp;[2024-05-06T00:00:00],[Calendario].[Date].&amp;[2024-05-07T00:00:00],[Calendario].[Date].&amp;[2024-05-08T00:00:00],[Calendario].[Date].&amp;[2024-05-09T00:00:00],[Calendario].[Date].&amp;[2024-05-10T00:00:00],[Calendario].[Date].&amp;[2024-05-11T00:00:00],[Calendario].[Date].&amp;[2024-05-12T00:00:00],[Calendario].[Date].&amp;[2024-05-13T00:00:00],[Calendario].[Date].&amp;[2024-05-14T00:00:00],[Calendario].[Date].&amp;[2024-05-15T00:00:00],[Calendario].[Date].&amp;[2024-05-16T00:00:00],[Calendario].[Date].&amp;[2024-05-17T00:00:00],[Calendario].[Date].&amp;[2024-05-18T00:00:00],[Calendario].[Date].&amp;[2024-05-19T00:00:00],[Calendario].[Date].&amp;[2024-05-20T00:00:00],[Calendario].[Date].&amp;[2024-05-21T00:00:00],[Calendario].[Date].&amp;[2024-05-22T00:00:00],[Calendario].[Date].&amp;[2024-05-23T00:00:00],[Calendario].[Date].&amp;[2024-05-24T00:00:00],[Calendario].[Date].&amp;[2024-05-25T00:00:00],[Calendario].[Date].&amp;[2024-05-26T00:00:00],[Calendario].[Date].&amp;[2024-05-27T00:00:00],[Calendario].[Date].&amp;[2024-05-28T00:00:00],[Calendario].[Date].&amp;[2024-05-29T00:00:00],[Calendario].[Date].&amp;[2024-05-30T00:00:00],[Calendario].[Date].&amp;[2024-05-31T00:00:00],[Calendario].[Date].&amp;[2024-06-01T00:00:00],[Calendario].[Date].&amp;[2024-06-02T00:00:00],[Calendario].[Date].&amp;[2024-06-03T00:00:00],[Calendario].[Date].&amp;[2024-06-04T00:00:00],[Calendario].[Date].&amp;[2024-06-05T00:00:00],[Calendario].[Date].&amp;[2024-06-06T00:00:00],[Calendario].[Date].&amp;[2024-06-07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RTERA HISTORICA].[FECHA CORTE].&amp;[2025-06-05T00:00:00]}"/>
    <s v="{[Calendario].[mes].&amp;[mayo]}"/>
    <s v="{[INDICADORES].[Grupo Depurado].&amp;[TIENDAS Y RESTAURANTE]}"/>
  </metadataStrings>
  <mdxMetadata count="2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11" f="s">
      <ms ns="12" c="0"/>
    </mdx>
    <mdx n="11" f="s">
      <ms ns="13" c="0"/>
    </mdx>
    <mdx n="11" f="s">
      <ms ns="14" c="0"/>
    </mdx>
    <mdx n="11" f="s">
      <ms ns="15" c="0"/>
    </mdx>
    <mdx n="11" f="s">
      <ms ns="16" c="0"/>
    </mdx>
    <mdx n="11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10" f="s">
      <ms ns="25" c="0"/>
    </mdx>
    <mdx n="11" f="s">
      <ms ns="26" c="0"/>
    </mdx>
    <mdx n="11" f="s">
      <ms ns="27" c="0"/>
    </mdx>
  </mdxMetadata>
  <valueMetadata count="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</valueMetadata>
</metadata>
</file>

<file path=xl/sharedStrings.xml><?xml version="1.0" encoding="utf-8"?>
<sst xmlns="http://schemas.openxmlformats.org/spreadsheetml/2006/main" count="9372" uniqueCount="748">
  <si>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</si>
  <si>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</si>
  <si>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</si>
  <si>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</si>
  <si>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</si>
  <si>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</si>
  <si>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</si>
  <si>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</si>
  <si>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</si>
  <si>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</si>
  <si>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</si>
  <si>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</si>
  <si>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</si>
  <si>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</si>
  <si>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</si>
  <si>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</si>
  <si>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</si>
  <si>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</si>
  <si>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</si>
  <si>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</si>
  <si>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</si>
  <si>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</si>
  <si>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</si>
  <si>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</si>
  <si>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</si>
  <si>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</si>
  <si>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</si>
  <si>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</si>
  <si>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</si>
  <si>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</si>
  <si>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</si>
  <si>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</si>
  <si>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</si>
  <si>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</si>
  <si>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</si>
  <si>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</si>
  <si>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</si>
  <si>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</si>
  <si>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</si>
  <si>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</si>
  <si>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</si>
  <si>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</si>
  <si>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</si>
  <si>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</si>
  <si>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</si>
  <si>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</si>
  <si>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</si>
  <si>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</si>
  <si>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</si>
  <si>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</si>
  <si>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</si>
  <si>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</si>
  <si>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</si>
  <si>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</si>
  <si>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</si>
  <si>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</si>
  <si>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</si>
  <si>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</si>
  <si>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</si>
  <si>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</si>
  <si>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</si>
  <si>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</si>
  <si>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</si>
  <si>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</si>
  <si>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</si>
  <si>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</si>
  <si>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</si>
  <si>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</si>
  <si>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</si>
  <si>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</si>
  <si>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</si>
  <si>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</si>
  <si>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</si>
  <si>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</si>
  <si>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</si>
  <si>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</si>
  <si>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</si>
  <si>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</si>
  <si>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</si>
  <si>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</si>
  <si>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</si>
  <si>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</si>
  <si>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</si>
  <si>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</si>
  <si>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</si>
  <si>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</si>
  <si>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</si>
  <si>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</si>
  <si>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</si>
  <si>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</si>
  <si>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</si>
  <si>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</si>
  <si>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</si>
  <si>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</si>
  <si>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</si>
  <si>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</si>
  <si>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</si>
  <si>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</si>
  <si>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</si>
  <si>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</si>
  <si>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</si>
  <si>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</si>
  <si>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</si>
  <si>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</si>
  <si>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</si>
  <si>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</si>
  <si>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</si>
  <si>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</si>
  <si>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</si>
  <si>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</si>
  <si>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</si>
  <si>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</si>
  <si>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</si>
  <si>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</si>
  <si>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</si>
  <si>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</si>
  <si>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</si>
  <si>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</si>
  <si>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</si>
  <si>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</si>
  <si>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</si>
  <si>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</si>
  <si>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</si>
  <si>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</si>
  <si>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</si>
  <si>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</si>
  <si>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</si>
  <si>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</si>
  <si>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</si>
  <si>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</si>
  <si>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</si>
  <si>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</si>
  <si>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</si>
  <si>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</si>
  <si>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</si>
  <si>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</si>
  <si>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</si>
  <si>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</si>
  <si>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</si>
  <si>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</si>
  <si>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</si>
  <si>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</si>
  <si>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</si>
  <si>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</si>
  <si>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</si>
  <si>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</si>
  <si>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</si>
  <si>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</si>
  <si>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</si>
  <si>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</si>
  <si>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</si>
  <si>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</si>
  <si>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</si>
  <si>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</si>
  <si>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</si>
  <si>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</si>
  <si>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</si>
  <si>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</si>
  <si>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</si>
  <si>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</si>
  <si>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</si>
  <si>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</si>
  <si>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</si>
  <si>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</si>
  <si>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</si>
  <si>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</si>
  <si>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</si>
  <si>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</si>
  <si>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</si>
  <si>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</si>
  <si>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</si>
  <si>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</si>
  <si>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</si>
  <si>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</si>
  <si>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</si>
  <si>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</si>
  <si>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</si>
  <si>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</si>
  <si>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</si>
  <si>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</si>
  <si>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</si>
  <si>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</si>
  <si>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</si>
  <si>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</si>
  <si>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</si>
  <si>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</si>
  <si>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</si>
  <si>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</si>
  <si>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</si>
  <si>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</si>
  <si>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</si>
  <si>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</si>
  <si>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</si>
  <si>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</si>
  <si>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</si>
  <si>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</si>
  <si>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</si>
  <si>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</si>
  <si>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</si>
  <si>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</si>
  <si>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</si>
  <si>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</si>
  <si>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</si>
  <si>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</si>
  <si>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</si>
  <si>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</si>
  <si>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</si>
  <si>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</si>
  <si>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</si>
  <si>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</si>
  <si>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</si>
  <si>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</si>
  <si>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</si>
  <si>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</si>
  <si>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</si>
  <si>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</si>
  <si>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</si>
  <si>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</si>
  <si>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</si>
  <si>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</si>
  <si>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</si>
  <si>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</si>
  <si>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</si>
  <si>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</si>
  <si>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</si>
  <si>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</si>
  <si>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</si>
  <si>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</si>
  <si>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</si>
  <si>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</si>
  <si>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</si>
  <si>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</si>
  <si>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</si>
  <si>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</si>
  <si>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</si>
  <si>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</si>
  <si>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</si>
  <si>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</si>
  <si>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</si>
  <si>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</si>
  <si>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</si>
  <si>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</si>
  <si>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</si>
  <si>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</si>
  <si>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</si>
  <si>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</si>
  <si>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</si>
  <si>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</si>
  <si>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</si>
  <si>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</si>
  <si>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</si>
  <si>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</si>
  <si>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</si>
  <si>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</si>
  <si>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</si>
  <si>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</si>
  <si>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</si>
  <si>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</si>
  <si>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</si>
  <si>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</si>
  <si>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</si>
  <si>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</si>
  <si>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</si>
  <si>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</si>
  <si>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</si>
  <si>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</si>
  <si>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</si>
  <si>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</si>
  <si>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</si>
  <si>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</si>
  <si>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</si>
  <si>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</si>
  <si>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</si>
  <si>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</si>
  <si>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</si>
  <si>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</si>
  <si>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</si>
  <si>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</si>
  <si>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</si>
  <si>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</si>
  <si>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</si>
  <si>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</si>
  <si>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</si>
  <si>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</si>
  <si>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</si>
  <si>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</si>
  <si>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</si>
  <si>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</si>
  <si>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</si>
  <si>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</si>
  <si>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</si>
  <si>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</si>
  <si>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</si>
  <si>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</si>
  <si>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</si>
  <si>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</si>
  <si>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</si>
  <si>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</si>
  <si>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</si>
  <si>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</si>
  <si>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</si>
  <si>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</si>
  <si>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</si>
  <si>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</si>
  <si>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</si>
  <si>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</si>
  <si>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</si>
  <si>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</si>
  <si>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</si>
  <si>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</si>
  <si>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</si>
  <si>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</si>
  <si>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</si>
  <si>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</si>
  <si>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</si>
  <si>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</si>
  <si>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</si>
  <si>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</si>
  <si>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</si>
  <si>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</si>
  <si>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</si>
  <si>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</si>
  <si>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</si>
  <si>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</si>
  <si>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</si>
  <si>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</si>
  <si>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</si>
  <si>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</si>
  <si>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</si>
  <si>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</si>
  <si>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</si>
  <si>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</si>
  <si>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</si>
  <si>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</si>
  <si>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</si>
  <si>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</si>
  <si>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</si>
  <si>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</si>
  <si>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</si>
  <si>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</si>
  <si>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</si>
  <si>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</si>
  <si>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</si>
  <si>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</si>
  <si>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</si>
  <si>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</si>
  <si>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</si>
  <si>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</si>
  <si>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</si>
  <si>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</si>
  <si>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</si>
  <si>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</si>
  <si>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</si>
  <si>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</si>
  <si>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</si>
  <si>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</si>
  <si>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</si>
  <si>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</si>
  <si>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</si>
  <si>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</si>
  <si>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</si>
  <si>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</si>
  <si>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</si>
  <si>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</si>
  <si>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</si>
  <si>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</si>
  <si>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</si>
  <si>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</si>
  <si>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</si>
  <si>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</si>
  <si>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</si>
  <si>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</si>
  <si>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</si>
  <si>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</si>
  <si>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</si>
  <si>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</si>
  <si>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</si>
  <si>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</si>
  <si>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</si>
  <si>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</si>
  <si>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</si>
  <si>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</si>
  <si>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</si>
  <si>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</si>
  <si>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</si>
  <si>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</si>
  <si>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</si>
  <si>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</si>
  <si>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</si>
  <si>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</si>
  <si>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</si>
  <si>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</si>
  <si>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</si>
  <si>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</si>
  <si>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</si>
  <si>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</si>
  <si>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</si>
  <si>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</si>
  <si>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AUTOSERVICIOS</t>
  </si>
  <si>
    <t>CADENAS REGIONALES</t>
  </si>
  <si>
    <t>DISTRIBUIDOR</t>
  </si>
  <si>
    <t>FOOD SERVICE PREMIUM</t>
  </si>
  <si>
    <t>TIENDA ESPECIALIZADA</t>
  </si>
  <si>
    <t>FECHA CORTE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</si>
  <si>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</si>
  <si>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</si>
  <si>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</si>
  <si>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</si>
  <si>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</si>
  <si>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</si>
  <si>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</si>
  <si>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</si>
  <si>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</si>
  <si>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</si>
  <si>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</si>
  <si>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</si>
  <si>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</si>
  <si>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</si>
  <si>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</si>
  <si>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</si>
  <si>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</si>
  <si>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</si>
  <si>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</si>
  <si>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</si>
  <si>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</si>
  <si>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</si>
  <si>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</si>
  <si>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</si>
  <si>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</si>
  <si>
    <t>images/consumo-tostión-media-500gr 1.png</t>
  </si>
  <si>
    <t>sub categoria</t>
  </si>
  <si>
    <t>GRANDES SUPERFICIES</t>
  </si>
  <si>
    <t>Grupo Depurado</t>
  </si>
  <si>
    <t>GERENCIA COMERCIAL</t>
  </si>
  <si>
    <t>Años</t>
  </si>
  <si>
    <t>mes</t>
  </si>
  <si>
    <t>acumulado</t>
  </si>
  <si>
    <t>UTILIDAD NETA FINAL</t>
  </si>
  <si>
    <t>MARGEN NETO FINAL</t>
  </si>
  <si>
    <t>Etiquetas de fila</t>
  </si>
  <si>
    <t>OTROS CLIENTES NACIONALES</t>
  </si>
  <si>
    <t>CAFÉ QUINDÍO S.A.S.</t>
  </si>
  <si>
    <t>FERIAS Y EVENTOS</t>
  </si>
  <si>
    <t>EMPLEADOS</t>
  </si>
  <si>
    <t>EXPORTACIONES</t>
  </si>
  <si>
    <t>Acumulado</t>
  </si>
  <si>
    <t>MARGEN BRUTO FINAL</t>
  </si>
  <si>
    <t>TIPOLOGIA</t>
  </si>
  <si>
    <t>Porcentaje de Lanzamientos Activos</t>
  </si>
  <si>
    <t>ESTADO</t>
  </si>
  <si>
    <t>Lanzamientos Activos</t>
  </si>
  <si>
    <t>Ventas</t>
  </si>
  <si>
    <t>junio</t>
  </si>
  <si>
    <t>Barranquero</t>
  </si>
  <si>
    <t>Profit &amp; Loss</t>
  </si>
  <si>
    <t>COSTO</t>
  </si>
  <si>
    <t>MARGEN</t>
  </si>
  <si>
    <t>Input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</si>
  <si>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</si>
  <si>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</si>
  <si>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</si>
  <si>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</si>
  <si>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</si>
  <si>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</si>
  <si>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</si>
  <si>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</si>
  <si>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</si>
  <si>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</si>
  <si>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</si>
  <si>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</si>
  <si>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ASSUMPTIONS</t>
  </si>
  <si>
    <t>Inflation</t>
  </si>
  <si>
    <t>PROYECCIÓN</t>
  </si>
  <si>
    <t>COGS %</t>
  </si>
  <si>
    <t>Retail (Directa)</t>
  </si>
  <si>
    <t>Amazon Revenues</t>
  </si>
  <si>
    <t>Javed Revenues</t>
  </si>
  <si>
    <t>Distributor</t>
  </si>
  <si>
    <t>TJX</t>
  </si>
  <si>
    <t>REVENUE</t>
  </si>
  <si>
    <t>REVENUES DISTRIBUTION %</t>
  </si>
  <si>
    <t>WHOSALE REVENUES</t>
  </si>
  <si>
    <t>AMAZON REVENUES</t>
  </si>
  <si>
    <t>JAVED REVENUES</t>
  </si>
  <si>
    <t>DISTRIBUTOR</t>
  </si>
  <si>
    <t>RETAIL</t>
  </si>
  <si>
    <t>TOTAL CAPEX</t>
  </si>
  <si>
    <t>Depreciation 1</t>
  </si>
  <si>
    <t>Depreciation 2</t>
  </si>
  <si>
    <t>Depreciation 3</t>
  </si>
  <si>
    <t>Depreciation 4</t>
  </si>
  <si>
    <t>Depreciation 5</t>
  </si>
  <si>
    <t>Depreciation 6</t>
  </si>
  <si>
    <t>Depreciation 7</t>
  </si>
  <si>
    <t>Depreciation 8</t>
  </si>
  <si>
    <t>Depreciation 9</t>
  </si>
  <si>
    <t>Total depreciation</t>
  </si>
  <si>
    <t xml:space="preserve">Initial PPE Net </t>
  </si>
  <si>
    <t>Depreciation</t>
  </si>
  <si>
    <t xml:space="preserve">Final PPE Net </t>
  </si>
  <si>
    <t>interest rate EM%</t>
  </si>
  <si>
    <t>Term (months)</t>
  </si>
  <si>
    <t>Debt</t>
  </si>
  <si>
    <t>Capital amortization</t>
  </si>
  <si>
    <t>INCOME STATEMENT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</si>
  <si>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</si>
  <si>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</si>
  <si>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</si>
  <si>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</si>
  <si>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</si>
  <si>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</si>
  <si>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</si>
  <si>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</si>
  <si>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</si>
  <si>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</si>
  <si>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</si>
  <si>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</si>
  <si>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ABR</t>
  </si>
  <si>
    <t>AGO</t>
  </si>
  <si>
    <t>DIC</t>
  </si>
  <si>
    <t>Revenues</t>
  </si>
  <si>
    <t>Gourmet Ground Coffee 454g/16 oz</t>
  </si>
  <si>
    <t>Gourmet Whole Bean Coffee 454g/16 oz</t>
  </si>
  <si>
    <t>Gourmet Ground Coffee 250g/8.8 oz</t>
  </si>
  <si>
    <t>Cafecitas Coffee Cookies Displays 35g/1.2oz x 8 Pkg</t>
  </si>
  <si>
    <t>Cafe Quindio Chewy Coffee Caramels 240g/8.5oz Bag</t>
  </si>
  <si>
    <t>Traditional Medium Roast Ground Coffee 500g/17.6 oz</t>
  </si>
  <si>
    <t>Gourmet Ground Coffee 340g/12 oz  80 CS x 12 units</t>
  </si>
  <si>
    <t>Traditional Dark Roast Ground Coffee 500g/17.6 oz</t>
  </si>
  <si>
    <t>Gourmet Ground Coffee 340g/12 oz</t>
  </si>
  <si>
    <t>Gourmet Whole Bean Coffee 340g/12 oz</t>
  </si>
  <si>
    <t>Gourmet Whole Bean Coffee 2,500g/88.2 oz</t>
  </si>
  <si>
    <t>Organic Ground Coffee 340g/12 oz</t>
  </si>
  <si>
    <t>Traditional Dark Roast Ground Coffee 250g/8.8 oz</t>
  </si>
  <si>
    <t>Organic Whole Bean Coffee 340g/12 oz</t>
  </si>
  <si>
    <t>Traditional Medium Roast Ground Coffee 250g/8.8 oz</t>
  </si>
  <si>
    <t>Traditional Dark Roast Ground Coffee 340g/12 oz</t>
  </si>
  <si>
    <t>Specialty Genova Ground Coffee 340g/12 oz</t>
  </si>
  <si>
    <t>Traditional Dark Roast Ground Coffee 340g/12 oz  40 CS x 12 units</t>
  </si>
  <si>
    <t>Gourmet Intense Coffee Capsules 5.5g x 25 (137.5g)</t>
  </si>
  <si>
    <t>Cafecitas Coffee Cookies 200g/7 oz</t>
  </si>
  <si>
    <t>Traditional Medium Roast Ground Coffee 250g/8.8 oz  40 CS x 25 units</t>
  </si>
  <si>
    <t>Gourmet Espresso Coffee Capsules 5.5g x 25 (137.5g)</t>
  </si>
  <si>
    <t>Cafecitas Coffee Cookies 100g/3.5 oz</t>
  </si>
  <si>
    <t>Gourmet Ground Coffee 2,500g/88.2 oz</t>
  </si>
  <si>
    <t>Traditional Dark Roast Ground Coffee 250g/8.8 oz  30 CS x 25 units</t>
  </si>
  <si>
    <t>Decaf Ground Coffee 340g/12 oz</t>
  </si>
  <si>
    <t>Merenguitos with Coffee Display 15g/0.53oz x 8 Pkg</t>
  </si>
  <si>
    <t>Organic Coffee Capsules 5.5g x 25 (137.5g)</t>
  </si>
  <si>
    <t>Barranquero Gift Set  (1) Gourmet Coffee 80g, (1) Genova Coffee 80g, (1) Blackberry Coffee Merme...</t>
  </si>
  <si>
    <t>Barranquero Gift Set  (1) Café Gourmet 80g, (1) Café Genova 80g, (1) Mermelada de Café 40g, (1) ...</t>
  </si>
  <si>
    <t>Traditional Dark Roast Ground Coffee 250g/8.8 oz  20 CS x 25 units</t>
  </si>
  <si>
    <t>Gourmet Coffee Capsules 5.5g x 25 (137.5g)</t>
  </si>
  <si>
    <t>Traditional Medium Roast Whole Bean Coffee 2,500g/88.2 oz</t>
  </si>
  <si>
    <t>Cafecitas Coffee Cookies 100g/3.5 oz  40 CS x 16 units</t>
  </si>
  <si>
    <t>Merenguitos with Coffee 50g/1.8 oz</t>
  </si>
  <si>
    <t>Traditional Dark Roast Ground Coffee 340g/12 oz  10 CS x 12 units</t>
  </si>
  <si>
    <t>Farm Coffee with Panela Capsules 5.5g x 10 (55g)</t>
  </si>
  <si>
    <t>Milk Caramel with Coffee 150g/5.3 oz</t>
  </si>
  <si>
    <t>Gourmet Whole Bean Coffee 454g/16 oz  HTS Code: 0901.21.0045 | Country of Origin: COLOMBIA  10 C...</t>
  </si>
  <si>
    <t>Organic Ground Coffee 340g/12 oz  10 CS x 12 units</t>
  </si>
  <si>
    <t>Gourmet Ground Coffee 250g/8.8 oz  7 CS x 24 units</t>
  </si>
  <si>
    <t>Gourmet Coffee Capsules 5.5g x 10 (55g)</t>
  </si>
  <si>
    <t>Gourmet Intense Coffee Capsules 5.5g x 10 (55g)</t>
  </si>
  <si>
    <t>Gourmet Ground Coffee 340g/12 oz  5 CS x 12 units</t>
  </si>
  <si>
    <t>Traditional Medium Roast Ground Coffee 250g/8.8 oz  11 CS x 25 units</t>
  </si>
  <si>
    <t>Gourmet Whole Bean Coffee 2,500g/88.2 oz  1 CS x 5 units | 30 lbs | 20 x 15 x 11 in</t>
  </si>
  <si>
    <t>Gourmet Ground Coffee 340g/12 oz  9 CS x 12 units</t>
  </si>
  <si>
    <t>Genova Coffee Capsules 5.5g x 25 (137.5g)</t>
  </si>
  <si>
    <t>Cafecitas Coffee Cookies Displays 35g/1.2oz x 8 Pkg  10 CS x 20 units</t>
  </si>
  <si>
    <t>Cafe Quindio Teal Blue Toucan Apron 2023</t>
  </si>
  <si>
    <t>Decaf Coffee Capsules 5.5g x 10 (55g)</t>
  </si>
  <si>
    <t>Cafecitas Coffee Cookies No Sugar Added with Chia Seeds 100g/3.5 oz</t>
  </si>
  <si>
    <t>Genova Coffee Capsules 5.5g x 10 (55g)</t>
  </si>
  <si>
    <t>Barranquero Gift Set  (1) Gourmet Coffee 80g USD  $1.91  HTS Code: 0901.21.0045 | Country of Ori...</t>
  </si>
  <si>
    <t>Decaf Ground Coffee 340g/12 oz  2 CS x 12 units</t>
  </si>
  <si>
    <t>Decaf Ground Coffee 340g/12 oz  1 CS x 12 units | 10.4 lbs (166 oz) | 16 x 11 x 10 inches  Track...</t>
  </si>
  <si>
    <t>Gourmet Whole Bean Coffee 340g/12 oz  2 CS x 12 units</t>
  </si>
  <si>
    <t>Bourbon Sidra Specialty Harvest Whole Bean Coffee 250g/8.8 oz</t>
  </si>
  <si>
    <t>Cafecitas Coffee Cookies 200g/7 oz  2 CS x 24 units | 13.9 Lbs (222.4 oz)| 21 x 15 x 9 in  Track...</t>
  </si>
  <si>
    <t>Gourmet Ground Coffee 250g/8.8 oz  1 CS x 24 units | 15.1 lbs (242 oz) | 16 x 11 x 10 inches</t>
  </si>
  <si>
    <t xml:space="preserve">Other raw material </t>
  </si>
  <si>
    <t>Discounts on sales</t>
  </si>
  <si>
    <t xml:space="preserve">Cost of Goods Sold </t>
  </si>
  <si>
    <t xml:space="preserve">Other fulfillment and warehouse </t>
  </si>
  <si>
    <t>Custom Duties &amp; Fees</t>
  </si>
  <si>
    <t>Entry Process</t>
  </si>
  <si>
    <t>Other COGS</t>
  </si>
  <si>
    <t>INTERNATIONAL FREIGHT</t>
  </si>
  <si>
    <t>INTERNATIONAL INSURANCE</t>
  </si>
  <si>
    <t>LOGISTICS FEES</t>
  </si>
  <si>
    <t>Other freight cost</t>
  </si>
  <si>
    <t>Gross Profit</t>
  </si>
  <si>
    <t>Gross Margin</t>
  </si>
  <si>
    <t>Selling General &amp; Administrative</t>
  </si>
  <si>
    <t>Advertising and Promotion - Other</t>
  </si>
  <si>
    <t>Event Supplies</t>
  </si>
  <si>
    <t>Marketing Expense</t>
  </si>
  <si>
    <t>Printing and Reproduction</t>
  </si>
  <si>
    <t>Amazon marketing</t>
  </si>
  <si>
    <t>Autos and Trucks</t>
  </si>
  <si>
    <t>Gas Expense</t>
  </si>
  <si>
    <t>Maintenance</t>
  </si>
  <si>
    <t>Parking and Toll Expense</t>
  </si>
  <si>
    <t>Merchant account fees</t>
  </si>
  <si>
    <t>NA</t>
  </si>
  <si>
    <t>Bank charges</t>
  </si>
  <si>
    <t>Equipment maintenance</t>
  </si>
  <si>
    <t>Auto insurance</t>
  </si>
  <si>
    <t>Liability Insurance</t>
  </si>
  <si>
    <t>Licenses and permits expense</t>
  </si>
  <si>
    <t>Meals and entertainment</t>
  </si>
  <si>
    <t>Office supplies</t>
  </si>
  <si>
    <t>Payroll expenses</t>
  </si>
  <si>
    <t>Payroll expenses Accounting</t>
  </si>
  <si>
    <t>Payroll expenses Administrative</t>
  </si>
  <si>
    <t>Payroll expenses sales &amp; consulting</t>
  </si>
  <si>
    <t>Sales commission</t>
  </si>
  <si>
    <t>Rent Cube# 1068 - 10x25x8</t>
  </si>
  <si>
    <t>Rent Cube# 1078 10x30x8</t>
  </si>
  <si>
    <t>Rent other</t>
  </si>
  <si>
    <t>Shipping &amp; Freight Expense</t>
  </si>
  <si>
    <t>Tax Expense</t>
  </si>
  <si>
    <t>Telephone Expense</t>
  </si>
  <si>
    <t>Travel Expense</t>
  </si>
  <si>
    <t>Javed fixed expense</t>
  </si>
  <si>
    <t>Javed variable fee</t>
  </si>
  <si>
    <t>Comercial assistant</t>
  </si>
  <si>
    <t xml:space="preserve">Storage assistant </t>
  </si>
  <si>
    <t>FBA Inventory and inbound services fees</t>
  </si>
  <si>
    <t>FBA Selling Fees</t>
  </si>
  <si>
    <t>FBA Selling sales</t>
  </si>
  <si>
    <t>FBA Transaction fee</t>
  </si>
  <si>
    <t>FBA Transaction fees</t>
  </si>
  <si>
    <t>OTHER INCOME OR LOSS</t>
  </si>
  <si>
    <t>EBITDA</t>
  </si>
  <si>
    <t>EBITDA Margin</t>
  </si>
  <si>
    <t>Amortization</t>
  </si>
  <si>
    <t>EBIT</t>
  </si>
  <si>
    <t>Interest expense</t>
  </si>
  <si>
    <t xml:space="preserve">Interest expense new debt </t>
  </si>
  <si>
    <t>Income before taxes</t>
  </si>
  <si>
    <t>Income Margin %</t>
  </si>
  <si>
    <t>Other income or loss</t>
  </si>
  <si>
    <t>Taxes</t>
  </si>
  <si>
    <t>Net income</t>
  </si>
  <si>
    <t>CAJA (USD)</t>
  </si>
  <si>
    <t>PAGO A CAFÉ QUINDIO SAS</t>
  </si>
  <si>
    <t>BALANCE SHEET</t>
  </si>
  <si>
    <t>Current Assets</t>
  </si>
  <si>
    <t>Cash Equivalents</t>
  </si>
  <si>
    <t xml:space="preserve">Accounts Receivable </t>
  </si>
  <si>
    <t>Inventories Raw material</t>
  </si>
  <si>
    <t>Loan Café Quindio SAS</t>
  </si>
  <si>
    <t>Deferred tax</t>
  </si>
  <si>
    <t>Other current assets</t>
  </si>
  <si>
    <t>Noncurrent Assets</t>
  </si>
  <si>
    <t>Property, plant &amp; equipment GROSS</t>
  </si>
  <si>
    <t>Property, plant &amp; equipment NET</t>
  </si>
  <si>
    <t>Accumulated depreciation</t>
  </si>
  <si>
    <t>Total Assets</t>
  </si>
  <si>
    <t>Payables Café Quindío SAS</t>
  </si>
  <si>
    <t>Payables other</t>
  </si>
  <si>
    <t>Short term debt</t>
  </si>
  <si>
    <t>Other current liabilites</t>
  </si>
  <si>
    <t>Current Liabilities</t>
  </si>
  <si>
    <t>Long term Debt</t>
  </si>
  <si>
    <t>Noncurrent Liabilities</t>
  </si>
  <si>
    <t>Total Liabilities</t>
  </si>
  <si>
    <t>Capital</t>
  </si>
  <si>
    <t xml:space="preserve">Capital stock </t>
  </si>
  <si>
    <t>Aditional capitalization</t>
  </si>
  <si>
    <t>Net Income</t>
  </si>
  <si>
    <t>Retained Earnings</t>
  </si>
  <si>
    <t>Total Equity</t>
  </si>
  <si>
    <t>check</t>
  </si>
  <si>
    <t>Cash Flow</t>
  </si>
  <si>
    <t>(+)</t>
  </si>
  <si>
    <t>(-)</t>
  </si>
  <si>
    <t>Change in receivables</t>
  </si>
  <si>
    <t>Change in inventories</t>
  </si>
  <si>
    <t>Change in payables Café Quindío SAS</t>
  </si>
  <si>
    <t>Change in payables</t>
  </si>
  <si>
    <t>Change in other current assets</t>
  </si>
  <si>
    <t>Change in other current liabilities</t>
  </si>
  <si>
    <t>(=)</t>
  </si>
  <si>
    <t>Cash from operating activities</t>
  </si>
  <si>
    <t>CAPEX</t>
  </si>
  <si>
    <t>Cash from investing activities</t>
  </si>
  <si>
    <t>New debt</t>
  </si>
  <si>
    <t>Debt amortization</t>
  </si>
  <si>
    <t>Aporte CAFÉ QUINDÍO SAS</t>
  </si>
  <si>
    <t>Aporte VALLECHE INVESTMENTS LLC</t>
  </si>
  <si>
    <t>Aporte GROUND &amp; WHOLE BEAN LLC</t>
  </si>
  <si>
    <t>Dividends</t>
  </si>
  <si>
    <t>Cash from financing activities</t>
  </si>
  <si>
    <t>Cash flow for the period</t>
  </si>
  <si>
    <t xml:space="preserve">Initial cash flow </t>
  </si>
  <si>
    <t>Final cash flow</t>
  </si>
  <si>
    <t>COMPRAS A CQ SAS</t>
  </si>
  <si>
    <t>COSTO LOGÍSTICO</t>
  </si>
  <si>
    <t>SUBTOTAL</t>
  </si>
  <si>
    <t>PAGOS CQ</t>
  </si>
  <si>
    <t>Net Margin %  PROYECTADO</t>
  </si>
  <si>
    <t>Net Margin %  REAL</t>
  </si>
  <si>
    <t>ENERO</t>
  </si>
  <si>
    <t xml:space="preserve">FEBRERO </t>
  </si>
  <si>
    <t>MARZO</t>
  </si>
  <si>
    <t>ABRIL</t>
  </si>
  <si>
    <t xml:space="preserve">INGRESO PROYECTADO </t>
  </si>
  <si>
    <t>UTILIDAD</t>
  </si>
  <si>
    <t xml:space="preserve">MARGEN NETO </t>
  </si>
  <si>
    <t>CALCULO</t>
  </si>
  <si>
    <t>MARGEN NETO PROYECTADO</t>
  </si>
  <si>
    <t>MARGEN NETO REAL</t>
  </si>
  <si>
    <t>TOTAL</t>
  </si>
  <si>
    <t xml:space="preserve">PORTAFOLIO </t>
  </si>
  <si>
    <t>diferencia %</t>
  </si>
  <si>
    <t>diferencia $</t>
  </si>
  <si>
    <t>P% COMERCIAL</t>
  </si>
  <si>
    <t>5/06/2025</t>
  </si>
  <si>
    <t>TIENDAS Y RESTAURANTE</t>
  </si>
  <si>
    <t>CAFE QUINDIO EXPRESS ARKADIA</t>
  </si>
  <si>
    <t>CAFE QUINDIO EXPRESS BUENAVISTA 2</t>
  </si>
  <si>
    <t>CAFE QUINDIO EXPRESS CARIBE</t>
  </si>
  <si>
    <t>CAFE QUINDIO EXPRESS CC PACIFIC MALL</t>
  </si>
  <si>
    <t>CAFE QUINDIO EXPRESS CC SANTAFE BOGOTA</t>
  </si>
  <si>
    <t>CAFE QUINDIO EXPRESS CERRITOS DE MAR</t>
  </si>
  <si>
    <t>CAFE QUINDIO EXPRESS FLORIDA GARDEN</t>
  </si>
  <si>
    <t>CAFE QUINDIO EXPRESS GRANADA CALI</t>
  </si>
  <si>
    <t>CAFE QUINDIO EXPRESS ILATINA</t>
  </si>
  <si>
    <t>CAFE QUINDIO EXPRESS IMPERIAL BOGOTA</t>
  </si>
  <si>
    <t>CAFE QUINDIO EXPRESS SANTAFE MED</t>
  </si>
  <si>
    <t>CAFE QUINDIO EXPRESS TAMBO EL PRIVILEGIO</t>
  </si>
  <si>
    <t>CAFE QUINDIO EXPRESS TAMBO LA MANUELA</t>
  </si>
  <si>
    <t>CAFE QUINDIO EXPRESS TITAN PLAZA</t>
  </si>
  <si>
    <t>CAFE QUINDIO EXPRESS VIA LA PRIMAVERA</t>
  </si>
  <si>
    <t>GERENCIA DE EXPANSION</t>
  </si>
  <si>
    <t>GERENCIA DE TIENDAS</t>
  </si>
  <si>
    <t>1 ACUMULADO GENERAL</t>
  </si>
  <si>
    <t>2 .Valores  absolutos monetario</t>
  </si>
  <si>
    <t>ACUMULADO TIENDAS MARGEN NETO 3 PUNTOS</t>
  </si>
  <si>
    <t>3 POR PORCENTAJE</t>
  </si>
  <si>
    <t>INFERIORES VALOR ABSOLUTO</t>
  </si>
  <si>
    <t>INFERIORES PORCENTAJE</t>
  </si>
  <si>
    <t>INFERIORES</t>
  </si>
  <si>
    <t>SUPERIORES</t>
  </si>
  <si>
    <t xml:space="preserve">OTROS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</si>
</sst>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  <numFmt numFmtId="169" formatCode="_-* #,##0_-;\-* #,##0_-;_-* &quot;-&quot;??_-;_-@_-"/>
    <numFmt numFmtId="170" formatCode="_-* #,##0.00000_-;\-* #,##0.00000_-;_-* &quot;-&quot;??_-;_-@_-"/>
    <numFmt numFmtId="171" formatCode="_-* #,##0.0_-;\-* #,##0.0_-;_-* &quot;-&quot;??_-;_-@_-"/>
    <numFmt numFmtId="172" formatCode="0.000000%"/>
    <numFmt numFmtId="173" formatCode="0.000%"/>
    <numFmt numFmtId="174" formatCode="_-* #,##0.0000_-;\-* #,##0.0000_-;_-* &quot;-&quot;??_-;_-@_-"/>
    <numFmt numFmtId="175" formatCode="_-* #,##0.000_-;\-* #,##0.000_-;_-* &quot;-&quot;??_-;_-@_-"/>
    <numFmt numFmtId="176" formatCode="0.000"/>
    <numFmt numFmtId="177" formatCode="0.0000%"/>
  </numFmts>
  <fonts count="4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22"/>
      <color theme="1"/>
      <name val="Neutra Text"/>
      <family val="3"/>
    </font>
    <font>
      <sz val="12"/>
      <color theme="1"/>
      <name val="Segoe UI"/>
      <family val="2"/>
    </font>
    <font>
      <sz val="11"/>
      <color theme="0"/>
      <name val="Segoe UI"/>
      <family val="2"/>
    </font>
    <font>
      <sz val="11"/>
      <color rgb="FF0000FF"/>
      <name val="Segoe UI"/>
      <family val="2"/>
    </font>
    <font>
      <b/>
      <sz val="11"/>
      <color theme="1"/>
      <name val="Segoe UI"/>
      <family val="2"/>
    </font>
    <font>
      <sz val="11"/>
      <name val="Segoe UI"/>
      <family val="2"/>
    </font>
    <font>
      <i/>
      <sz val="11"/>
      <color theme="1"/>
      <name val="Segoe UI"/>
      <family val="2"/>
    </font>
    <font>
      <b/>
      <i/>
      <sz val="11"/>
      <color theme="1"/>
      <name val="Segoe UI"/>
      <family val="2"/>
    </font>
    <font>
      <b/>
      <sz val="11"/>
      <color rgb="FF0000FF"/>
      <name val="Segoe U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sz val="11"/>
      <color rgb="FFC0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theme="1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thin">
        <color theme="1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thin">
        <color theme="1"/>
      </bottom>
      <diagonal/>
    </border>
    <border>
      <left/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/>
      <top/>
      <bottom/>
      <diagonal/>
    </border>
  </borders>
  <cellStyleXfs count="49">
    <xf numFmtId="0" fontId="0" fillId="0" borderId="0"/>
    <xf numFmtId="0" fontId="12" fillId="0" borderId="0" applyNumberFormat="0" applyFill="0" applyBorder="0" applyAlignment="0" applyProtection="0"/>
    <xf numFmtId="0" fontId="13" fillId="0" borderId="1" applyNumberFormat="0" applyFill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16" fillId="2" borderId="0" applyNumberFormat="0" applyBorder="0" applyAlignment="0" applyProtection="0"/>
    <xf numFmtId="0" fontId="17" fillId="3" borderId="0" applyNumberFormat="0" applyBorder="0" applyAlignment="0" applyProtection="0"/>
    <xf numFmtId="0" fontId="18" fillId="4" borderId="0" applyNumberFormat="0" applyBorder="0" applyAlignment="0" applyProtection="0"/>
    <xf numFmtId="0" fontId="19" fillId="5" borderId="4" applyNumberFormat="0" applyAlignment="0" applyProtection="0"/>
    <xf numFmtId="0" fontId="20" fillId="6" borderId="5" applyNumberFormat="0" applyAlignment="0" applyProtection="0"/>
    <xf numFmtId="0" fontId="21" fillId="6" borderId="4" applyNumberFormat="0" applyAlignment="0" applyProtection="0"/>
    <xf numFmtId="0" fontId="22" fillId="0" borderId="6" applyNumberFormat="0" applyFill="0" applyAlignment="0" applyProtection="0"/>
    <xf numFmtId="0" fontId="23" fillId="7" borderId="7" applyNumberFormat="0" applyAlignment="0" applyProtection="0"/>
    <xf numFmtId="0" fontId="24" fillId="0" borderId="0" applyNumberFormat="0" applyFill="0" applyBorder="0" applyAlignment="0" applyProtection="0"/>
    <xf numFmtId="0" fontId="11" fillId="8" borderId="8" applyNumberFormat="0" applyFont="0" applyAlignment="0" applyProtection="0"/>
    <xf numFmtId="0" fontId="25" fillId="0" borderId="0" applyNumberFormat="0" applyFill="0" applyBorder="0" applyAlignment="0" applyProtection="0"/>
    <xf numFmtId="0" fontId="26" fillId="0" borderId="9" applyNumberFormat="0" applyFill="0" applyAlignment="0" applyProtection="0"/>
    <xf numFmtId="0" fontId="27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27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27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27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27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27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0" fillId="0" borderId="0"/>
    <xf numFmtId="9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0" fontId="8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371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23" fillId="33" borderId="10" xfId="0" applyFont="1" applyFill="1" applyBorder="1"/>
    <xf numFmtId="10" fontId="0" fillId="0" borderId="0" xfId="0" applyNumberFormat="1"/>
    <xf numFmtId="0" fontId="10" fillId="0" borderId="0" xfId="0" applyFont="1"/>
    <xf numFmtId="0" fontId="23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28" fillId="0" borderId="0" xfId="0" applyFont="1"/>
    <xf numFmtId="0" fontId="29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23" fillId="33" borderId="11" xfId="0" applyFont="1" applyFill="1" applyBorder="1"/>
    <xf numFmtId="164" fontId="23" fillId="33" borderId="10" xfId="0" applyNumberFormat="1" applyFont="1" applyFill="1" applyBorder="1"/>
    <xf numFmtId="165" fontId="23" fillId="33" borderId="17" xfId="0" applyNumberFormat="1" applyFont="1" applyFill="1" applyBorder="1"/>
    <xf numFmtId="9" fontId="23" fillId="33" borderId="13" xfId="0" applyNumberFormat="1" applyFont="1" applyFill="1" applyBorder="1"/>
    <xf numFmtId="0" fontId="30" fillId="0" borderId="14" xfId="0" applyFont="1" applyBorder="1"/>
    <xf numFmtId="0" fontId="30" fillId="0" borderId="15" xfId="0" applyFont="1" applyBorder="1"/>
    <xf numFmtId="164" fontId="30" fillId="0" borderId="14" xfId="0" applyNumberFormat="1" applyFont="1" applyBorder="1"/>
    <xf numFmtId="165" fontId="30" fillId="0" borderId="18" xfId="0" applyNumberFormat="1" applyFont="1" applyBorder="1"/>
    <xf numFmtId="9" fontId="30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26" fillId="34" borderId="10" xfId="0" applyFont="1" applyFill="1" applyBorder="1"/>
    <xf numFmtId="0" fontId="26" fillId="34" borderId="11" xfId="0" applyFont="1" applyFill="1" applyBorder="1"/>
    <xf numFmtId="165" fontId="26" fillId="34" borderId="10" xfId="0" applyNumberFormat="1" applyFont="1" applyFill="1" applyBorder="1"/>
    <xf numFmtId="3" fontId="26" fillId="34" borderId="17" xfId="0" applyNumberFormat="1" applyFont="1" applyFill="1" applyBorder="1"/>
    <xf numFmtId="3" fontId="26" fillId="34" borderId="24" xfId="0" applyNumberFormat="1" applyFont="1" applyFill="1" applyBorder="1"/>
    <xf numFmtId="164" fontId="26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9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9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9" fontId="0" fillId="0" borderId="16" xfId="0" applyNumberFormat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  <xf numFmtId="0" fontId="8" fillId="0" borderId="0" xfId="45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7" fillId="0" borderId="0" xfId="45" applyFont="1"/>
    <xf numFmtId="10" fontId="0" fillId="0" borderId="0" xfId="43" applyNumberFormat="1" applyFont="1"/>
    <xf numFmtId="44" fontId="8" fillId="0" borderId="0" xfId="44" applyFont="1"/>
    <xf numFmtId="9" fontId="8" fillId="0" borderId="0" xfId="43" applyFont="1"/>
    <xf numFmtId="3" fontId="0" fillId="0" borderId="16" xfId="0" applyNumberFormat="1" applyBorder="1"/>
    <xf numFmtId="10" fontId="0" fillId="0" borderId="14" xfId="0" applyNumberFormat="1" applyBorder="1"/>
    <xf numFmtId="44" fontId="32" fillId="0" borderId="27" xfId="44" applyFont="1" applyBorder="1"/>
    <xf numFmtId="0" fontId="34" fillId="0" borderId="0" xfId="46" applyFont="1"/>
    <xf numFmtId="169" fontId="34" fillId="0" borderId="0" xfId="47" applyNumberFormat="1" applyFont="1"/>
    <xf numFmtId="0" fontId="34" fillId="0" borderId="0" xfId="46" applyFont="1" applyAlignment="1">
      <alignment horizontal="center"/>
    </xf>
    <xf numFmtId="169" fontId="34" fillId="0" borderId="0" xfId="47" applyNumberFormat="1" applyFont="1" applyFill="1"/>
    <xf numFmtId="169" fontId="34" fillId="0" borderId="0" xfId="46" applyNumberFormat="1" applyFont="1"/>
    <xf numFmtId="169" fontId="35" fillId="0" borderId="0" xfId="46" applyNumberFormat="1" applyFont="1"/>
    <xf numFmtId="0" fontId="6" fillId="0" borderId="0" xfId="46"/>
    <xf numFmtId="0" fontId="36" fillId="37" borderId="0" xfId="46" applyFont="1" applyFill="1" applyAlignment="1">
      <alignment horizontal="center"/>
    </xf>
    <xf numFmtId="0" fontId="36" fillId="37" borderId="0" xfId="47" applyNumberFormat="1" applyFont="1" applyFill="1" applyAlignment="1">
      <alignment horizontal="centerContinuous" vertical="center"/>
    </xf>
    <xf numFmtId="43" fontId="36" fillId="37" borderId="0" xfId="47" applyFont="1" applyFill="1" applyAlignment="1">
      <alignment horizontal="center" vertical="center"/>
    </xf>
    <xf numFmtId="0" fontId="37" fillId="0" borderId="0" xfId="46" applyFont="1" applyAlignment="1">
      <alignment horizontal="center"/>
    </xf>
    <xf numFmtId="169" fontId="34" fillId="0" borderId="0" xfId="46" applyNumberFormat="1" applyFont="1" applyAlignment="1">
      <alignment horizontal="center"/>
    </xf>
    <xf numFmtId="0" fontId="36" fillId="37" borderId="28" xfId="46" applyFont="1" applyFill="1" applyBorder="1" applyAlignment="1">
      <alignment horizontal="center"/>
    </xf>
    <xf numFmtId="0" fontId="36" fillId="38" borderId="28" xfId="46" applyFont="1" applyFill="1" applyBorder="1" applyAlignment="1">
      <alignment horizontal="center"/>
    </xf>
    <xf numFmtId="0" fontId="34" fillId="0" borderId="0" xfId="46" applyFont="1" applyAlignment="1">
      <alignment horizontal="right"/>
    </xf>
    <xf numFmtId="0" fontId="34" fillId="39" borderId="0" xfId="46" applyFont="1" applyFill="1" applyAlignment="1">
      <alignment horizontal="center"/>
    </xf>
    <xf numFmtId="9" fontId="34" fillId="0" borderId="0" xfId="48" applyFont="1" applyAlignment="1">
      <alignment horizontal="center"/>
    </xf>
    <xf numFmtId="0" fontId="34" fillId="40" borderId="0" xfId="46" applyFont="1" applyFill="1"/>
    <xf numFmtId="0" fontId="34" fillId="0" borderId="0" xfId="46" applyFont="1" applyAlignment="1">
      <alignment horizontal="left"/>
    </xf>
    <xf numFmtId="166" fontId="34" fillId="0" borderId="0" xfId="48" applyNumberFormat="1" applyFont="1"/>
    <xf numFmtId="9" fontId="34" fillId="0" borderId="0" xfId="48" applyFont="1"/>
    <xf numFmtId="166" fontId="34" fillId="0" borderId="0" xfId="46" applyNumberFormat="1" applyFont="1"/>
    <xf numFmtId="9" fontId="34" fillId="0" borderId="0" xfId="46" applyNumberFormat="1" applyFont="1"/>
    <xf numFmtId="169" fontId="34" fillId="0" borderId="0" xfId="47" applyNumberFormat="1" applyFont="1" applyBorder="1" applyAlignment="1">
      <alignment horizontal="right"/>
    </xf>
    <xf numFmtId="169" fontId="38" fillId="0" borderId="0" xfId="47" applyNumberFormat="1" applyFont="1" applyBorder="1" applyAlignment="1">
      <alignment horizontal="right"/>
    </xf>
    <xf numFmtId="166" fontId="38" fillId="0" borderId="0" xfId="48" applyNumberFormat="1" applyFont="1" applyBorder="1" applyAlignment="1">
      <alignment horizontal="right"/>
    </xf>
    <xf numFmtId="0" fontId="34" fillId="40" borderId="0" xfId="46" applyFont="1" applyFill="1" applyAlignment="1">
      <alignment horizontal="center"/>
    </xf>
    <xf numFmtId="0" fontId="39" fillId="39" borderId="0" xfId="46" applyFont="1" applyFill="1"/>
    <xf numFmtId="10" fontId="34" fillId="0" borderId="0" xfId="48" applyNumberFormat="1" applyFont="1" applyBorder="1" applyAlignment="1">
      <alignment horizontal="right"/>
    </xf>
    <xf numFmtId="166" fontId="34" fillId="0" borderId="0" xfId="48" applyNumberFormat="1" applyFont="1" applyBorder="1" applyAlignment="1">
      <alignment horizontal="right"/>
    </xf>
    <xf numFmtId="169" fontId="34" fillId="0" borderId="0" xfId="47" applyNumberFormat="1" applyFont="1" applyBorder="1"/>
    <xf numFmtId="166" fontId="37" fillId="0" borderId="0" xfId="48" applyNumberFormat="1" applyFont="1" applyFill="1"/>
    <xf numFmtId="166" fontId="34" fillId="0" borderId="0" xfId="48" applyNumberFormat="1" applyFont="1" applyBorder="1"/>
    <xf numFmtId="0" fontId="34" fillId="0" borderId="29" xfId="46" applyFont="1" applyBorder="1"/>
    <xf numFmtId="9" fontId="34" fillId="0" borderId="30" xfId="46" applyNumberFormat="1" applyFont="1" applyBorder="1" applyAlignment="1">
      <alignment horizontal="center"/>
    </xf>
    <xf numFmtId="169" fontId="34" fillId="0" borderId="30" xfId="47" applyNumberFormat="1" applyFont="1" applyBorder="1" applyAlignment="1">
      <alignment horizontal="right"/>
    </xf>
    <xf numFmtId="169" fontId="34" fillId="0" borderId="30" xfId="47" applyNumberFormat="1" applyFont="1" applyBorder="1" applyAlignment="1">
      <alignment horizontal="center"/>
    </xf>
    <xf numFmtId="169" fontId="34" fillId="0" borderId="30" xfId="47" applyNumberFormat="1" applyFont="1" applyFill="1" applyBorder="1" applyAlignment="1">
      <alignment horizontal="center" wrapText="1"/>
    </xf>
    <xf numFmtId="169" fontId="34" fillId="0" borderId="31" xfId="47" applyNumberFormat="1" applyFont="1" applyFill="1" applyBorder="1" applyAlignment="1">
      <alignment horizontal="center" wrapText="1"/>
    </xf>
    <xf numFmtId="9" fontId="34" fillId="0" borderId="0" xfId="46" applyNumberFormat="1" applyFont="1" applyAlignment="1">
      <alignment horizontal="center"/>
    </xf>
    <xf numFmtId="0" fontId="34" fillId="0" borderId="32" xfId="46" applyFont="1" applyBorder="1"/>
    <xf numFmtId="9" fontId="34" fillId="0" borderId="33" xfId="46" applyNumberFormat="1" applyFont="1" applyBorder="1" applyAlignment="1">
      <alignment horizontal="center"/>
    </xf>
    <xf numFmtId="169" fontId="34" fillId="0" borderId="33" xfId="47" applyNumberFormat="1" applyFont="1" applyBorder="1" applyAlignment="1">
      <alignment horizontal="right"/>
    </xf>
    <xf numFmtId="169" fontId="34" fillId="0" borderId="33" xfId="47" applyNumberFormat="1" applyFont="1" applyFill="1" applyBorder="1" applyAlignment="1">
      <alignment horizontal="right" wrapText="1"/>
    </xf>
    <xf numFmtId="169" fontId="34" fillId="0" borderId="33" xfId="47" applyNumberFormat="1" applyFont="1" applyFill="1" applyBorder="1" applyAlignment="1">
      <alignment horizontal="center" wrapText="1"/>
    </xf>
    <xf numFmtId="169" fontId="34" fillId="0" borderId="34" xfId="47" applyNumberFormat="1" applyFont="1" applyFill="1" applyBorder="1" applyAlignment="1">
      <alignment horizontal="center" wrapText="1"/>
    </xf>
    <xf numFmtId="0" fontId="34" fillId="0" borderId="33" xfId="46" applyFont="1" applyBorder="1" applyAlignment="1">
      <alignment horizontal="center"/>
    </xf>
    <xf numFmtId="169" fontId="34" fillId="0" borderId="33" xfId="47" applyNumberFormat="1" applyFont="1" applyFill="1" applyBorder="1" applyAlignment="1">
      <alignment horizontal="right"/>
    </xf>
    <xf numFmtId="169" fontId="40" fillId="0" borderId="33" xfId="47" applyNumberFormat="1" applyFont="1" applyBorder="1" applyAlignment="1">
      <alignment horizontal="center"/>
    </xf>
    <xf numFmtId="169" fontId="40" fillId="0" borderId="33" xfId="47" applyNumberFormat="1" applyFont="1" applyBorder="1" applyAlignment="1">
      <alignment horizontal="right"/>
    </xf>
    <xf numFmtId="0" fontId="34" fillId="0" borderId="35" xfId="46" applyFont="1" applyBorder="1"/>
    <xf numFmtId="9" fontId="34" fillId="0" borderId="36" xfId="46" applyNumberFormat="1" applyFont="1" applyBorder="1" applyAlignment="1">
      <alignment horizontal="center"/>
    </xf>
    <xf numFmtId="169" fontId="34" fillId="0" borderId="36" xfId="47" applyNumberFormat="1" applyFont="1" applyBorder="1" applyAlignment="1">
      <alignment horizontal="right"/>
    </xf>
    <xf numFmtId="169" fontId="40" fillId="0" borderId="36" xfId="47" applyNumberFormat="1" applyFont="1" applyBorder="1" applyAlignment="1">
      <alignment horizontal="right"/>
    </xf>
    <xf numFmtId="169" fontId="40" fillId="0" borderId="36" xfId="47" applyNumberFormat="1" applyFont="1" applyBorder="1" applyAlignment="1">
      <alignment horizontal="center"/>
    </xf>
    <xf numFmtId="169" fontId="34" fillId="0" borderId="36" xfId="47" applyNumberFormat="1" applyFont="1" applyFill="1" applyBorder="1" applyAlignment="1">
      <alignment horizontal="center" wrapText="1"/>
    </xf>
    <xf numFmtId="169" fontId="34" fillId="0" borderId="37" xfId="47" applyNumberFormat="1" applyFont="1" applyFill="1" applyBorder="1" applyAlignment="1">
      <alignment horizontal="center" wrapText="1"/>
    </xf>
    <xf numFmtId="169" fontId="41" fillId="0" borderId="0" xfId="46" applyNumberFormat="1" applyFont="1"/>
    <xf numFmtId="0" fontId="42" fillId="0" borderId="38" xfId="46" applyFont="1" applyBorder="1"/>
    <xf numFmtId="0" fontId="42" fillId="0" borderId="38" xfId="46" applyFont="1" applyBorder="1" applyAlignment="1">
      <alignment horizontal="center"/>
    </xf>
    <xf numFmtId="169" fontId="42" fillId="0" borderId="38" xfId="47" applyNumberFormat="1" applyFont="1" applyBorder="1" applyAlignment="1">
      <alignment horizontal="right"/>
    </xf>
    <xf numFmtId="169" fontId="42" fillId="0" borderId="38" xfId="47" applyNumberFormat="1" applyFont="1" applyFill="1" applyBorder="1" applyAlignment="1">
      <alignment horizontal="right"/>
    </xf>
    <xf numFmtId="169" fontId="42" fillId="0" borderId="0" xfId="47" applyNumberFormat="1" applyFont="1" applyBorder="1" applyAlignment="1">
      <alignment horizontal="right"/>
    </xf>
    <xf numFmtId="9" fontId="42" fillId="0" borderId="0" xfId="48" applyFont="1" applyBorder="1" applyAlignment="1">
      <alignment horizontal="center"/>
    </xf>
    <xf numFmtId="0" fontId="41" fillId="0" borderId="0" xfId="46" applyFont="1"/>
    <xf numFmtId="43" fontId="34" fillId="0" borderId="0" xfId="47" applyFont="1" applyBorder="1" applyAlignment="1">
      <alignment horizontal="right"/>
    </xf>
    <xf numFmtId="9" fontId="34" fillId="0" borderId="0" xfId="48" applyFont="1" applyBorder="1" applyAlignment="1">
      <alignment horizontal="right"/>
    </xf>
    <xf numFmtId="10" fontId="34" fillId="0" borderId="0" xfId="48" applyNumberFormat="1" applyFont="1" applyBorder="1"/>
    <xf numFmtId="10" fontId="34" fillId="0" borderId="0" xfId="46" applyNumberFormat="1" applyFont="1" applyAlignment="1">
      <alignment horizontal="center"/>
    </xf>
    <xf numFmtId="0" fontId="39" fillId="0" borderId="0" xfId="46" applyFont="1" applyAlignment="1">
      <alignment horizontal="center"/>
    </xf>
    <xf numFmtId="170" fontId="34" fillId="0" borderId="0" xfId="46" applyNumberFormat="1" applyFont="1"/>
    <xf numFmtId="166" fontId="34" fillId="0" borderId="0" xfId="48" applyNumberFormat="1" applyFont="1" applyFill="1" applyBorder="1"/>
    <xf numFmtId="166" fontId="38" fillId="0" borderId="0" xfId="46" applyNumberFormat="1" applyFont="1" applyAlignment="1">
      <alignment horizontal="center"/>
    </xf>
    <xf numFmtId="171" fontId="34" fillId="0" borderId="0" xfId="47" applyNumberFormat="1" applyFont="1" applyFill="1" applyBorder="1"/>
    <xf numFmtId="169" fontId="34" fillId="0" borderId="0" xfId="47" applyNumberFormat="1" applyFont="1" applyFill="1" applyBorder="1"/>
    <xf numFmtId="166" fontId="39" fillId="39" borderId="0" xfId="46" applyNumberFormat="1" applyFont="1" applyFill="1" applyAlignment="1">
      <alignment horizontal="center"/>
    </xf>
    <xf numFmtId="171" fontId="39" fillId="39" borderId="0" xfId="47" applyNumberFormat="1" applyFont="1" applyFill="1" applyBorder="1"/>
    <xf numFmtId="169" fontId="39" fillId="39" borderId="0" xfId="47" applyNumberFormat="1" applyFont="1" applyFill="1" applyBorder="1"/>
    <xf numFmtId="9" fontId="34" fillId="0" borderId="0" xfId="48" applyFont="1" applyBorder="1"/>
    <xf numFmtId="169" fontId="34" fillId="0" borderId="0" xfId="47" applyNumberFormat="1" applyFont="1" applyBorder="1" applyAlignment="1">
      <alignment horizontal="center"/>
    </xf>
    <xf numFmtId="0" fontId="39" fillId="0" borderId="0" xfId="46" applyFont="1"/>
    <xf numFmtId="169" fontId="39" fillId="0" borderId="0" xfId="47" applyNumberFormat="1" applyFont="1" applyBorder="1"/>
    <xf numFmtId="169" fontId="39" fillId="0" borderId="0" xfId="46" applyNumberFormat="1" applyFont="1"/>
    <xf numFmtId="166" fontId="34" fillId="0" borderId="0" xfId="48" applyNumberFormat="1" applyFont="1" applyAlignment="1">
      <alignment horizontal="center"/>
    </xf>
    <xf numFmtId="0" fontId="34" fillId="0" borderId="38" xfId="46" applyFont="1" applyBorder="1"/>
    <xf numFmtId="166" fontId="38" fillId="0" borderId="38" xfId="46" applyNumberFormat="1" applyFont="1" applyBorder="1" applyAlignment="1">
      <alignment horizontal="center"/>
    </xf>
    <xf numFmtId="0" fontId="34" fillId="0" borderId="39" xfId="46" applyFont="1" applyBorder="1"/>
    <xf numFmtId="0" fontId="38" fillId="0" borderId="39" xfId="47" applyNumberFormat="1" applyFont="1" applyBorder="1" applyAlignment="1">
      <alignment horizontal="center"/>
    </xf>
    <xf numFmtId="169" fontId="38" fillId="0" borderId="0" xfId="47" applyNumberFormat="1" applyFont="1" applyBorder="1"/>
    <xf numFmtId="0" fontId="34" fillId="0" borderId="39" xfId="46" applyFont="1" applyBorder="1" applyAlignment="1">
      <alignment horizontal="center"/>
    </xf>
    <xf numFmtId="43" fontId="34" fillId="0" borderId="39" xfId="47" applyFont="1" applyBorder="1"/>
    <xf numFmtId="169" fontId="34" fillId="0" borderId="39" xfId="47" applyNumberFormat="1" applyFont="1" applyBorder="1"/>
    <xf numFmtId="43" fontId="34" fillId="0" borderId="0" xfId="46" applyNumberFormat="1" applyFont="1"/>
    <xf numFmtId="172" fontId="34" fillId="0" borderId="0" xfId="48" applyNumberFormat="1" applyFont="1"/>
    <xf numFmtId="0" fontId="36" fillId="39" borderId="0" xfId="46" applyFont="1" applyFill="1" applyAlignment="1">
      <alignment horizontal="center" vertical="center"/>
    </xf>
    <xf numFmtId="0" fontId="36" fillId="39" borderId="0" xfId="46" applyFont="1" applyFill="1" applyAlignment="1">
      <alignment horizontal="right" vertical="center"/>
    </xf>
    <xf numFmtId="0" fontId="34" fillId="39" borderId="0" xfId="46" applyFont="1" applyFill="1" applyAlignment="1">
      <alignment horizontal="right"/>
    </xf>
    <xf numFmtId="0" fontId="39" fillId="0" borderId="38" xfId="46" applyFont="1" applyBorder="1" applyAlignment="1">
      <alignment horizontal="left"/>
    </xf>
    <xf numFmtId="0" fontId="39" fillId="0" borderId="38" xfId="46" applyFont="1" applyBorder="1" applyAlignment="1">
      <alignment horizontal="center"/>
    </xf>
    <xf numFmtId="169" fontId="39" fillId="0" borderId="38" xfId="47" applyNumberFormat="1" applyFont="1" applyBorder="1"/>
    <xf numFmtId="169" fontId="39" fillId="0" borderId="0" xfId="47" applyNumberFormat="1" applyFont="1" applyFill="1" applyBorder="1"/>
    <xf numFmtId="166" fontId="34" fillId="0" borderId="0" xfId="48" applyNumberFormat="1" applyFont="1" applyBorder="1" applyAlignment="1">
      <alignment horizontal="center"/>
    </xf>
    <xf numFmtId="43" fontId="34" fillId="0" borderId="0" xfId="47" applyFont="1" applyBorder="1"/>
    <xf numFmtId="0" fontId="39" fillId="0" borderId="40" xfId="46" applyFont="1" applyBorder="1"/>
    <xf numFmtId="0" fontId="39" fillId="0" borderId="41" xfId="46" applyFont="1" applyBorder="1" applyAlignment="1">
      <alignment horizontal="center"/>
    </xf>
    <xf numFmtId="169" fontId="34" fillId="0" borderId="41" xfId="47" applyNumberFormat="1" applyFont="1" applyBorder="1" applyAlignment="1">
      <alignment horizontal="right"/>
    </xf>
    <xf numFmtId="169" fontId="34" fillId="0" borderId="42" xfId="47" applyNumberFormat="1" applyFont="1" applyBorder="1" applyAlignment="1">
      <alignment horizontal="right"/>
    </xf>
    <xf numFmtId="169" fontId="39" fillId="0" borderId="0" xfId="47" applyNumberFormat="1" applyFont="1" applyFill="1" applyBorder="1" applyAlignment="1">
      <alignment horizontal="right"/>
    </xf>
    <xf numFmtId="0" fontId="34" fillId="0" borderId="43" xfId="46" applyFont="1" applyBorder="1"/>
    <xf numFmtId="9" fontId="34" fillId="0" borderId="44" xfId="48" applyFont="1" applyBorder="1" applyAlignment="1">
      <alignment horizontal="center"/>
    </xf>
    <xf numFmtId="169" fontId="34" fillId="0" borderId="44" xfId="47" applyNumberFormat="1" applyFont="1" applyBorder="1" applyAlignment="1">
      <alignment horizontal="right"/>
    </xf>
    <xf numFmtId="169" fontId="34" fillId="0" borderId="45" xfId="47" applyNumberFormat="1" applyFont="1" applyBorder="1" applyAlignment="1">
      <alignment horizontal="right"/>
    </xf>
    <xf numFmtId="0" fontId="34" fillId="0" borderId="43" xfId="46" applyFont="1" applyBorder="1" applyAlignment="1">
      <alignment horizontal="left"/>
    </xf>
    <xf numFmtId="166" fontId="34" fillId="0" borderId="44" xfId="48" applyNumberFormat="1" applyFont="1" applyBorder="1" applyAlignment="1">
      <alignment horizontal="center"/>
    </xf>
    <xf numFmtId="0" fontId="34" fillId="40" borderId="43" xfId="46" applyFont="1" applyFill="1" applyBorder="1" applyAlignment="1">
      <alignment horizontal="left"/>
    </xf>
    <xf numFmtId="0" fontId="39" fillId="0" borderId="43" xfId="46" applyFont="1" applyBorder="1"/>
    <xf numFmtId="0" fontId="39" fillId="0" borderId="44" xfId="46" applyFont="1" applyBorder="1" applyAlignment="1">
      <alignment horizontal="center"/>
    </xf>
    <xf numFmtId="171" fontId="34" fillId="0" borderId="0" xfId="46" applyNumberFormat="1" applyFont="1"/>
    <xf numFmtId="172" fontId="41" fillId="0" borderId="0" xfId="48" applyNumberFormat="1" applyFont="1"/>
    <xf numFmtId="0" fontId="42" fillId="41" borderId="43" xfId="46" applyFont="1" applyFill="1" applyBorder="1"/>
    <xf numFmtId="0" fontId="42" fillId="41" borderId="44" xfId="46" applyFont="1" applyFill="1" applyBorder="1" applyAlignment="1">
      <alignment horizontal="center"/>
    </xf>
    <xf numFmtId="9" fontId="34" fillId="41" borderId="44" xfId="48" applyFont="1" applyFill="1" applyBorder="1" applyAlignment="1">
      <alignment horizontal="right"/>
    </xf>
    <xf numFmtId="9" fontId="34" fillId="41" borderId="45" xfId="48" applyFont="1" applyFill="1" applyBorder="1" applyAlignment="1">
      <alignment horizontal="right"/>
    </xf>
    <xf numFmtId="171" fontId="41" fillId="0" borderId="0" xfId="46" applyNumberFormat="1" applyFont="1"/>
    <xf numFmtId="9" fontId="41" fillId="0" borderId="0" xfId="46" applyNumberFormat="1" applyFont="1"/>
    <xf numFmtId="9" fontId="39" fillId="0" borderId="44" xfId="48" applyFont="1" applyBorder="1" applyAlignment="1">
      <alignment horizontal="center"/>
    </xf>
    <xf numFmtId="0" fontId="34" fillId="38" borderId="43" xfId="46" applyFont="1" applyFill="1" applyBorder="1" applyAlignment="1">
      <alignment horizontal="left"/>
    </xf>
    <xf numFmtId="43" fontId="34" fillId="0" borderId="0" xfId="47" applyFont="1"/>
    <xf numFmtId="8" fontId="43" fillId="0" borderId="0" xfId="46" applyNumberFormat="1" applyFont="1"/>
    <xf numFmtId="173" fontId="34" fillId="0" borderId="44" xfId="48" applyNumberFormat="1" applyFont="1" applyBorder="1" applyAlignment="1">
      <alignment horizontal="center"/>
    </xf>
    <xf numFmtId="166" fontId="34" fillId="41" borderId="44" xfId="48" applyNumberFormat="1" applyFont="1" applyFill="1" applyBorder="1" applyAlignment="1">
      <alignment horizontal="right"/>
    </xf>
    <xf numFmtId="166" fontId="34" fillId="41" borderId="45" xfId="48" applyNumberFormat="1" applyFont="1" applyFill="1" applyBorder="1" applyAlignment="1">
      <alignment horizontal="right"/>
    </xf>
    <xf numFmtId="0" fontId="34" fillId="0" borderId="44" xfId="46" applyFont="1" applyBorder="1" applyAlignment="1">
      <alignment horizontal="center"/>
    </xf>
    <xf numFmtId="10" fontId="34" fillId="0" borderId="0" xfId="48" applyNumberFormat="1" applyFont="1"/>
    <xf numFmtId="0" fontId="34" fillId="0" borderId="43" xfId="46" applyFont="1" applyBorder="1" applyAlignment="1">
      <alignment vertical="center"/>
    </xf>
    <xf numFmtId="9" fontId="34" fillId="0" borderId="44" xfId="46" applyNumberFormat="1" applyFont="1" applyBorder="1" applyAlignment="1">
      <alignment horizontal="center"/>
    </xf>
    <xf numFmtId="0" fontId="39" fillId="39" borderId="43" xfId="46" applyFont="1" applyFill="1" applyBorder="1"/>
    <xf numFmtId="0" fontId="39" fillId="39" borderId="44" xfId="46" applyFont="1" applyFill="1" applyBorder="1" applyAlignment="1">
      <alignment horizontal="center"/>
    </xf>
    <xf numFmtId="169" fontId="34" fillId="39" borderId="44" xfId="47" applyNumberFormat="1" applyFont="1" applyFill="1" applyBorder="1" applyAlignment="1">
      <alignment horizontal="right"/>
    </xf>
    <xf numFmtId="169" fontId="34" fillId="39" borderId="45" xfId="47" applyNumberFormat="1" applyFont="1" applyFill="1" applyBorder="1" applyAlignment="1">
      <alignment horizontal="right"/>
    </xf>
    <xf numFmtId="0" fontId="42" fillId="41" borderId="46" xfId="46" applyFont="1" applyFill="1" applyBorder="1"/>
    <xf numFmtId="0" fontId="42" fillId="41" borderId="47" xfId="46" applyFont="1" applyFill="1" applyBorder="1" applyAlignment="1">
      <alignment horizontal="center"/>
    </xf>
    <xf numFmtId="166" fontId="34" fillId="41" borderId="47" xfId="48" applyNumberFormat="1" applyFont="1" applyFill="1" applyBorder="1" applyAlignment="1">
      <alignment horizontal="right"/>
    </xf>
    <xf numFmtId="166" fontId="34" fillId="41" borderId="48" xfId="48" applyNumberFormat="1" applyFont="1" applyFill="1" applyBorder="1" applyAlignment="1">
      <alignment horizontal="right"/>
    </xf>
    <xf numFmtId="166" fontId="39" fillId="0" borderId="0" xfId="48" applyNumberFormat="1" applyFont="1" applyFill="1"/>
    <xf numFmtId="9" fontId="39" fillId="0" borderId="0" xfId="48" applyFont="1" applyFill="1"/>
    <xf numFmtId="0" fontId="39" fillId="43" borderId="0" xfId="46" applyFont="1" applyFill="1" applyAlignment="1">
      <alignment horizontal="center"/>
    </xf>
    <xf numFmtId="169" fontId="39" fillId="43" borderId="0" xfId="47" applyNumberFormat="1" applyFont="1" applyFill="1"/>
    <xf numFmtId="169" fontId="39" fillId="43" borderId="0" xfId="46" applyNumberFormat="1" applyFont="1" applyFill="1"/>
    <xf numFmtId="9" fontId="34" fillId="0" borderId="0" xfId="48" applyFont="1" applyAlignment="1"/>
    <xf numFmtId="0" fontId="34" fillId="44" borderId="0" xfId="46" applyFont="1" applyFill="1" applyAlignment="1">
      <alignment vertical="center" wrapText="1"/>
    </xf>
    <xf numFmtId="169" fontId="38" fillId="44" borderId="0" xfId="46" applyNumberFormat="1" applyFont="1" applyFill="1" applyAlignment="1">
      <alignment vertical="center"/>
    </xf>
    <xf numFmtId="0" fontId="36" fillId="37" borderId="49" xfId="46" applyFont="1" applyFill="1" applyBorder="1" applyAlignment="1">
      <alignment horizontal="center"/>
    </xf>
    <xf numFmtId="0" fontId="36" fillId="37" borderId="50" xfId="46" applyFont="1" applyFill="1" applyBorder="1" applyAlignment="1">
      <alignment horizontal="center"/>
    </xf>
    <xf numFmtId="0" fontId="36" fillId="37" borderId="51" xfId="46" applyFont="1" applyFill="1" applyBorder="1" applyAlignment="1">
      <alignment horizontal="center"/>
    </xf>
    <xf numFmtId="0" fontId="39" fillId="0" borderId="52" xfId="46" applyFont="1" applyBorder="1" applyAlignment="1">
      <alignment horizontal="left"/>
    </xf>
    <xf numFmtId="169" fontId="39" fillId="0" borderId="33" xfId="47" applyNumberFormat="1" applyFont="1" applyFill="1" applyBorder="1"/>
    <xf numFmtId="169" fontId="39" fillId="0" borderId="33" xfId="47" applyNumberFormat="1" applyFont="1" applyBorder="1"/>
    <xf numFmtId="169" fontId="39" fillId="0" borderId="53" xfId="47" applyNumberFormat="1" applyFont="1" applyBorder="1"/>
    <xf numFmtId="0" fontId="34" fillId="0" borderId="52" xfId="46" applyFont="1" applyBorder="1"/>
    <xf numFmtId="169" fontId="34" fillId="0" borderId="33" xfId="47" applyNumberFormat="1" applyFont="1" applyBorder="1"/>
    <xf numFmtId="169" fontId="34" fillId="0" borderId="33" xfId="46" applyNumberFormat="1" applyFont="1" applyBorder="1"/>
    <xf numFmtId="169" fontId="34" fillId="0" borderId="53" xfId="46" applyNumberFormat="1" applyFont="1" applyBorder="1"/>
    <xf numFmtId="169" fontId="34" fillId="0" borderId="33" xfId="46" applyNumberFormat="1" applyFont="1" applyBorder="1" applyAlignment="1">
      <alignment horizontal="center"/>
    </xf>
    <xf numFmtId="9" fontId="34" fillId="0" borderId="33" xfId="48" applyFont="1" applyFill="1" applyBorder="1" applyAlignment="1">
      <alignment horizontal="left"/>
    </xf>
    <xf numFmtId="169" fontId="34" fillId="0" borderId="33" xfId="47" applyNumberFormat="1" applyFont="1" applyFill="1" applyBorder="1"/>
    <xf numFmtId="43" fontId="34" fillId="0" borderId="0" xfId="47" applyFont="1" applyFill="1"/>
    <xf numFmtId="1" fontId="34" fillId="0" borderId="33" xfId="47" applyNumberFormat="1" applyFont="1" applyFill="1" applyBorder="1" applyAlignment="1">
      <alignment horizontal="center"/>
    </xf>
    <xf numFmtId="1" fontId="34" fillId="0" borderId="33" xfId="47" applyNumberFormat="1" applyFont="1" applyBorder="1" applyAlignment="1">
      <alignment horizontal="center"/>
    </xf>
    <xf numFmtId="9" fontId="34" fillId="0" borderId="33" xfId="48" applyFont="1" applyBorder="1" applyAlignment="1">
      <alignment horizontal="left"/>
    </xf>
    <xf numFmtId="0" fontId="39" fillId="0" borderId="52" xfId="46" applyFont="1" applyBorder="1"/>
    <xf numFmtId="0" fontId="39" fillId="0" borderId="33" xfId="46" applyFont="1" applyBorder="1" applyAlignment="1">
      <alignment horizontal="center"/>
    </xf>
    <xf numFmtId="169" fontId="39" fillId="0" borderId="33" xfId="46" applyNumberFormat="1" applyFont="1" applyBorder="1"/>
    <xf numFmtId="169" fontId="39" fillId="0" borderId="53" xfId="46" applyNumberFormat="1" applyFont="1" applyBorder="1"/>
    <xf numFmtId="169" fontId="34" fillId="0" borderId="53" xfId="47" applyNumberFormat="1" applyFont="1" applyBorder="1"/>
    <xf numFmtId="0" fontId="39" fillId="0" borderId="54" xfId="46" applyFont="1" applyBorder="1"/>
    <xf numFmtId="0" fontId="39" fillId="0" borderId="55" xfId="46" applyFont="1" applyBorder="1" applyAlignment="1">
      <alignment horizontal="center"/>
    </xf>
    <xf numFmtId="169" fontId="39" fillId="0" borderId="55" xfId="46" applyNumberFormat="1" applyFont="1" applyBorder="1"/>
    <xf numFmtId="169" fontId="39" fillId="0" borderId="56" xfId="46" applyNumberFormat="1" applyFont="1" applyBorder="1"/>
    <xf numFmtId="0" fontId="34" fillId="39" borderId="57" xfId="46" applyFont="1" applyFill="1" applyBorder="1"/>
    <xf numFmtId="0" fontId="34" fillId="39" borderId="58" xfId="46" applyFont="1" applyFill="1" applyBorder="1" applyAlignment="1">
      <alignment horizontal="center"/>
    </xf>
    <xf numFmtId="170" fontId="34" fillId="39" borderId="58" xfId="47" applyNumberFormat="1" applyFont="1" applyFill="1" applyBorder="1"/>
    <xf numFmtId="43" fontId="34" fillId="39" borderId="58" xfId="47" applyFont="1" applyFill="1" applyBorder="1"/>
    <xf numFmtId="174" fontId="34" fillId="39" borderId="58" xfId="47" applyNumberFormat="1" applyFont="1" applyFill="1" applyBorder="1"/>
    <xf numFmtId="169" fontId="34" fillId="39" borderId="58" xfId="47" applyNumberFormat="1" applyFont="1" applyFill="1" applyBorder="1"/>
    <xf numFmtId="175" fontId="34" fillId="39" borderId="58" xfId="47" applyNumberFormat="1" applyFont="1" applyFill="1" applyBorder="1"/>
    <xf numFmtId="175" fontId="34" fillId="39" borderId="59" xfId="47" applyNumberFormat="1" applyFont="1" applyFill="1" applyBorder="1"/>
    <xf numFmtId="175" fontId="34" fillId="0" borderId="0" xfId="46" applyNumberFormat="1" applyFont="1"/>
    <xf numFmtId="169" fontId="35" fillId="0" borderId="40" xfId="46" applyNumberFormat="1" applyFont="1" applyBorder="1"/>
    <xf numFmtId="0" fontId="34" fillId="0" borderId="41" xfId="46" applyFont="1" applyBorder="1" applyAlignment="1">
      <alignment horizontal="center"/>
    </xf>
    <xf numFmtId="0" fontId="36" fillId="37" borderId="41" xfId="46" applyFont="1" applyFill="1" applyBorder="1" applyAlignment="1">
      <alignment horizontal="center" vertical="center"/>
    </xf>
    <xf numFmtId="0" fontId="36" fillId="37" borderId="42" xfId="46" applyFont="1" applyFill="1" applyBorder="1" applyAlignment="1">
      <alignment horizontal="center" vertical="center"/>
    </xf>
    <xf numFmtId="169" fontId="39" fillId="0" borderId="44" xfId="46" applyNumberFormat="1" applyFont="1" applyBorder="1"/>
    <xf numFmtId="169" fontId="39" fillId="0" borderId="45" xfId="46" applyNumberFormat="1" applyFont="1" applyBorder="1"/>
    <xf numFmtId="169" fontId="34" fillId="0" borderId="44" xfId="46" applyNumberFormat="1" applyFont="1" applyBorder="1"/>
    <xf numFmtId="169" fontId="34" fillId="0" borderId="45" xfId="46" applyNumberFormat="1" applyFont="1" applyBorder="1"/>
    <xf numFmtId="0" fontId="34" fillId="0" borderId="44" xfId="46" applyFont="1" applyBorder="1"/>
    <xf numFmtId="169" fontId="34" fillId="0" borderId="44" xfId="47" applyNumberFormat="1" applyFont="1" applyBorder="1"/>
    <xf numFmtId="169" fontId="34" fillId="0" borderId="45" xfId="47" applyNumberFormat="1" applyFont="1" applyBorder="1"/>
    <xf numFmtId="171" fontId="34" fillId="0" borderId="44" xfId="47" applyNumberFormat="1" applyFont="1" applyBorder="1"/>
    <xf numFmtId="171" fontId="34" fillId="0" borderId="45" xfId="47" applyNumberFormat="1" applyFont="1" applyBorder="1"/>
    <xf numFmtId="43" fontId="34" fillId="0" borderId="44" xfId="47" applyFont="1" applyBorder="1"/>
    <xf numFmtId="43" fontId="34" fillId="0" borderId="45" xfId="47" applyFont="1" applyBorder="1"/>
    <xf numFmtId="0" fontId="39" fillId="0" borderId="44" xfId="46" applyFont="1" applyBorder="1"/>
    <xf numFmtId="0" fontId="39" fillId="45" borderId="46" xfId="46" applyFont="1" applyFill="1" applyBorder="1"/>
    <xf numFmtId="0" fontId="39" fillId="45" borderId="47" xfId="46" applyFont="1" applyFill="1" applyBorder="1" applyAlignment="1">
      <alignment horizontal="center"/>
    </xf>
    <xf numFmtId="169" fontId="39" fillId="45" borderId="47" xfId="46" applyNumberFormat="1" applyFont="1" applyFill="1" applyBorder="1"/>
    <xf numFmtId="169" fontId="39" fillId="45" borderId="48" xfId="46" applyNumberFormat="1" applyFont="1" applyFill="1" applyBorder="1"/>
    <xf numFmtId="0" fontId="34" fillId="0" borderId="40" xfId="46" applyFont="1" applyBorder="1"/>
    <xf numFmtId="0" fontId="34" fillId="0" borderId="41" xfId="46" applyFont="1" applyBorder="1"/>
    <xf numFmtId="9" fontId="34" fillId="0" borderId="41" xfId="48" applyFont="1" applyBorder="1"/>
    <xf numFmtId="169" fontId="34" fillId="0" borderId="41" xfId="47" applyNumberFormat="1" applyFont="1" applyBorder="1"/>
    <xf numFmtId="169" fontId="34" fillId="0" borderId="42" xfId="47" applyNumberFormat="1" applyFont="1" applyBorder="1"/>
    <xf numFmtId="9" fontId="34" fillId="0" borderId="44" xfId="48" applyFont="1" applyBorder="1"/>
    <xf numFmtId="9" fontId="34" fillId="0" borderId="44" xfId="48" applyFont="1" applyFill="1" applyBorder="1"/>
    <xf numFmtId="169" fontId="34" fillId="0" borderId="44" xfId="47" applyNumberFormat="1" applyFont="1" applyFill="1" applyBorder="1"/>
    <xf numFmtId="169" fontId="34" fillId="0" borderId="44" xfId="47" applyNumberFormat="1" applyFont="1" applyFill="1" applyBorder="1" applyAlignment="1">
      <alignment horizontal="center"/>
    </xf>
    <xf numFmtId="169" fontId="34" fillId="0" borderId="45" xfId="47" applyNumberFormat="1" applyFont="1" applyFill="1" applyBorder="1" applyAlignment="1">
      <alignment horizontal="center"/>
    </xf>
    <xf numFmtId="0" fontId="34" fillId="38" borderId="46" xfId="46" applyFont="1" applyFill="1" applyBorder="1"/>
    <xf numFmtId="0" fontId="34" fillId="38" borderId="47" xfId="46" applyFont="1" applyFill="1" applyBorder="1"/>
    <xf numFmtId="9" fontId="34" fillId="38" borderId="47" xfId="48" applyFont="1" applyFill="1" applyBorder="1"/>
    <xf numFmtId="169" fontId="34" fillId="38" borderId="47" xfId="47" applyNumberFormat="1" applyFont="1" applyFill="1" applyBorder="1"/>
    <xf numFmtId="169" fontId="34" fillId="38" borderId="48" xfId="47" applyNumberFormat="1" applyFont="1" applyFill="1" applyBorder="1"/>
    <xf numFmtId="9" fontId="34" fillId="0" borderId="0" xfId="48" applyFont="1" applyFill="1" applyBorder="1"/>
    <xf numFmtId="10" fontId="34" fillId="0" borderId="0" xfId="48" applyNumberFormat="1" applyFont="1" applyFill="1"/>
    <xf numFmtId="43" fontId="34" fillId="0" borderId="0" xfId="47" applyFont="1" applyFill="1" applyBorder="1"/>
    <xf numFmtId="169" fontId="34" fillId="0" borderId="0" xfId="47" applyNumberFormat="1" applyFont="1" applyFill="1" applyBorder="1" applyAlignment="1">
      <alignment horizontal="right"/>
    </xf>
    <xf numFmtId="9" fontId="34" fillId="0" borderId="0" xfId="48" applyFont="1" applyFill="1" applyBorder="1" applyAlignment="1">
      <alignment horizontal="right"/>
    </xf>
    <xf numFmtId="9" fontId="34" fillId="0" borderId="0" xfId="48" applyFont="1" applyAlignment="1">
      <alignment horizontal="right"/>
    </xf>
    <xf numFmtId="169" fontId="34" fillId="0" borderId="0" xfId="47" applyNumberFormat="1" applyFont="1" applyFill="1" applyBorder="1" applyAlignment="1">
      <alignment horizontal="center"/>
    </xf>
    <xf numFmtId="169" fontId="39" fillId="0" borderId="0" xfId="47" applyNumberFormat="1" applyFont="1" applyFill="1" applyBorder="1" applyAlignment="1">
      <alignment horizontal="center"/>
    </xf>
    <xf numFmtId="176" fontId="34" fillId="0" borderId="0" xfId="46" applyNumberFormat="1" applyFont="1"/>
    <xf numFmtId="9" fontId="34" fillId="0" borderId="0" xfId="48" applyFont="1" applyFill="1" applyBorder="1" applyAlignment="1"/>
    <xf numFmtId="166" fontId="34" fillId="0" borderId="0" xfId="48" applyNumberFormat="1" applyFont="1" applyFill="1" applyBorder="1" applyAlignment="1"/>
    <xf numFmtId="1" fontId="34" fillId="0" borderId="0" xfId="47" applyNumberFormat="1" applyFont="1" applyFill="1" applyBorder="1" applyAlignment="1">
      <alignment horizontal="right"/>
    </xf>
    <xf numFmtId="9" fontId="34" fillId="0" borderId="0" xfId="48" applyNumberFormat="1" applyFont="1"/>
    <xf numFmtId="9" fontId="34" fillId="0" borderId="0" xfId="47" applyNumberFormat="1" applyFont="1"/>
    <xf numFmtId="9" fontId="39" fillId="42" borderId="0" xfId="48" applyNumberFormat="1" applyFont="1" applyFill="1"/>
    <xf numFmtId="0" fontId="33" fillId="0" borderId="0" xfId="0" applyFont="1"/>
    <xf numFmtId="44" fontId="33" fillId="0" borderId="0" xfId="44" applyFont="1"/>
    <xf numFmtId="9" fontId="33" fillId="0" borderId="0" xfId="43" applyFont="1"/>
    <xf numFmtId="177" fontId="41" fillId="0" borderId="0" xfId="43" applyNumberFormat="1" applyFont="1"/>
    <xf numFmtId="0" fontId="5" fillId="0" borderId="0" xfId="0" applyFont="1"/>
    <xf numFmtId="0" fontId="4" fillId="0" borderId="0" xfId="0" applyFont="1"/>
    <xf numFmtId="3" fontId="47" fillId="0" borderId="0" xfId="0" applyNumberFormat="1" applyFont="1"/>
    <xf numFmtId="167" fontId="47" fillId="0" borderId="0" xfId="0" applyNumberFormat="1" applyFont="1"/>
    <xf numFmtId="0" fontId="47" fillId="0" borderId="0" xfId="0" applyFont="1" applyAlignment="1">
      <alignment horizontal="left"/>
    </xf>
    <xf numFmtId="0" fontId="0" fillId="46" borderId="0" xfId="0" applyFill="1" applyAlignment="1">
      <alignment horizontal="left"/>
    </xf>
    <xf numFmtId="0" fontId="3" fillId="0" borderId="0" xfId="45" applyFont="1"/>
    <xf numFmtId="3" fontId="0" fillId="36" borderId="0" xfId="0" applyNumberFormat="1" applyFill="1"/>
    <xf numFmtId="167" fontId="0" fillId="36" borderId="0" xfId="0" applyNumberFormat="1" applyFill="1"/>
    <xf numFmtId="0" fontId="0" fillId="47" borderId="0" xfId="0" applyFill="1" applyAlignment="1">
      <alignment horizontal="left"/>
    </xf>
    <xf numFmtId="3" fontId="0" fillId="47" borderId="0" xfId="0" applyNumberFormat="1" applyFill="1"/>
    <xf numFmtId="3" fontId="0" fillId="46" borderId="0" xfId="0" applyNumberFormat="1" applyFill="1"/>
    <xf numFmtId="9" fontId="33" fillId="35" borderId="27" xfId="43" applyFont="1" applyFill="1" applyBorder="1"/>
    <xf numFmtId="44" fontId="2" fillId="0" borderId="27" xfId="44" applyFont="1" applyBorder="1"/>
    <xf numFmtId="0" fontId="34" fillId="40" borderId="0" xfId="46" applyFont="1" applyFill="1" applyAlignment="1">
      <alignment horizontal="center"/>
    </xf>
    <xf numFmtId="0" fontId="34" fillId="0" borderId="0" xfId="46" applyFont="1" applyAlignment="1">
      <alignment horizontal="center" vertical="center"/>
    </xf>
    <xf numFmtId="0" fontId="27" fillId="33" borderId="10" xfId="0" applyFont="1" applyFill="1" applyBorder="1"/>
    <xf numFmtId="0" fontId="27" fillId="33" borderId="17" xfId="0" applyFont="1" applyFill="1" applyBorder="1"/>
    <xf numFmtId="0" fontId="27" fillId="33" borderId="13" xfId="0" applyFont="1" applyFill="1" applyBorder="1"/>
    <xf numFmtId="44" fontId="32" fillId="35" borderId="27" xfId="44" applyFont="1" applyFill="1" applyBorder="1"/>
    <xf numFmtId="0" fontId="1" fillId="0" borderId="27" xfId="0" applyFont="1" applyBorder="1"/>
  </cellXfs>
  <cellStyles count="49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7" xr:uid="{6530AD4D-EBFD-49B1-B739-FD9A27C5A791}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rmal 3" xfId="45" xr:uid="{559647C7-CD14-499B-B0FD-8ABF6825D768}"/>
    <cellStyle name="Normal 4" xfId="46" xr:uid="{397C2314-614C-4BA8-B614-DC0FBE7D0A7C}"/>
    <cellStyle name="Notas" xfId="15" builtinId="10" customBuiltin="1"/>
    <cellStyle name="Porcentaje" xfId="43" builtinId="5"/>
    <cellStyle name="Porcentaje 2" xfId="48" xr:uid="{7C717C5B-191B-4737-84E0-96F925DF2889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68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4" formatCode="0.00%"/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164" formatCode="&quot;$&quot;\ #,##0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auto="1"/>
      </font>
    </dxf>
    <dxf>
      <font>
        <color auto="1"/>
      </font>
    </dxf>
    <dxf>
      <font>
        <color theme="0"/>
      </font>
    </dxf>
    <dxf>
      <font>
        <color theme="0"/>
      </font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ill>
        <patternFill patternType="solid">
          <bgColor theme="8" tint="0.79998168889431442"/>
        </patternFill>
      </fill>
    </dxf>
    <dxf>
      <font>
        <b/>
        <family val="2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4" formatCode="0.0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1890A0"/>
      <color rgb="FFE7E2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2.xml"/><Relationship Id="rId42" Type="http://schemas.openxmlformats.org/officeDocument/2006/relationships/pivotCacheDefinition" Target="pivotCache/pivotCacheDefinition10.xml"/><Relationship Id="rId47" Type="http://schemas.openxmlformats.org/officeDocument/2006/relationships/pivotCacheDefinition" Target="pivotCache/pivotCacheDefinition15.xml"/><Relationship Id="rId50" Type="http://schemas.openxmlformats.org/officeDocument/2006/relationships/pivotCacheDefinition" Target="pivotCache/pivotCacheDefinition18.xml"/><Relationship Id="rId55" Type="http://schemas.openxmlformats.org/officeDocument/2006/relationships/pivotCacheDefinition" Target="pivotCache/pivotCacheDefinition23.xml"/><Relationship Id="rId63" Type="http://schemas.openxmlformats.org/officeDocument/2006/relationships/connections" Target="connections.xml"/><Relationship Id="rId68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pivotCacheDefinition" Target="pivotCache/pivotCacheDefinition5.xml"/><Relationship Id="rId40" Type="http://schemas.openxmlformats.org/officeDocument/2006/relationships/pivotCacheDefinition" Target="pivotCache/pivotCacheDefinition8.xml"/><Relationship Id="rId45" Type="http://schemas.openxmlformats.org/officeDocument/2006/relationships/pivotCacheDefinition" Target="pivotCache/pivotCacheDefinition13.xml"/><Relationship Id="rId53" Type="http://schemas.openxmlformats.org/officeDocument/2006/relationships/pivotCacheDefinition" Target="pivotCache/pivotCacheDefinition21.xml"/><Relationship Id="rId58" Type="http://schemas.openxmlformats.org/officeDocument/2006/relationships/pivotCacheDefinition" Target="pivotCache/pivotCacheDefinition26.xml"/><Relationship Id="rId66" Type="http://schemas.openxmlformats.org/officeDocument/2006/relationships/sheetMetadata" Target="metadata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9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3.xml"/><Relationship Id="rId43" Type="http://schemas.openxmlformats.org/officeDocument/2006/relationships/pivotCacheDefinition" Target="pivotCache/pivotCacheDefinition11.xml"/><Relationship Id="rId48" Type="http://schemas.openxmlformats.org/officeDocument/2006/relationships/pivotCacheDefinition" Target="pivotCache/pivotCacheDefinition16.xml"/><Relationship Id="rId56" Type="http://schemas.openxmlformats.org/officeDocument/2006/relationships/pivotCacheDefinition" Target="pivotCache/pivotCacheDefinition24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9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pivotCacheDefinition" Target="pivotCache/pivotCacheDefinition6.xml"/><Relationship Id="rId46" Type="http://schemas.openxmlformats.org/officeDocument/2006/relationships/pivotCacheDefinition" Target="pivotCache/pivotCacheDefinition14.xml"/><Relationship Id="rId59" Type="http://schemas.openxmlformats.org/officeDocument/2006/relationships/pivotCacheDefinition" Target="pivotCache/pivotCacheDefinition27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9.xml"/><Relationship Id="rId54" Type="http://schemas.openxmlformats.org/officeDocument/2006/relationships/pivotCacheDefinition" Target="pivotCache/pivotCacheDefinition22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4.xml"/><Relationship Id="rId49" Type="http://schemas.openxmlformats.org/officeDocument/2006/relationships/pivotCacheDefinition" Target="pivotCache/pivotCacheDefinition17.xml"/><Relationship Id="rId57" Type="http://schemas.openxmlformats.org/officeDocument/2006/relationships/pivotCacheDefinition" Target="pivotCache/pivotCacheDefinition25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2.xml"/><Relationship Id="rId52" Type="http://schemas.openxmlformats.org/officeDocument/2006/relationships/pivotCacheDefinition" Target="pivotCache/pivotCacheDefinition20.xml"/><Relationship Id="rId60" Type="http://schemas.openxmlformats.org/officeDocument/2006/relationships/pivotCacheDefinition" Target="pivotCache/pivotCacheDefinition28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31909</xdr:colOff>
      <xdr:row>0</xdr:row>
      <xdr:rowOff>0</xdr:rowOff>
    </xdr:from>
    <xdr:to>
      <xdr:col>2</xdr:col>
      <xdr:colOff>1484471</xdr:colOff>
      <xdr:row>1</xdr:row>
      <xdr:rowOff>115212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631C51-3E20-4F6F-BDE9-98491E2A5E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52139" b="10576"/>
        <a:stretch/>
      </xdr:blipFill>
      <xdr:spPr bwMode="auto">
        <a:xfrm>
          <a:off x="753904" y="0"/>
          <a:ext cx="1454467" cy="324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154894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7</xdr:col>
      <xdr:colOff>95345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  <xdr:twoCellAnchor>
    <xdr:from>
      <xdr:col>3</xdr:col>
      <xdr:colOff>699370</xdr:colOff>
      <xdr:row>5</xdr:row>
      <xdr:rowOff>135699</xdr:rowOff>
    </xdr:from>
    <xdr:to>
      <xdr:col>5</xdr:col>
      <xdr:colOff>636740</xdr:colOff>
      <xdr:row>7</xdr:row>
      <xdr:rowOff>156575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5A115E1-DF58-4D96-B1C4-D193F198D2D7}"/>
            </a:ext>
          </a:extLst>
        </xdr:cNvPr>
        <xdr:cNvSpPr txBox="1"/>
      </xdr:nvSpPr>
      <xdr:spPr>
        <a:xfrm>
          <a:off x="5928986" y="1075151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772438</xdr:colOff>
      <xdr:row>23</xdr:row>
      <xdr:rowOff>41753</xdr:rowOff>
    </xdr:from>
    <xdr:to>
      <xdr:col>5</xdr:col>
      <xdr:colOff>709808</xdr:colOff>
      <xdr:row>25</xdr:row>
      <xdr:rowOff>62629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AD1F5FB5-6681-45C3-A332-9ECB8C4ACC7B}"/>
            </a:ext>
          </a:extLst>
        </xdr:cNvPr>
        <xdr:cNvSpPr txBox="1"/>
      </xdr:nvSpPr>
      <xdr:spPr>
        <a:xfrm>
          <a:off x="6002054" y="434235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793316</xdr:colOff>
      <xdr:row>41</xdr:row>
      <xdr:rowOff>156575</xdr:rowOff>
    </xdr:from>
    <xdr:to>
      <xdr:col>5</xdr:col>
      <xdr:colOff>730686</xdr:colOff>
      <xdr:row>43</xdr:row>
      <xdr:rowOff>177451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D7F0CA50-E4C4-4803-99DF-3D84C2C077E5}"/>
            </a:ext>
          </a:extLst>
        </xdr:cNvPr>
        <xdr:cNvSpPr txBox="1"/>
      </xdr:nvSpPr>
      <xdr:spPr>
        <a:xfrm>
          <a:off x="6022932" y="7839205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  <xdr:twoCellAnchor>
    <xdr:from>
      <xdr:col>3</xdr:col>
      <xdr:colOff>772439</xdr:colOff>
      <xdr:row>63</xdr:row>
      <xdr:rowOff>83507</xdr:rowOff>
    </xdr:from>
    <xdr:to>
      <xdr:col>5</xdr:col>
      <xdr:colOff>709809</xdr:colOff>
      <xdr:row>65</xdr:row>
      <xdr:rowOff>104383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FF95F44C-5FB3-4D40-8473-FC5B1BC0DECA}"/>
            </a:ext>
          </a:extLst>
        </xdr:cNvPr>
        <xdr:cNvSpPr txBox="1"/>
      </xdr:nvSpPr>
      <xdr:spPr>
        <a:xfrm>
          <a:off x="6002055" y="1189972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2267234</xdr:colOff>
      <xdr:row>4</xdr:row>
      <xdr:rowOff>95473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19326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FCQ/Downloads/Financial%20Model%20Barranquero%202025%20PROYECC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ranquero REAL + PROJ"/>
      <sheetName val="Barranquero SIN VAN"/>
      <sheetName val="Barranquero CON VAN"/>
      <sheetName val="Barranquero margen bruto"/>
      <sheetName val="MODELO FINANCIERO BARRANQUERO"/>
      <sheetName val="Salarios 2024"/>
      <sheetName val="FEES AMAZON"/>
      <sheetName val="ROTACION INVENTARIO"/>
      <sheetName val="VALORACION"/>
      <sheetName val="Hoja1"/>
      <sheetName val="Gastos de viaj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D4">
            <v>3114.7200000000003</v>
          </cell>
        </row>
        <row r="5">
          <cell r="D5">
            <v>1545</v>
          </cell>
        </row>
        <row r="7">
          <cell r="D7">
            <v>5201.5</v>
          </cell>
        </row>
        <row r="8">
          <cell r="D8">
            <v>3287.76</v>
          </cell>
        </row>
        <row r="9">
          <cell r="D9">
            <v>1000</v>
          </cell>
        </row>
        <row r="10">
          <cell r="D10">
            <v>200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7">
          <cell r="C7">
            <v>0</v>
          </cell>
          <cell r="D7">
            <v>2275</v>
          </cell>
          <cell r="E7">
            <v>3860</v>
          </cell>
          <cell r="F7">
            <v>1860</v>
          </cell>
          <cell r="G7">
            <v>2360</v>
          </cell>
          <cell r="H7">
            <v>1030</v>
          </cell>
          <cell r="I7">
            <v>3860</v>
          </cell>
          <cell r="J7">
            <v>2275</v>
          </cell>
          <cell r="K7">
            <v>2360</v>
          </cell>
          <cell r="L7">
            <v>1860</v>
          </cell>
          <cell r="M7">
            <v>5305</v>
          </cell>
          <cell r="N7">
            <v>0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6259259257" createdVersion="6" refreshedVersion="7" minRefreshableVersion="3" recordCount="0" supportSubquery="1" supportAdvancedDrill="1" xr:uid="{5CD2FFAC-761A-48A8-9F5B-96A7B010C9EF}">
  <cacheSource type="external" connectionId="1"/>
  <cacheFields count="16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diferencia presupuesto acum]" caption="diferencia presupuesto acum" numFmtId="0" hierarchy="1183" level="32767"/>
    <cacheField name="[Measures].[diferencia %]" caption="diferencia %" numFmtId="0" hierarchy="118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4"/>
      </fieldsUsage>
    </cacheHierarchy>
    <cacheHierarchy uniqueName="[Measures].[diferencia %]" caption="diferencia %" measure="1" displayFolder="" measureGroup="Medidas" count="0" oneField="1">
      <fieldsUsage count="1">
        <fieldUsage x="15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6431944441" createdVersion="6" refreshedVersion="7" minRefreshableVersion="3" recordCount="0" supportSubquery="1" supportAdvancedDrill="1" xr:uid="{D7351D77-BA57-4441-9D5C-4B0A2FA11277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  <cacheField name="[Measures].[diferencia presupuesto acum]" caption="diferencia presupuesto acum" numFmtId="0" hierarchy="1183" level="32767"/>
    <cacheField name="[Measures].[diferencia %]" caption="diferencia %" numFmtId="0" hierarchy="118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5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4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6"/>
      </fieldsUsage>
    </cacheHierarchy>
    <cacheHierarchy uniqueName="[Measures].[diferencia %]" caption="diferencia %" measure="1" displayFolder="" measureGroup="Medidas" count="0" oneField="1">
      <fieldsUsage count="1">
        <fieldUsage x="17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6552662037" backgroundQuery="1" createdVersion="6" refreshedVersion="7" minRefreshableVersion="3" recordCount="0" supportSubquery="1" supportAdvancedDrill="1" xr:uid="{150F4CF3-F811-42DD-A40D-75F6CDAAF409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FERIAS Y EVENTOS]" u="1" c="FERIAS Y EVENTOS"/>
        <s v="[INDICADORES].[TIPO DE CLIENTES].&amp;[TIENDA VIRTUAL]" u="1" c="TIENDA VIRTUAL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6756828704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4 rea]" caption="Ventas 2024 rea" numFmtId="0" hierarchy="1086" level="32767"/>
    <cacheField name="[Measures].[Ventas 2025 rea]" caption="Ventas 2025 rea" numFmtId="0" hierarchy="1239" level="32767"/>
    <cacheField name="[Measures].[Variación 2024/2025]" caption="Variación 2024/2025" numFmtId="0" hierarchy="1242" level="32767"/>
    <cacheField name="[Measures].[Var% 2024/2025]" caption="Var% 2024/2025" numFmtId="0" hierarchy="1241" level="32767"/>
    <cacheField name="[Ventas].[Desc. item].[Desc. item]" caption="Desc. item" numFmtId="0" hierarchy="607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6830324075" backgroundQuery="1" createdVersion="6" refreshedVersion="7" minRefreshableVersion="3" recordCount="0" supportSubquery="1" supportAdvancedDrill="1" xr:uid="{F8E1BDA4-31B9-4273-A704-79473B045284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6902777778" backgroundQuery="1" createdVersion="6" refreshedVersion="7" minRefreshableVersion="3" recordCount="0" supportSubquery="1" supportAdvancedDrill="1" xr:uid="{CEBF0F13-55C3-4D83-91E0-DE09868D121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6983217593" backgroundQuery="1" createdVersion="6" refreshedVersion="7" minRefreshableVersion="3" recordCount="0" supportSubquery="1" supportAdvancedDrill="1" xr:uid="{5D62DD38-8D53-48F3-ABCA-A0380F49B5B3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EXPORTACIONES]" c="EXPORTACIONE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067824072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63" level="32767"/>
    <cacheField name="[ITEMS X HORAS].[SUBLINEA].[SUBLINEA]" caption="SUBLINEA" numFmtId="0" hierarchy="357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31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30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ventas item 2024]" caption="ventas item 2024" numFmtId="0" hierarchy="145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149189818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presupuesto Tiendas 2023]" caption="presupuesto Tiendas 2023" numFmtId="0" hierarchy="924" level="32767"/>
    <cacheField name="[Measures].[ventas items final 2024]" caption="ventas items final 2024" numFmtId="0" hierarchy="1455" level="32767"/>
    <cacheField name="[Zonas].[Descripción].[Descripción]" caption="Descripción" numFmtId="0" hierarchy="729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28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71" level="32767"/>
    <cacheField name="[PRESUPUESTO TIENDAS].[Año].[Año]" caption="Año" numFmtId="0" hierarchy="466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245370367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63" level="32767"/>
    <cacheField name="[ITEMS X HORAS].[LINEA].[LINEA]" caption="LINEA" numFmtId="0" hierarchy="343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57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31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33796296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63" level="32767"/>
    <cacheField name="[ITEMS X HORAS].[LINEA].[LINEA]" caption="LINEA" numFmtId="0" hierarchy="343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57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31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52662037" createdVersion="6" refreshedVersion="7" minRefreshableVersion="3" recordCount="0" supportSubquery="1" supportAdvancedDrill="1" xr:uid="{7B150628-1007-4C1A-8379-0F2E0AB75D23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Ventas].[Desc. item].[Desc. item]" caption="Desc. item" numFmtId="0" hierarchy="607" level="1">
      <sharedItems containsSemiMixedTypes="0" containsString="0"/>
    </cacheField>
    <cacheField name="[Measures].[Porcentaje de Lanzamientos Activos]" caption="Porcentaje de Lanzamientos Activos" numFmtId="0" hierarchy="1619" level="32767"/>
    <cacheField name="[LANZAMIENTOS].[ESTADO].[ESTADO]" caption="ESTADO" numFmtId="0" hierarchy="392" level="1">
      <sharedItems containsSemiMixedTypes="0" containsString="0"/>
    </cacheField>
    <cacheField name="[Measures].[Lanzamientos Activos]" caption="Lanzamientos Activos" numFmtId="0" hierarchy="1620" level="32767"/>
    <cacheField name="[Measures].[Ventas 2024]" caption="Ventas 2024" numFmtId="0" hierarchy="1038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2" unbalanced="0">
      <fieldsUsage count="2">
        <fieldUsage x="-1"/>
        <fieldUsage x="10"/>
      </fieldsUsage>
    </cacheHierarchy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8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 oneField="1">
      <fieldsUsage count="1">
        <fieldUsage x="12"/>
      </fieldsUsage>
    </cacheHierarchy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 oneField="1">
      <fieldsUsage count="1">
        <fieldUsage x="9"/>
      </fieldsUsage>
    </cacheHierarchy>
    <cacheHierarchy uniqueName="[Measures].[Lanzamientos Activos]" caption="Lanzamientos Activos" measure="1" displayFolder="" measureGroup="LANZAMIENTOS" count="0" oneField="1">
      <fieldsUsage count="1">
        <fieldUsage x="11"/>
      </fieldsUsage>
    </cacheHierarchy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704861111" createdVersion="6" refreshedVersion="7" minRefreshableVersion="3" recordCount="0" supportSubquery="1" supportAdvancedDrill="1" xr:uid="{BCA3ED15-7379-4AED-A9FB-2D9BAA73AA17}">
  <cacheSource type="external" connectionId="1"/>
  <cacheFields count="2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6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</sharedItems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904166667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99016204" backgroundQuery="1" createdVersion="6" refreshedVersion="7" minRefreshableVersion="3" recordCount="0" supportSubquery="1" supportAdvancedDrill="1" xr:uid="{0BF3AAED-57DA-4819-8368-BA3EF8BDCCE1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267592594" backgroundQuery="1" createdVersion="6" refreshedVersion="7" minRefreshableVersion="3" recordCount="0" supportSubquery="1" supportAdvancedDrill="1" xr:uid="{B27A9C2A-2EC8-4529-8AB4-D2155777FF6E}">
  <cacheSource type="external" connectionId="3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344328706" backgroundQuery="1" createdVersion="6" refreshedVersion="7" minRefreshableVersion="3" recordCount="0" supportSubquery="1" supportAdvancedDrill="1" xr:uid="{7A51638B-C52E-4FE0-B39D-240368A7AE0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422685182" backgroundQuery="1" createdVersion="6" refreshedVersion="7" minRefreshableVersion="3" recordCount="0" supportSubquery="1" supportAdvancedDrill="1" xr:uid="{CCA4BA9C-CA35-4EE2-B76E-B4E1CE3F9AEA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515162035" backgroundQuery="1" createdVersion="6" refreshedVersion="7" minRefreshableVersion="3" recordCount="0" supportSubquery="1" supportAdvancedDrill="1" xr:uid="{8B368839-C623-4FD6-B039-45C0EBBC34D4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593750003" backgroundQuery="1" createdVersion="6" refreshedVersion="7" minRefreshableVersion="3" recordCount="0" supportSubquery="1" supportAdvancedDrill="1" xr:uid="{31232700-B7DC-4DBC-8327-C4CC9A0A2CF1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675694442" backgroundQuery="1" createdVersion="6" refreshedVersion="7" minRefreshableVersion="3" recordCount="0" supportSubquery="1" supportAdvancedDrill="1" xr:uid="{887F48CD-226E-4B26-8AAE-F6D6F5AA09EF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771874999" backgroundQuery="1" createdVersion="6" refreshedVersion="7" minRefreshableVersion="3" recordCount="0" supportSubquery="1" supportAdvancedDrill="1" xr:uid="{E1941EC5-35C4-4B2A-A795-E6ED4611146C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6"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USAQUEN]" c="CAFE QUINDIO EXPRESS USAQUEN"/>
        <s v="[INDICADORES].[Desc. C.O. movto.].&amp;[CAFE QUINDIO EXPRESS MALL PARAISO ARM.]" u="1" c="CAFE QUINDIO EXPRESS MALL PARAISO ARM.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847800926" backgroundQuery="1" createdVersion="6" refreshedVersion="7" minRefreshableVersion="3" recordCount="0" supportSubquery="1" supportAdvancedDrill="1" xr:uid="{D31BD779-BDBD-4AB9-B44B-84133B8C2CFD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6">
        <s v="[INDICADORES].[Desc. C.O. movto.].&amp;[CAFE QUINDIO EXPR. PLAZA BOLIVAR BOGOTA]" c="CAFE QUINDIO EXPR. PLAZA BOLIVAR BOGOTA"/>
        <s v="[INDICADORES].[Desc. C.O. movto.].&amp;[CAFE QUINDIO EXPRESS EVENTOS]" c="CAFE QUINDIO EXPRESS EVENTOS"/>
        <s v="[INDICADORES].[Desc. C.O. movto.].&amp;[CAFE QUINDIO EXPRESS MALL PARAISO ARM.]" c="CAFE QUINDIO EXPRESS MALL PARAISO ARM."/>
        <s v="[INDICADORES].[Desc. C.O. movto.].&amp;[CAFE QUINDIO EXPRESS PLAZA CLARO BOGOTA]" c="CAFE QUINDIO EXPRESS PLAZA CLARO BOGOTA"/>
        <s v="[INDICADORES].[Desc. C.O. movto.].&amp;[CAFE QUINDIO EXPRESS UNICENTRO 2 ARMENIA]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92233796" backgroundQuery="1" createdVersion="6" refreshedVersion="7" minRefreshableVersion="3" recordCount="0" supportSubquery="1" supportAdvancedDrill="1" xr:uid="{1DE37F44-1B88-4160-92C3-B14615DFDEE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1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PACIFIC MALL]" c="CAFE QUINDIO EXPRESS CC PACIFIC MALL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990740744" backgroundQuery="1" createdVersion="6" refreshedVersion="7" minRefreshableVersion="3" recordCount="0" supportSubquery="1" supportAdvancedDrill="1" xr:uid="{66639327-10CC-4A3E-8C55-50D65562AE9C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3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PACIFIC MALL]" c="CAFE QUINDIO EXPRESS CC PACIFIC MALL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9085995369" backgroundQuery="1" createdVersion="6" refreshedVersion="7" minRefreshableVersion="3" recordCount="0" supportSubquery="1" supportAdvancedDrill="1" xr:uid="{FD394CA2-EFCB-4489-B5FA-4D35615E37DD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9"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TITAN PLAZA]" c="CAFE QUINDIO EXPRESS TITAN PLAZA"/>
        <s v="[INDICADORES].[Desc. C.O. movto.].&amp;[CAFE QUINDIO EXPRESS USAQUEN]" c="CAFE QUINDIO EXPRESS USAQUEN"/>
        <s v="[INDICADORES].[Desc. C.O. movto.].&amp;[CAFE QUINDIO EXPR. PLAZA BOLIVAR BOGOTA]" u="1" c="CAFE QUINDIO EXPR. PLAZA BOLIVAR BOGOTA"/>
        <s v="[INDICADORES].[Desc. C.O. movto.].&amp;[CAFE QUINDIO EXPRESS MALL PARAISO ARM.]" u="1" c="CAFE QUINDIO EXPRESS MALL PARAISO ARM."/>
        <s v="[INDICADORES].[Desc. C.O. movto.].&amp;[CAFE QUINDIO EXPRESS UNICENTRO 2 ARMENIA]" u="1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916388889" backgroundQuery="1" createdVersion="6" refreshedVersion="7" minRefreshableVersion="3" recordCount="0" supportSubquery="1" supportAdvancedDrill="1" xr:uid="{441464E8-E92B-412B-91DD-BCD683C3F942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3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CAFE QUINDIO EXPRESS VIA LA PRIMAVERA]" c="CAFE QUINDIO EXPRESS VIA LA PRIMAVERA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9275462964" backgroundQuery="1" createdVersion="6" refreshedVersion="7" minRefreshableVersion="3" recordCount="0" supportSubquery="1" supportAdvancedDrill="1" xr:uid="{EB8918D0-D173-4E2A-ABD4-94DF0D0F4B64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7">
        <s v="[INDICADORES].[Desc. C.O. movto.].&amp;[CAFE QUINDIO EXPR. PLAZA BOLIVAR BOGOTA]" c="CAFE QUINDIO EXPR. PLAZA BOLIVAR BOGOTA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UNICENTRO 2 ARMENIA]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9351967592" backgroundQuery="1" createdVersion="6" refreshedVersion="7" minRefreshableVersion="3" recordCount="0" supportSubquery="1" supportAdvancedDrill="1" xr:uid="{84F83E6D-BCF1-413E-8658-D0C65978069B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10">
        <s v="[INDICADORES].[Desc. C.O. movto.].&amp;[CAFE QUINDIO EXPRESS BUENAVISTA 2]" c="CAFE QUINDIO EXPRESS BUENAVISTA 2"/>
        <s v="[INDICADORES].[Desc. C.O. movto.].&amp;[CAFE QUINDIO EXPRESS C.C UNICENTRO TUNJA]" c="CAFE QUINDIO EXPRESS C.C UNICENTRO TUNJA"/>
        <s v="[INDICADORES].[Desc. C.O. movto.].&amp;[CAFE QUINDIO EXPRESS CARIBE]" c="CAFE QUINDIO EXPRESS CARIBE"/>
        <s v="[INDICADORES].[Desc. C.O. movto.].&amp;[CAFE QUINDIO EXPRESS CERRITOS DE MAR]" c="CAFE QUINDIO EXPRESS CERRITOS DE MAR"/>
        <s v="[INDICADORES].[Desc. C.O. movto.].&amp;[CAFE QUINDIO EXPRESS VIA LA PRIMAVERA]" c="CAFE QUINDIO EXPRESS VIA LA PRIMAVERA"/>
        <s v="[INDICADORES].[Desc. C.O. movto.].&amp;[CAFE QUINDIO EXPR. PLAZA BOLIVAR BOGOTA]" u="1" c="CAFE QUINDIO EXPR. PLAZA BOLIVAR BOGOTA"/>
        <s v="[INDICADORES].[Desc. C.O. movto.].&amp;[CAFE QUINDIO EXPRESS PLAZA CLARO BOGOTA]" u="1" c="CAFE QUINDIO EXPRESS PLAZA CLARO BOGOTA"/>
        <s v="[INDICADORES].[Desc. C.O. movto.].&amp;[CAFE QUINDIO EXPRESS UNICENTRO 2 ARMENIA]" u="1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535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34" name="[ITEMS X HORAS].[Fecha].&amp;[2024-01-01T00:00:00]" cap="lunes, 1 de enero de 2024"/>
    <pageField fld="10" hier="323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567">
      <pivotArea outline="0" collapsedLevelsAreSubtotals="1" fieldPosition="0"/>
    </format>
    <format dxfId="566">
      <pivotArea outline="0" fieldPosition="0">
        <references count="1">
          <reference field="4294967294" count="1" selected="0">
            <x v="1"/>
          </reference>
        </references>
      </pivotArea>
    </format>
    <format dxfId="565">
      <pivotArea field="7" type="button" dataOnly="0" labelOnly="1" outline="0" axis="axisRow" fieldPosition="0"/>
    </format>
    <format dxfId="564">
      <pivotArea field="1" type="button" dataOnly="0" labelOnly="1" outline="0" axis="axisRow" fieldPosition="1"/>
    </format>
    <format dxfId="563">
      <pivotArea field="2" type="button" dataOnly="0" labelOnly="1" outline="0" axis="axisRow" fieldPosition="2"/>
    </format>
    <format dxfId="562">
      <pivotArea field="3" type="button" dataOnly="0" labelOnly="1" outline="0" axis="axisRow" fieldPosition="3"/>
    </format>
    <format dxfId="56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60">
      <pivotArea field="7" type="button" dataOnly="0" labelOnly="1" outline="0" axis="axisRow" fieldPosition="0"/>
    </format>
    <format dxfId="559">
      <pivotArea field="1" type="button" dataOnly="0" labelOnly="1" outline="0" axis="axisRow" fieldPosition="1"/>
    </format>
    <format dxfId="558">
      <pivotArea field="2" type="button" dataOnly="0" labelOnly="1" outline="0" axis="axisRow" fieldPosition="2"/>
    </format>
    <format dxfId="557">
      <pivotArea field="3" type="button" dataOnly="0" labelOnly="1" outline="0" axis="axisRow" fieldPosition="3"/>
    </format>
    <format dxfId="55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55">
      <pivotArea field="7" type="button" dataOnly="0" labelOnly="1" outline="0" axis="axisRow" fieldPosition="0"/>
    </format>
    <format dxfId="554">
      <pivotArea field="1" type="button" dataOnly="0" labelOnly="1" outline="0" axis="axisRow" fieldPosition="1"/>
    </format>
    <format dxfId="553">
      <pivotArea field="2" type="button" dataOnly="0" labelOnly="1" outline="0" axis="axisRow" fieldPosition="2"/>
    </format>
    <format dxfId="552">
      <pivotArea field="3" type="button" dataOnly="0" labelOnly="1" outline="0" axis="axisRow" fieldPosition="3"/>
    </format>
    <format dxfId="55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50">
      <pivotArea field="7" type="button" dataOnly="0" labelOnly="1" outline="0" axis="axisRow" fieldPosition="0"/>
    </format>
    <format dxfId="549">
      <pivotArea field="1" type="button" dataOnly="0" labelOnly="1" outline="0" axis="axisRow" fieldPosition="1"/>
    </format>
    <format dxfId="548">
      <pivotArea field="2" type="button" dataOnly="0" labelOnly="1" outline="0" axis="axisRow" fieldPosition="2"/>
    </format>
    <format dxfId="547">
      <pivotArea field="3" type="button" dataOnly="0" labelOnly="1" outline="0" axis="axisRow" fieldPosition="3"/>
    </format>
    <format dxfId="546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45">
      <pivotArea field="7" type="button" dataOnly="0" labelOnly="1" outline="0" axis="axisRow" fieldPosition="0"/>
    </format>
    <format dxfId="544">
      <pivotArea field="1" type="button" dataOnly="0" labelOnly="1" outline="0" axis="axisRow" fieldPosition="1"/>
    </format>
    <format dxfId="543">
      <pivotArea field="2" type="button" dataOnly="0" labelOnly="1" outline="0" axis="axisRow" fieldPosition="2"/>
    </format>
    <format dxfId="542">
      <pivotArea field="3" type="button" dataOnly="0" labelOnly="1" outline="0" axis="axisRow" fieldPosition="3"/>
    </format>
    <format dxfId="541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40">
      <pivotArea field="7" type="button" dataOnly="0" labelOnly="1" outline="0" axis="axisRow" fieldPosition="0"/>
    </format>
    <format dxfId="539">
      <pivotArea field="1" type="button" dataOnly="0" labelOnly="1" outline="0" axis="axisRow" fieldPosition="1"/>
    </format>
    <format dxfId="538">
      <pivotArea field="2" type="button" dataOnly="0" labelOnly="1" outline="0" axis="axisRow" fieldPosition="2"/>
    </format>
    <format dxfId="537">
      <pivotArea field="3" type="button" dataOnly="0" labelOnly="1" outline="0" axis="axisRow" fieldPosition="3"/>
    </format>
    <format dxfId="536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35">
      <pivotArea outline="0" fieldPosition="0">
        <references count="1">
          <reference field="4294967294" count="1" selected="0">
            <x v="3"/>
          </reference>
        </references>
      </pivotArea>
    </format>
    <format dxfId="534">
      <pivotArea outline="0" fieldPosition="0">
        <references count="1">
          <reference field="4294967294" count="1" selected="0">
            <x v="2"/>
          </reference>
        </references>
      </pivotArea>
    </format>
    <format dxfId="533">
      <pivotArea field="7" type="button" dataOnly="0" labelOnly="1" outline="0" axis="axisRow" fieldPosition="0"/>
    </format>
    <format dxfId="532">
      <pivotArea field="1" type="button" dataOnly="0" labelOnly="1" outline="0" axis="axisRow" fieldPosition="1"/>
    </format>
    <format dxfId="531">
      <pivotArea field="2" type="button" dataOnly="0" labelOnly="1" outline="0" axis="axisRow" fieldPosition="2"/>
    </format>
    <format dxfId="530">
      <pivotArea field="3" type="button" dataOnly="0" labelOnly="1" outline="0" axis="axisRow" fieldPosition="3"/>
    </format>
    <format dxfId="529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528">
      <pivotArea field="7" type="button" dataOnly="0" labelOnly="1" outline="0" axis="axisRow" fieldPosition="0"/>
    </format>
    <format dxfId="527">
      <pivotArea field="1" type="button" dataOnly="0" labelOnly="1" outline="0" axis="axisRow" fieldPosition="1"/>
    </format>
    <format dxfId="526">
      <pivotArea field="2" type="button" dataOnly="0" labelOnly="1" outline="0" axis="axisRow" fieldPosition="2"/>
    </format>
    <format dxfId="525">
      <pivotArea field="3" type="button" dataOnly="0" labelOnly="1" outline="0" axis="axisRow" fieldPosition="3"/>
    </format>
    <format dxfId="52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2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2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21">
      <pivotArea outline="0" fieldPosition="0">
        <references count="1">
          <reference field="4294967294" count="1">
            <x v="4"/>
          </reference>
        </references>
      </pivotArea>
    </format>
    <format dxfId="52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519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51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51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51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53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34" name="[ITEMS X HORAS].[Fecha].&amp;[2024-01-01T00:00:00]" cap="lunes, 1 de enero de 2024"/>
    <pageField fld="9" hier="323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515">
      <pivotArea outline="0" collapsedLevelsAreSubtotals="1" fieldPosition="0"/>
    </format>
    <format dxfId="514">
      <pivotArea outline="0" fieldPosition="0">
        <references count="1">
          <reference field="4294967294" count="1" selected="0">
            <x v="1"/>
          </reference>
        </references>
      </pivotArea>
    </format>
    <format dxfId="513">
      <pivotArea field="7" type="button" dataOnly="0" labelOnly="1" outline="0" axis="axisRow" fieldPosition="0"/>
    </format>
    <format dxfId="512">
      <pivotArea field="1" type="button" dataOnly="0" labelOnly="1" outline="0" axis="axisRow" fieldPosition="1"/>
    </format>
    <format dxfId="511">
      <pivotArea field="2" type="button" dataOnly="0" labelOnly="1" outline="0" axis="axisRow" fieldPosition="2"/>
    </format>
    <format dxfId="510">
      <pivotArea field="3" type="button" dataOnly="0" labelOnly="1" outline="0" axis="axisRow" fieldPosition="3"/>
    </format>
    <format dxfId="50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08">
      <pivotArea field="7" type="button" dataOnly="0" labelOnly="1" outline="0" axis="axisRow" fieldPosition="0"/>
    </format>
    <format dxfId="507">
      <pivotArea field="1" type="button" dataOnly="0" labelOnly="1" outline="0" axis="axisRow" fieldPosition="1"/>
    </format>
    <format dxfId="506">
      <pivotArea field="2" type="button" dataOnly="0" labelOnly="1" outline="0" axis="axisRow" fieldPosition="2"/>
    </format>
    <format dxfId="505">
      <pivotArea field="3" type="button" dataOnly="0" labelOnly="1" outline="0" axis="axisRow" fieldPosition="3"/>
    </format>
    <format dxfId="50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03">
      <pivotArea field="7" type="button" dataOnly="0" labelOnly="1" outline="0" axis="axisRow" fieldPosition="0"/>
    </format>
    <format dxfId="502">
      <pivotArea field="1" type="button" dataOnly="0" labelOnly="1" outline="0" axis="axisRow" fieldPosition="1"/>
    </format>
    <format dxfId="501">
      <pivotArea field="2" type="button" dataOnly="0" labelOnly="1" outline="0" axis="axisRow" fieldPosition="2"/>
    </format>
    <format dxfId="500">
      <pivotArea field="3" type="button" dataOnly="0" labelOnly="1" outline="0" axis="axisRow" fieldPosition="3"/>
    </format>
    <format dxfId="49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98">
      <pivotArea field="7" type="button" dataOnly="0" labelOnly="1" outline="0" axis="axisRow" fieldPosition="0"/>
    </format>
    <format dxfId="497">
      <pivotArea field="1" type="button" dataOnly="0" labelOnly="1" outline="0" axis="axisRow" fieldPosition="1"/>
    </format>
    <format dxfId="496">
      <pivotArea field="2" type="button" dataOnly="0" labelOnly="1" outline="0" axis="axisRow" fieldPosition="2"/>
    </format>
    <format dxfId="495">
      <pivotArea field="3" type="button" dataOnly="0" labelOnly="1" outline="0" axis="axisRow" fieldPosition="3"/>
    </format>
    <format dxfId="49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93">
      <pivotArea field="7" type="button" dataOnly="0" labelOnly="1" outline="0" axis="axisRow" fieldPosition="0"/>
    </format>
    <format dxfId="492">
      <pivotArea field="1" type="button" dataOnly="0" labelOnly="1" outline="0" axis="axisRow" fieldPosition="1"/>
    </format>
    <format dxfId="491">
      <pivotArea field="2" type="button" dataOnly="0" labelOnly="1" outline="0" axis="axisRow" fieldPosition="2"/>
    </format>
    <format dxfId="490">
      <pivotArea field="3" type="button" dataOnly="0" labelOnly="1" outline="0" axis="axisRow" fieldPosition="3"/>
    </format>
    <format dxfId="489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88">
      <pivotArea field="7" type="button" dataOnly="0" labelOnly="1" outline="0" axis="axisRow" fieldPosition="0"/>
    </format>
    <format dxfId="487">
      <pivotArea field="1" type="button" dataOnly="0" labelOnly="1" outline="0" axis="axisRow" fieldPosition="1"/>
    </format>
    <format dxfId="486">
      <pivotArea field="2" type="button" dataOnly="0" labelOnly="1" outline="0" axis="axisRow" fieldPosition="2"/>
    </format>
    <format dxfId="485">
      <pivotArea field="3" type="button" dataOnly="0" labelOnly="1" outline="0" axis="axisRow" fieldPosition="3"/>
    </format>
    <format dxfId="48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83">
      <pivotArea outline="0" fieldPosition="0">
        <references count="1">
          <reference field="4294967294" count="1" selected="0">
            <x v="3"/>
          </reference>
        </references>
      </pivotArea>
    </format>
    <format dxfId="482">
      <pivotArea outline="0" fieldPosition="0">
        <references count="1">
          <reference field="4294967294" count="1" selected="0">
            <x v="2"/>
          </reference>
        </references>
      </pivotArea>
    </format>
    <format dxfId="481">
      <pivotArea field="7" type="button" dataOnly="0" labelOnly="1" outline="0" axis="axisRow" fieldPosition="0"/>
    </format>
    <format dxfId="480">
      <pivotArea field="1" type="button" dataOnly="0" labelOnly="1" outline="0" axis="axisRow" fieldPosition="1"/>
    </format>
    <format dxfId="479">
      <pivotArea field="2" type="button" dataOnly="0" labelOnly="1" outline="0" axis="axisRow" fieldPosition="2"/>
    </format>
    <format dxfId="478">
      <pivotArea field="3" type="button" dataOnly="0" labelOnly="1" outline="0" axis="axisRow" fieldPosition="3"/>
    </format>
    <format dxfId="477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476">
      <pivotArea field="7" type="button" dataOnly="0" labelOnly="1" outline="0" axis="axisRow" fieldPosition="0"/>
    </format>
    <format dxfId="475">
      <pivotArea field="1" type="button" dataOnly="0" labelOnly="1" outline="0" axis="axisRow" fieldPosition="1"/>
    </format>
    <format dxfId="474">
      <pivotArea field="2" type="button" dataOnly="0" labelOnly="1" outline="0" axis="axisRow" fieldPosition="2"/>
    </format>
    <format dxfId="473">
      <pivotArea field="3" type="button" dataOnly="0" labelOnly="1" outline="0" axis="axisRow" fieldPosition="3"/>
    </format>
    <format dxfId="47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7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7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69">
      <pivotArea outline="0" fieldPosition="0">
        <references count="1">
          <reference field="4294967294" count="1">
            <x v="4"/>
          </reference>
        </references>
      </pivotArea>
    </format>
    <format dxfId="46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46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46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46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46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D3BE5-710F-4D4F-AD23-001951D8AD97}" name="PivotTable1" cacheId="556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&amp;[mayo]" cap="mayo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1A8A-3315-4DFE-8444-466173227E46}" name="TablaDinámica1" cacheId="559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0B2D-08E8-4DF7-BF0D-06EC993FD559}" name="PivotTable1" cacheId="550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44131-2660-420F-95B9-842EE2BBED0E}" name="TablaDinámica1" cacheId="562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D5:E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07563-E9B9-4587-A477-8D2956402885}" name="TablaDinámica2" cacheId="51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5:C28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2">
    <i>
      <x v="6"/>
    </i>
    <i>
      <x v="10"/>
    </i>
    <i>
      <x v="1"/>
    </i>
    <i>
      <x v="7"/>
    </i>
    <i>
      <x v="5"/>
    </i>
    <i>
      <x/>
    </i>
    <i>
      <x v="3"/>
    </i>
    <i>
      <x v="8"/>
    </i>
    <i>
      <x v="9"/>
    </i>
    <i>
      <x v="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mayo]" cap="mayo"/>
  </pageFields>
  <dataFields count="2">
    <dataField fld="3" baseField="0" baseItem="0"/>
    <dataField fld="2" baseField="0" baseItem="0"/>
  </dataFields>
  <formats count="6">
    <format dxfId="459">
      <pivotArea collapsedLevelsAreSubtotals="1" fieldPosition="0">
        <references count="1">
          <reference field="5" count="6">
            <x v="2"/>
            <x v="4"/>
            <x v="7"/>
            <x v="9"/>
            <x v="11"/>
            <x v="12"/>
          </reference>
        </references>
      </pivotArea>
    </format>
    <format dxfId="458">
      <pivotArea dataOnly="0" labelOnly="1" fieldPosition="0">
        <references count="1">
          <reference field="5" count="6">
            <x v="2"/>
            <x v="4"/>
            <x v="7"/>
            <x v="9"/>
            <x v="11"/>
            <x v="12"/>
          </reference>
        </references>
      </pivotArea>
    </format>
    <format dxfId="457">
      <pivotArea dataOnly="0" labelOnly="1" fieldPosition="0">
        <references count="1">
          <reference field="5" count="1">
            <x v="6"/>
          </reference>
        </references>
      </pivotArea>
    </format>
    <format dxfId="456">
      <pivotArea dataOnly="0" labelOnly="1" fieldPosition="0">
        <references count="1">
          <reference field="5" count="1">
            <x v="10"/>
          </reference>
        </references>
      </pivotArea>
    </format>
    <format dxfId="455">
      <pivotArea dataOnly="0" labelOnly="1" fieldPosition="0">
        <references count="1">
          <reference field="5" count="1">
            <x v="1"/>
          </reference>
        </references>
      </pivotArea>
    </format>
    <format dxfId="454">
      <pivotArea dataOnly="0" labelOnly="1" fieldPosition="0">
        <references count="1">
          <reference field="5" count="4">
            <x v="0"/>
            <x v="3"/>
            <x v="5"/>
            <x v="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0BFF-451B-4D28-BDFD-D9BE5D824BB8}" name="TablaDinámica3" cacheId="52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15:H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8"/>
    </i>
    <i>
      <x v="12"/>
    </i>
    <i>
      <x v="1"/>
    </i>
    <i>
      <x v="7"/>
    </i>
    <i>
      <x v="9"/>
    </i>
    <i>
      <x/>
    </i>
    <i>
      <x v="3"/>
    </i>
    <i>
      <x v="10"/>
    </i>
    <i>
      <x v="11"/>
    </i>
    <i>
      <x v="5"/>
    </i>
    <i>
      <x v="2"/>
    </i>
    <i>
      <x v="6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formats count="2">
    <format dxfId="461">
      <pivotArea dataOnly="0" labelOnly="1" fieldPosition="0">
        <references count="1">
          <reference field="5" count="6">
            <x v="0"/>
            <x v="1"/>
            <x v="3"/>
            <x v="7"/>
            <x v="8"/>
            <x v="12"/>
          </reference>
        </references>
      </pivotArea>
    </format>
    <format dxfId="460">
      <pivotArea dataOnly="0" labelOnly="1" fieldPosition="0">
        <references count="1">
          <reference field="5" count="1">
            <x v="10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E2FE6-747E-455D-A691-DA4EC5C39462}" name="PivotTable1" cacheId="520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06F7E-09A0-4670-BCEF-8854A611207E}" name="TablaDinámica1" cacheId="52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517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607" name="[Ventas].[Desc. item].&amp;" cap=""/>
    <pageField fld="1" hier="186" name="[Calendario].[Año].&amp;[2024]" cap="2024"/>
    <pageField fld="7" hier="188" name="[Calendario].[Date].&amp;[2024-01-01T00:00:00]" cap="01/01/2024"/>
    <pageField fld="0" hier="195" name="[Calendario].[Mes].&amp;[mayo]" cap="mayo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453">
      <pivotArea field="3" type="button" dataOnly="0" labelOnly="1" outline="0"/>
    </format>
    <format dxfId="452">
      <pivotArea field="3" type="button" dataOnly="0" labelOnly="1" outline="0"/>
    </format>
    <format dxfId="451">
      <pivotArea field="3" type="button" dataOnly="0" labelOnly="1" outline="0"/>
    </format>
    <format dxfId="450">
      <pivotArea field="3" type="button" dataOnly="0" labelOnly="1" outline="0"/>
    </format>
    <format dxfId="449">
      <pivotArea field="3" type="button" dataOnly="0" labelOnly="1" outline="0"/>
    </format>
    <format dxfId="448">
      <pivotArea field="3" type="button" dataOnly="0" labelOnly="1" outline="0"/>
    </format>
    <format dxfId="447">
      <pivotArea field="3" type="button" dataOnly="0" labelOnly="1" outline="0"/>
    </format>
    <format dxfId="446">
      <pivotArea field="3" type="button" dataOnly="0" labelOnly="1" outline="0"/>
    </format>
    <format dxfId="445">
      <pivotArea outline="0" collapsedLevelsAreSubtotals="1" fieldPosition="0"/>
    </format>
    <format dxfId="444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524" level="1">
        <member name="[Calendario].[Date].&amp;[2024-01-01T00:00:00]"/>
        <member name="[Calendario].[Date].&amp;[2024-01-02T00:00:00]"/>
        <member name="[Calendario].[Date].&amp;[2024-01-03T00:00:00]"/>
        <member name="[Calendario].[Date].&amp;[2024-01-04T00:00:00]"/>
        <member name="[Calendario].[Date].&amp;[2024-01-05T00:00:00]"/>
        <member name="[Calendario].[Date].&amp;[2024-01-06T00:00:00]"/>
        <member name="[Calendario].[Date].&amp;[2024-01-07T00:00:00]"/>
        <member name="[Calendario].[Date].&amp;[2024-01-08T00:00:00]"/>
        <member name="[Calendario].[Date].&amp;[2024-01-09T00:00:00]"/>
        <member name="[Calendario].[Date].&amp;[2024-01-10T00:00:00]"/>
        <member name="[Calendario].[Date].&amp;[2024-01-11T00:00:00]"/>
        <member name="[Calendario].[Date].&amp;[2024-01-12T00:00:00]"/>
        <member name="[Calendario].[Date].&amp;[2024-01-13T00:00:00]"/>
        <member name="[Calendario].[Date].&amp;[2024-01-14T00:00:00]"/>
        <member name="[Calendario].[Date].&amp;[2024-01-15T00:00:00]"/>
        <member name="[Calendario].[Date].&amp;[2024-01-16T00:00:00]"/>
        <member name="[Calendario].[Date].&amp;[2024-01-17T00:00:00]"/>
        <member name="[Calendario].[Date].&amp;[2024-01-18T00:00:00]"/>
        <member name="[Calendario].[Date].&amp;[2024-01-19T00:00:00]"/>
        <member name="[Calendario].[Date].&amp;[2024-01-20T00:00:00]"/>
        <member name="[Calendario].[Date].&amp;[2024-01-21T00:00:00]"/>
        <member name="[Calendario].[Date].&amp;[2024-01-22T00:00:00]"/>
        <member name="[Calendario].[Date].&amp;[2024-01-23T00:00:00]"/>
        <member name="[Calendario].[Date].&amp;[2024-01-24T00:00:00]"/>
        <member name="[Calendario].[Date].&amp;[2024-01-25T00:00:00]"/>
        <member name="[Calendario].[Date].&amp;[2024-01-26T00:00:00]"/>
        <member name="[Calendario].[Date].&amp;[2024-01-27T00:00:00]"/>
        <member name="[Calendario].[Date].&amp;[2024-01-28T00:00:00]"/>
        <member name="[Calendario].[Date].&amp;[2024-01-29T00:00:00]"/>
        <member name="[Calendario].[Date].&amp;[2024-01-30T00:00:00]"/>
        <member name="[Calendario].[Date].&amp;[2024-01-31T00:00:00]"/>
        <member name="[Calendario].[Date].&amp;[2024-02-01T00:00:00]"/>
        <member name="[Calendario].[Date].&amp;[2024-02-02T00:00:00]"/>
        <member name="[Calendario].[Date].&amp;[2024-02-03T00:00:00]"/>
        <member name="[Calendario].[Date].&amp;[2024-02-04T00:00:00]"/>
        <member name="[Calendario].[Date].&amp;[2024-02-05T00:00:00]"/>
        <member name="[Calendario].[Date].&amp;[2024-02-06T00:00:00]"/>
        <member name="[Calendario].[Date].&amp;[2024-02-07T00:00:00]"/>
        <member name="[Calendario].[Date].&amp;[2024-02-08T00:00:00]"/>
        <member name="[Calendario].[Date].&amp;[2024-02-09T00:00:00]"/>
        <member name="[Calendario].[Date].&amp;[2024-02-10T00:00:00]"/>
        <member name="[Calendario].[Date].&amp;[2024-02-11T00:00:00]"/>
        <member name="[Calendario].[Date].&amp;[2024-02-12T00:00:00]"/>
        <member name="[Calendario].[Date].&amp;[2024-02-13T00:00:00]"/>
        <member name="[Calendario].[Date].&amp;[2024-02-14T00:00:00]"/>
        <member name="[Calendario].[Date].&amp;[2024-02-15T00:00:00]"/>
        <member name="[Calendario].[Date].&amp;[2024-02-16T00:00:00]"/>
        <member name="[Calendario].[Date].&amp;[2024-02-17T00:00:00]"/>
        <member name="[Calendario].[Date].&amp;[2024-02-18T00:00:00]"/>
        <member name="[Calendario].[Date].&amp;[2024-02-19T00:00:00]"/>
        <member name="[Calendario].[Date].&amp;[2024-02-20T00:00:00]"/>
        <member name="[Calendario].[Date].&amp;[2024-02-21T00:00:00]"/>
        <member name="[Calendario].[Date].&amp;[2024-02-22T00:00:00]"/>
        <member name="[Calendario].[Date].&amp;[2024-02-23T00:00:00]"/>
        <member name="[Calendario].[Date].&amp;[2024-02-24T00:00:00]"/>
        <member name="[Calendario].[Date].&amp;[2024-02-25T00:00:00]"/>
        <member name="[Calendario].[Date].&amp;[2024-02-26T00:00:00]"/>
        <member name="[Calendario].[Date].&amp;[2024-02-27T00:00:00]"/>
        <member name="[Calendario].[Date].&amp;[2024-02-28T00:00:00]"/>
        <member name="[Calendario].[Date].&amp;[2024-02-29T00:00:00]"/>
        <member name="[Calendario].[Date].&amp;[2024-03-01T00:00:00]"/>
        <member name="[Calendario].[Date].&amp;[2024-03-02T00:00:00]"/>
        <member name="[Calendario].[Date].&amp;[2024-03-03T00:00:00]"/>
        <member name="[Calendario].[Date].&amp;[2024-03-04T00:00:00]"/>
        <member name="[Calendario].[Date].&amp;[2024-03-05T00:00:00]"/>
        <member name="[Calendario].[Date].&amp;[2024-03-06T00:00:00]"/>
        <member name="[Calendario].[Date].&amp;[2024-03-07T00:00:00]"/>
        <member name="[Calendario].[Date].&amp;[2024-03-08T00:00:00]"/>
        <member name="[Calendario].[Date].&amp;[2024-03-09T00:00:00]"/>
        <member name="[Calendario].[Date].&amp;[2024-03-10T00:00:00]"/>
        <member name="[Calendario].[Date].&amp;[2024-03-11T00:00:00]"/>
        <member name="[Calendario].[Date].&amp;[2024-03-12T00:00:00]"/>
        <member name="[Calendario].[Date].&amp;[2024-03-13T00:00:00]"/>
        <member name="[Calendario].[Date].&amp;[2024-03-14T00:00:00]"/>
        <member name="[Calendario].[Date].&amp;[2024-03-15T00:00:00]"/>
        <member name="[Calendario].[Date].&amp;[2024-03-16T00:00:00]"/>
        <member name="[Calendario].[Date].&amp;[2024-03-17T00:00:00]"/>
        <member name="[Calendario].[Date].&amp;[2024-03-18T00:00:00]"/>
        <member name="[Calendario].[Date].&amp;[2024-03-19T00:00:00]"/>
        <member name="[Calendario].[Date].&amp;[2024-03-20T00:00:00]"/>
        <member name="[Calendario].[Date].&amp;[2024-03-21T00:00:00]"/>
        <member name="[Calendario].[Date].&amp;[2024-03-22T00:00:00]"/>
        <member name="[Calendario].[Date].&amp;[2024-03-23T00:00:00]"/>
        <member name="[Calendario].[Date].&amp;[2024-03-24T00:00:00]"/>
        <member name="[Calendario].[Date].&amp;[2024-03-25T00:00:00]"/>
        <member name="[Calendario].[Date].&amp;[2024-03-26T00:00:00]"/>
        <member name="[Calendario].[Date].&amp;[2024-03-27T00:00:00]"/>
        <member name="[Calendario].[Date].&amp;[2024-03-28T00:00:00]"/>
        <member name="[Calendario].[Date].&amp;[2024-03-29T00:00:00]"/>
        <member name="[Calendario].[Date].&amp;[2024-03-30T00:00:00]"/>
        <member name="[Calendario].[Date].&amp;[2024-03-31T00:00:00]"/>
        <member name="[Calendario].[Date].&amp;[2024-04-01T00:00:00]"/>
        <member name="[Calendario].[Date].&amp;[2024-04-02T00:00:00]"/>
        <member name="[Calendario].[Date].&amp;[2024-04-03T00:00:00]"/>
        <member name="[Calendario].[Date].&amp;[2024-04-04T00:00:00]"/>
        <member name="[Calendario].[Date].&amp;[2024-04-05T00:00:00]"/>
        <member name="[Calendario].[Date].&amp;[2024-04-06T00:00:00]"/>
        <member name="[Calendario].[Date].&amp;[2024-04-07T00:00:00]"/>
        <member name="[Calendario].[Date].&amp;[2024-04-08T00:00:00]"/>
        <member name="[Calendario].[Date].&amp;[2024-04-09T00:00:00]"/>
        <member name="[Calendario].[Date].&amp;[2024-04-10T00:00:00]"/>
        <member name="[Calendario].[Date].&amp;[2024-04-11T00:00:00]"/>
        <member name="[Calendario].[Date].&amp;[2024-04-12T00:00:00]"/>
        <member name="[Calendario].[Date].&amp;[2024-04-13T00:00:00]"/>
        <member name="[Calendario].[Date].&amp;[2024-04-14T00:00:00]"/>
        <member name="[Calendario].[Date].&amp;[2024-04-15T00:00:00]"/>
        <member name="[Calendario].[Date].&amp;[2024-04-16T00:00:00]"/>
        <member name="[Calendario].[Date].&amp;[2024-04-17T00:00:00]"/>
        <member name="[Calendario].[Date].&amp;[2024-04-18T00:00:00]"/>
        <member name="[Calendario].[Date].&amp;[2024-04-19T00:00:00]"/>
        <member name="[Calendario].[Date].&amp;[2024-04-20T00:00:00]"/>
        <member name="[Calendario].[Date].&amp;[2024-04-21T00:00:00]"/>
        <member name="[Calendario].[Date].&amp;[2024-04-22T00:00:00]"/>
        <member name="[Calendario].[Date].&amp;[2024-04-23T00:00:00]"/>
        <member name="[Calendario].[Date].&amp;[2024-04-24T00:00:00]"/>
        <member name="[Calendario].[Date].&amp;[2024-04-25T00:00:00]"/>
        <member name="[Calendario].[Date].&amp;[2024-04-26T00:00:00]"/>
        <member name="[Calendario].[Date].&amp;[2024-04-27T00:00:00]"/>
        <member name="[Calendario].[Date].&amp;[2024-04-28T00:00:00]"/>
        <member name="[Calendario].[Date].&amp;[2024-04-29T00:00:00]"/>
        <member name="[Calendario].[Date].&amp;[2024-04-30T00:00:00]"/>
        <member name="[Calendario].[Date].&amp;[2024-05-01T00:00:00]"/>
        <member name="[Calendario].[Date].&amp;[2024-05-02T00:00:00]"/>
        <member name="[Calendario].[Date].&amp;[2024-05-03T00:00:00]"/>
        <member name="[Calendario].[Date].&amp;[2024-05-04T00:00:00]"/>
        <member name="[Calendario].[Date].&amp;[2024-05-05T00:00:00]"/>
        <member name="[Calendario].[Date].&amp;[2024-05-06T00:00:00]"/>
        <member name="[Calendario].[Date].&amp;[2024-05-07T00:00:00]"/>
        <member name="[Calendario].[Date].&amp;[2024-05-08T00:00:00]"/>
        <member name="[Calendario].[Date].&amp;[2024-05-09T00:00:00]"/>
        <member name="[Calendario].[Date].&amp;[2024-05-10T00:00:00]"/>
        <member name="[Calendario].[Date].&amp;[2024-05-11T00:00:00]"/>
        <member name="[Calendario].[Date].&amp;[2024-05-12T00:00:00]"/>
        <member name="[Calendario].[Date].&amp;[2024-05-13T00:00:00]"/>
        <member name="[Calendario].[Date].&amp;[2024-05-14T00:00:00]"/>
        <member name="[Calendario].[Date].&amp;[2024-05-15T00:00:00]"/>
        <member name="[Calendario].[Date].&amp;[2024-05-16T00:00:00]"/>
        <member name="[Calendario].[Date].&amp;[2024-05-17T00:00:00]"/>
        <member name="[Calendario].[Date].&amp;[2024-05-18T00:00:00]"/>
        <member name="[Calendario].[Date].&amp;[2024-05-19T00:00:00]"/>
        <member name="[Calendario].[Date].&amp;[2024-05-20T00:00:00]"/>
        <member name="[Calendario].[Date].&amp;[2024-05-21T00:00:00]"/>
        <member name="[Calendario].[Date].&amp;[2024-05-22T00:00:00]"/>
        <member name="[Calendario].[Date].&amp;[2024-05-23T00:00:00]"/>
        <member name="[Calendario].[Date].&amp;[2024-05-24T00:00:00]"/>
        <member name="[Calendario].[Date].&amp;[2024-05-25T00:00:00]"/>
        <member name="[Calendario].[Date].&amp;[2024-05-26T00:00:00]"/>
        <member name="[Calendario].[Date].&amp;[2024-05-27T00:00:00]"/>
        <member name="[Calendario].[Date].&amp;[2024-05-28T00:00:00]"/>
        <member name="[Calendario].[Date].&amp;[2024-05-29T00:00:00]"/>
        <member name="[Calendario].[Date].&amp;[2024-05-30T00:00:00]"/>
        <member name="[Calendario].[Date].&amp;[2024-05-31T00:00:00]"/>
        <member name="[Calendario].[Date].&amp;[2024-06-01T00:00:00]"/>
        <member name="[Calendario].[Date].&amp;[2024-06-02T00:00:00]"/>
        <member name="[Calendario].[Date].&amp;[2024-06-03T00:00:00]"/>
        <member name="[Calendario].[Date].&amp;[2024-06-04T00:00:00]"/>
        <member name="[Calendario].[Date].&amp;[2024-06-05T00:00:00]"/>
        <member name="[Calendario].[Date].&amp;[2024-06-06T00:00:00]"/>
        <member name="[Calendario].[Date].&amp;[2024-06-07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2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 ONZ OBSEQUIO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7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863E6-4F6D-4ED8-BA32-471BE27C2D8A}" name="TablaDinámica1" cacheId="54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8:C10" firstHeaderRow="1" firstDataRow="2" firstDataCol="0" rowPageCount="6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6">
    <pageField fld="6" hier="572" name="[Unidad de negocio].[Unidad de Negocio].[All]" cap="All"/>
    <pageField fld="10" hier="392" name="[LANZAMIENTOS].[ESTADO].[All]" cap="All"/>
    <pageField fld="8" hier="607" name="[Ventas].[Desc. item].&amp;" cap=""/>
    <pageField fld="1" hier="186" name="[Calendario].[Año].&amp;[2024]" cap="2024"/>
    <pageField fld="7" hier="188" name="[Calendario].[Date].&amp;[2024-10-01T00:00:00]" cap="01/10/2024"/>
    <pageField fld="0" hier="195" name="[Calendario].[Mes].&amp;[mayo]" cap="mayo"/>
  </pageFields>
  <dataFields count="3">
    <dataField fld="9" baseField="0" baseItem="0" numFmtId="10"/>
    <dataField fld="11" baseField="0" baseItem="0"/>
    <dataField name="Ventas" fld="12" baseField="0" baseItem="0"/>
  </dataFields>
  <formats count="10">
    <format dxfId="443">
      <pivotArea field="3" type="button" dataOnly="0" labelOnly="1" outline="0"/>
    </format>
    <format dxfId="442">
      <pivotArea field="3" type="button" dataOnly="0" labelOnly="1" outline="0"/>
    </format>
    <format dxfId="441">
      <pivotArea field="3" type="button" dataOnly="0" labelOnly="1" outline="0"/>
    </format>
    <format dxfId="440">
      <pivotArea field="3" type="button" dataOnly="0" labelOnly="1" outline="0"/>
    </format>
    <format dxfId="439">
      <pivotArea field="3" type="button" dataOnly="0" labelOnly="1" outline="0"/>
    </format>
    <format dxfId="438">
      <pivotArea field="3" type="button" dataOnly="0" labelOnly="1" outline="0"/>
    </format>
    <format dxfId="437">
      <pivotArea field="3" type="button" dataOnly="0" labelOnly="1" outline="0"/>
    </format>
    <format dxfId="436">
      <pivotArea field="3" type="button" dataOnly="0" labelOnly="1" outline="0"/>
    </format>
    <format dxfId="435">
      <pivotArea outline="0" collapsedLevelsAreSubtotals="1" fieldPosition="0"/>
    </format>
    <format dxfId="434">
      <pivotArea outline="0" fieldPosition="0">
        <references count="1">
          <reference field="4294967294" count="1" selected="0">
            <x v="0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457" level="1">
        <member name="[Calendario].[Date].&amp;[2024-10-01T00:00:00]"/>
        <member name="[Calendario].[Date].&amp;[2024-10-02T00:00:00]"/>
        <member name="[Calendario].[Date].&amp;[2024-10-03T00:00:00]"/>
        <member name="[Calendario].[Date].&amp;[2024-10-04T00:00:00]"/>
        <member name="[Calendario].[Date].&amp;[2024-10-05T00:00:00]"/>
        <member name="[Calendario].[Date].&amp;[2024-10-06T00:00:00]"/>
        <member name="[Calendario].[Date].&amp;[2024-10-07T00:00:00]"/>
        <member name="[Calendario].[Date].&amp;[2024-10-08T00:00:00]"/>
        <member name="[Calendario].[Date].&amp;[2024-10-09T00:00:00]"/>
        <member name="[Calendario].[Date].&amp;[2024-10-10T00:00:00]"/>
        <member name="[Calendario].[Date].&amp;[2024-10-11T00:00:00]"/>
        <member name="[Calendario].[Date].&amp;[2024-10-12T00:00:00]"/>
        <member name="[Calendario].[Date].&amp;[2024-10-13T00:00:00]"/>
        <member name="[Calendario].[Date].&amp;[2024-10-14T00:00:00]"/>
        <member name="[Calendario].[Date].&amp;[2024-10-15T00:00:00]"/>
        <member name="[Calendario].[Date].&amp;[2024-10-16T00:00:00]"/>
        <member name="[Calendario].[Date].&amp;[2024-10-17T00:00:00]"/>
        <member name="[Calendario].[Date].&amp;[2024-10-18T00:00:00]"/>
        <member name="[Calendario].[Date].&amp;[2024-10-19T00:00:00]"/>
        <member name="[Calendario].[Date].&amp;[2024-10-20T00:00:00]"/>
        <member name="[Calendario].[Date].&amp;[2024-10-21T00:00:00]"/>
        <member name="[Calendario].[Date].&amp;[2024-10-22T00:00:00]"/>
        <member name="[Calendario].[Date].&amp;[2024-10-23T00:00:00]"/>
        <member name="[Calendario].[Date].&amp;[2024-10-24T00:00:00]"/>
        <member name="[Calendario].[Date].&amp;[2024-10-25T00:00:00]"/>
        <member name="[Calendario].[Date].&amp;[2024-10-26T00:00:00]"/>
        <member name="[Calendario].[Date].&amp;[2024-10-27T00:00:00]"/>
        <member name="[Calendario].[Date].&amp;[2024-10-28T00:00:00]"/>
        <member name="[Calendario].[Date].&amp;[2024-10-29T00:00:00]"/>
        <member name="[Calendario].[Date].&amp;[2024-10-30T00:00:00]"/>
        <member name="[Calendario].[Date].&amp;[2024-10-31T00:00:00]"/>
        <member name="[Calendario].[Date].&amp;[2024-11-01T00:00:00]"/>
        <member name="[Calendario].[Date].&amp;[2024-11-02T00:00:00]"/>
        <member name="[Calendario].[Date].&amp;[2024-11-03T00:00:00]"/>
        <member name="[Calendario].[Date].&amp;[2024-11-04T00:00:00]"/>
        <member name="[Calendario].[Date].&amp;[2024-11-05T00:00:00]"/>
        <member name="[Calendario].[Date].&amp;[2024-11-06T00:00:00]"/>
        <member name="[Calendario].[Date].&amp;[2024-11-07T00:00:00]"/>
        <member name="[Calendario].[Date].&amp;[2024-11-08T00:00:00]"/>
        <member name="[Calendario].[Date].&amp;[2024-11-09T00:00:00]"/>
        <member name="[Calendario].[Date].&amp;[2024-11-10T00:00:00]"/>
        <member name="[Calendario].[Date].&amp;[2024-11-11T00:00:00]"/>
        <member name="[Calendario].[Date].&amp;[2024-11-12T00:00:00]"/>
        <member name="[Calendario].[Date].&amp;[2024-11-13T00:00:00]"/>
        <member name="[Calendario].[Date].&amp;[2024-11-14T00:00:00]"/>
        <member name="[Calendario].[Date].&amp;[2024-11-15T00:00:00]"/>
        <member name="[Calendario].[Date].&amp;[2024-11-16T00:00:00]"/>
        <member name="[Calendario].[Date].&amp;[2024-11-17T00:00:00]"/>
        <member name="[Calendario].[Date].&amp;[2024-11-18T00:00:00]"/>
        <member name="[Calendario].[Date].&amp;[2024-11-19T00:00:00]"/>
        <member name="[Calendario].[Date].&amp;[2024-11-20T00:00:00]"/>
        <member name="[Calendario].[Date].&amp;[2024-11-21T00:00:00]"/>
        <member name="[Calendario].[Date].&amp;[2024-11-22T00:00:00]"/>
        <member name="[Calendario].[Date].&amp;[2024-11-23T00:00:00]"/>
        <member name="[Calendario].[Date].&amp;[2024-11-24T00:00:00]"/>
        <member name="[Calendario].[Date].&amp;[2024-11-25T00:00:00]"/>
        <member name="[Calendario].[Date].&amp;[2024-11-26T00:00:00]"/>
        <member name="[Calendario].[Date].&amp;[2024-11-27T00:00:00]"/>
        <member name="[Calendario].[Date].&amp;[2024-11-28T00:00:00]"/>
        <member name="[Calendario].[Date].&amp;[2024-11-29T00:00:00]"/>
        <member name="[Calendario].[Date].&amp;[2024-11-30T00:00:00]"/>
        <member name="[Calendario].[Date].&amp;[2024-12-01T00:00:00]"/>
        <member name="[Calendario].[Date].&amp;[2024-12-02T00:00:00]"/>
        <member name="[Calendario].[Date].&amp;[2024-12-03T00:00:00]"/>
        <member name="[Calendario].[Date].&amp;[2024-12-04T00:00:00]"/>
        <member name="[Calendario].[Date].&amp;[2024-12-05T00:00:00]"/>
        <member name="[Calendario].[Date].&amp;[2024-12-06T00:00:00]"/>
        <member name="[Calendario].[Date].&amp;[2024-12-07T00:00:00]"/>
        <member name="[Calendario].[Date].&amp;[2024-12-08T00:00:00]"/>
        <member name="[Calendario].[Date].&amp;[2024-12-09T00:00:00]"/>
        <member name="[Calendario].[Date].&amp;[2024-12-10T00:00:00]"/>
        <member name="[Calendario].[Date].&amp;[2024-12-11T00:00:00]"/>
        <member name="[Calendario].[Date].&amp;[2024-12-12T00:00:00]"/>
        <member name="[Calendario].[Date].&amp;[2024-12-13T00:00:00]"/>
        <member name="[Calendario].[Date].&amp;[2024-12-14T00:00:00]"/>
        <member name="[Calendario].[Date].&amp;[2024-12-15T00:00:00]"/>
        <member name="[Calendario].[Date].&amp;[2024-12-16T00:00:00]"/>
        <member name="[Calendario].[Date].&amp;[2024-12-17T00:00:00]"/>
        <member name="[Calendario].[Date].&amp;[2024-12-18T00:00:00]"/>
        <member name="[Calendario].[Date].&amp;[2024-12-19T00:00:00]"/>
        <member name="[Calendario].[Date].&amp;[2024-12-20T00:00:00]"/>
        <member name="[Calendario].[Date].&amp;[2024-12-21T00:00:00]"/>
        <member name="[Calendario].[Date].&amp;[2024-12-22T00:00:00]"/>
        <member name="[Calendario].[Date].&amp;[2024-12-23T00:00:00]"/>
        <member name="[Calendario].[Date].&amp;[2024-12-24T00:00:00]"/>
        <member name="[Calendario].[Date].&amp;[2024-12-25T00:00:00]"/>
        <member name="[Calendario].[Date].&amp;[2024-12-26T00:00:00]"/>
        <member name="[Calendario].[Date].&amp;[2024-12-27T00:00:00]"/>
        <member name="[Calendario].[Date].&amp;[2024-12-28T00:00:00]"/>
        <member name="[Calendario].[Date].&amp;[2024-12-29T00:00:00]"/>
        <member name="[Calendario].[Date].&amp;[2024-12-30T00:00:00]"/>
        <member name="[Calendario].[Date].&amp;[2024-12-31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8" level="1">
        <member name="[Calendario].[Mes].&amp;[mayo]"/>
        <member name="[Calendario].[Mes].&amp;[abril]"/>
        <member name="[Calendario].[Mes].&amp;[enero]"/>
        <member name="[Calendario].[Mes].&amp;[marzo]"/>
        <member name="[Calendario].[Mes].&amp;[febrero]"/>
        <member name="[Calendario].[Mes].&amp;[octubre]"/>
        <member name="[Calendario].[Mes].&amp;[diciembre]"/>
        <member name="[Calendario].[Mes].&amp;[noviembr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8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FRIO MATCHA 12 ONZ LEC SOYA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544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K38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396">
      <pivotArea field="3" type="button" dataOnly="0" labelOnly="1" outline="0"/>
    </format>
    <format dxfId="395">
      <pivotArea field="3" type="button" dataOnly="0" labelOnly="1" outline="0"/>
    </format>
    <format dxfId="394">
      <pivotArea field="3" type="button" dataOnly="0" labelOnly="1" outline="0"/>
    </format>
    <format dxfId="393">
      <pivotArea field="3" type="button" dataOnly="0" labelOnly="1" outline="0"/>
    </format>
    <format dxfId="392">
      <pivotArea field="3" type="button" dataOnly="0" labelOnly="1" outline="0"/>
    </format>
    <format dxfId="391">
      <pivotArea field="3" type="button" dataOnly="0" labelOnly="1" outline="0"/>
    </format>
    <format dxfId="390">
      <pivotArea field="3" type="button" dataOnly="0" labelOnly="1" outline="0"/>
    </format>
    <format dxfId="389">
      <pivotArea field="3" type="button" dataOnly="0" labelOnly="1" outline="0"/>
    </format>
    <format dxfId="388">
      <pivotArea outline="0" collapsedLevelsAreSubtotals="1" fieldPosition="0"/>
    </format>
    <format dxfId="387">
      <pivotArea outline="0" fieldPosition="0">
        <references count="1">
          <reference field="4294967294" count="1" selected="0">
            <x v="2"/>
          </reference>
        </references>
      </pivotArea>
    </format>
    <format dxfId="386">
      <pivotArea outline="0" fieldPosition="0">
        <references count="1">
          <reference field="4294967294" count="1" selected="0">
            <x v="4"/>
          </reference>
        </references>
      </pivotArea>
    </format>
    <format dxfId="385">
      <pivotArea outline="0" fieldPosition="0">
        <references count="1">
          <reference field="4294967294" count="1" selected="0">
            <x v="6"/>
          </reference>
        </references>
      </pivotArea>
    </format>
    <format dxfId="384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547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409">
      <pivotArea field="3" type="button" dataOnly="0" labelOnly="1" outline="0"/>
    </format>
    <format dxfId="408">
      <pivotArea field="3" type="button" dataOnly="0" labelOnly="1" outline="0"/>
    </format>
    <format dxfId="407">
      <pivotArea field="3" type="button" dataOnly="0" labelOnly="1" outline="0"/>
    </format>
    <format dxfId="406">
      <pivotArea field="3" type="button" dataOnly="0" labelOnly="1" outline="0"/>
    </format>
    <format dxfId="405">
      <pivotArea field="3" type="button" dataOnly="0" labelOnly="1" outline="0"/>
    </format>
    <format dxfId="404">
      <pivotArea field="3" type="button" dataOnly="0" labelOnly="1" outline="0"/>
    </format>
    <format dxfId="403">
      <pivotArea field="3" type="button" dataOnly="0" labelOnly="1" outline="0"/>
    </format>
    <format dxfId="402">
      <pivotArea field="3" type="button" dataOnly="0" labelOnly="1" outline="0"/>
    </format>
    <format dxfId="401">
      <pivotArea outline="0" collapsedLevelsAreSubtotals="1" fieldPosition="0"/>
    </format>
    <format dxfId="400">
      <pivotArea outline="0" fieldPosition="0">
        <references count="1">
          <reference field="4294967294" count="1" selected="0">
            <x v="2"/>
          </reference>
        </references>
      </pivotArea>
    </format>
    <format dxfId="399">
      <pivotArea outline="0" fieldPosition="0">
        <references count="1">
          <reference field="4294967294" count="1" selected="0">
            <x v="4"/>
          </reference>
        </references>
      </pivotArea>
    </format>
    <format dxfId="398">
      <pivotArea outline="0" fieldPosition="0">
        <references count="1">
          <reference field="4294967294" count="1" selected="0">
            <x v="6"/>
          </reference>
        </references>
      </pivotArea>
    </format>
    <format dxfId="397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BD8A5-A9F4-4A33-816F-65F3055C63A1}" name="TablaDinámica3" cacheId="51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71:I80" firstHeaderRow="1" firstDataRow="2" firstDataCol="4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5"/>
    <field x="14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6" baseField="0" baseItem="0"/>
    <dataField fld="17" baseField="0" baseItem="0" numFmtId="9"/>
  </dataFields>
  <formats count="12">
    <format dxfId="421">
      <pivotArea field="3" type="button" dataOnly="0" labelOnly="1" outline="0"/>
    </format>
    <format dxfId="420">
      <pivotArea field="3" type="button" dataOnly="0" labelOnly="1" outline="0"/>
    </format>
    <format dxfId="419">
      <pivotArea field="3" type="button" dataOnly="0" labelOnly="1" outline="0"/>
    </format>
    <format dxfId="418">
      <pivotArea field="3" type="button" dataOnly="0" labelOnly="1" outline="0"/>
    </format>
    <format dxfId="417">
      <pivotArea field="3" type="button" dataOnly="0" labelOnly="1" outline="0"/>
    </format>
    <format dxfId="416">
      <pivotArea field="3" type="button" dataOnly="0" labelOnly="1" outline="0"/>
    </format>
    <format dxfId="415">
      <pivotArea field="3" type="button" dataOnly="0" labelOnly="1" outline="0"/>
    </format>
    <format dxfId="414">
      <pivotArea field="3" type="button" dataOnly="0" labelOnly="1" outline="0"/>
    </format>
    <format dxfId="413">
      <pivotArea outline="0" collapsedLevelsAreSubtotals="1" fieldPosition="0"/>
    </format>
    <format dxfId="412">
      <pivotArea outline="0" fieldPosition="0">
        <references count="1">
          <reference field="4294967294" count="1" selected="0">
            <x v="2"/>
          </reference>
        </references>
      </pivotArea>
    </format>
    <format dxfId="411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  <format dxfId="410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F4C5A-5696-4D9E-B2CF-4D4E13D3A4A8}" name="TablaDinámica2" cacheId="50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50:G58" firstHeaderRow="1" firstDataRow="2" firstDataCol="2" rowPageCount="5" colPageCount="1"/>
  <pivotFields count="16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4" baseField="0" baseItem="0"/>
    <dataField fld="15" baseField="0" baseItem="0" numFmtId="9"/>
  </dataFields>
  <formats count="12">
    <format dxfId="433">
      <pivotArea field="3" type="button" dataOnly="0" labelOnly="1" outline="0"/>
    </format>
    <format dxfId="432">
      <pivotArea field="3" type="button" dataOnly="0" labelOnly="1" outline="0"/>
    </format>
    <format dxfId="431">
      <pivotArea field="3" type="button" dataOnly="0" labelOnly="1" outline="0"/>
    </format>
    <format dxfId="430">
      <pivotArea field="3" type="button" dataOnly="0" labelOnly="1" outline="0"/>
    </format>
    <format dxfId="429">
      <pivotArea field="3" type="button" dataOnly="0" labelOnly="1" outline="0"/>
    </format>
    <format dxfId="428">
      <pivotArea field="3" type="button" dataOnly="0" labelOnly="1" outline="0"/>
    </format>
    <format dxfId="427">
      <pivotArea field="3" type="button" dataOnly="0" labelOnly="1" outline="0"/>
    </format>
    <format dxfId="426">
      <pivotArea field="3" type="button" dataOnly="0" labelOnly="1" outline="0"/>
    </format>
    <format dxfId="425">
      <pivotArea outline="0" collapsedLevelsAreSubtotals="1" fieldPosition="0"/>
    </format>
    <format dxfId="424">
      <pivotArea outline="0" fieldPosition="0">
        <references count="1">
          <reference field="4294967294" count="1" selected="0">
            <x v="2"/>
          </reference>
        </references>
      </pivotArea>
    </format>
    <format dxfId="423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  <format dxfId="422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55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6-05T00:00:00]" cap="5/06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6-05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B5CBB-6026-4A51-B11A-68C51BA28043}" name="TablaDinámica13" cacheId="59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2:G5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1">
        <item x="6"/>
        <item x="5"/>
        <item x="8"/>
        <item x="7"/>
        <item x="9"/>
        <item x="0"/>
        <item x="1"/>
        <item x="2"/>
        <item x="3"/>
        <item x="4"/>
        <item t="default"/>
      </items>
    </pivotField>
  </pivotFields>
  <rowFields count="1">
    <field x="4"/>
  </rowFields>
  <rowItems count="6"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345">
      <pivotArea dataOnly="0" labelOnly="1" fieldPosition="0">
        <references count="1">
          <reference field="4" count="1">
            <x v="3"/>
          </reference>
        </references>
      </pivotArea>
    </format>
    <format dxfId="344">
      <pivotArea dataOnly="0" labelOnly="1" fieldPosition="0">
        <references count="1">
          <reference field="4" count="1">
            <x v="1"/>
          </reference>
        </references>
      </pivotArea>
    </format>
    <format dxfId="343">
      <pivotArea dataOnly="0" labelOnly="1" fieldPosition="0">
        <references count="1">
          <reference field="4" count="1">
            <x v="0"/>
          </reference>
        </references>
      </pivotArea>
    </format>
    <format dxfId="342">
      <pivotArea dataOnly="0" labelOnly="1" fieldPosition="0">
        <references count="1">
          <reference field="4" count="1">
            <x v="2"/>
          </reference>
        </references>
      </pivotArea>
    </format>
    <format dxfId="341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7" iMeasureHier="897">
      <autoFilter ref="A1">
        <filterColumn colId="0">
          <top10 top="0"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82104-C0A6-499B-93E7-CAB3A3C6B0D9}" name="TablaDinámica10" cacheId="58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38:G4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8">
        <item x="2"/>
        <item x="0"/>
        <item x="5"/>
        <item x="4"/>
        <item x="6"/>
        <item x="1"/>
        <item x="3"/>
        <item t="default"/>
      </items>
    </pivotField>
  </pivotFields>
  <rowFields count="1">
    <field x="4"/>
  </rowFields>
  <rowItems count="6">
    <i>
      <x/>
    </i>
    <i>
      <x v="1"/>
    </i>
    <i>
      <x v="3"/>
    </i>
    <i>
      <x v="5"/>
    </i>
    <i>
      <x v="6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350">
      <pivotArea dataOnly="0" labelOnly="1" fieldPosition="0">
        <references count="1">
          <reference field="4" count="1">
            <x v="3"/>
          </reference>
        </references>
      </pivotArea>
    </format>
    <format dxfId="349">
      <pivotArea dataOnly="0" labelOnly="1" fieldPosition="0">
        <references count="1">
          <reference field="4" count="1">
            <x v="1"/>
          </reference>
        </references>
      </pivotArea>
    </format>
    <format dxfId="348">
      <pivotArea dataOnly="0" labelOnly="1" fieldPosition="0">
        <references count="1">
          <reference field="4" count="1">
            <x v="0"/>
          </reference>
        </references>
      </pivotArea>
    </format>
    <format dxfId="347">
      <pivotArea dataOnly="0" labelOnly="1" fieldPosition="0">
        <references count="1">
          <reference field="4" count="1">
            <x v="2"/>
          </reference>
        </references>
      </pivotArea>
    </format>
    <format dxfId="346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6" iMeasureHier="897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44151-4FC2-4B33-B33A-3B380CF2621B}" name="PivotTable1" cacheId="565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9:B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29D1F-4864-49E2-A14E-3D040FCE1C86}" name="TablaDinámica9" cacheId="58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14:B16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4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4">
    <i>
      <x v="14"/>
    </i>
    <i>
      <x v="19"/>
    </i>
    <i>
      <x v="27"/>
    </i>
    <i>
      <x v="18"/>
    </i>
    <i>
      <x v="9"/>
    </i>
    <i>
      <x v="8"/>
    </i>
    <i>
      <x v="32"/>
    </i>
    <i>
      <x v="36"/>
    </i>
    <i>
      <x v="16"/>
    </i>
    <i>
      <x v="41"/>
    </i>
    <i>
      <x v="51"/>
    </i>
    <i>
      <x v="50"/>
    </i>
    <i>
      <x v="26"/>
    </i>
    <i>
      <x v="20"/>
    </i>
    <i>
      <x v="2"/>
    </i>
    <i>
      <x v="24"/>
    </i>
    <i>
      <x v="10"/>
    </i>
    <i>
      <x v="17"/>
    </i>
    <i>
      <x v="25"/>
    </i>
    <i>
      <x v="33"/>
    </i>
    <i>
      <x v="44"/>
    </i>
    <i>
      <x v="15"/>
    </i>
    <i>
      <x v="42"/>
    </i>
    <i>
      <x/>
    </i>
    <i>
      <x v="52"/>
    </i>
    <i>
      <x v="43"/>
    </i>
    <i>
      <x v="21"/>
    </i>
    <i>
      <x v="31"/>
    </i>
    <i>
      <x v="29"/>
    </i>
    <i>
      <x v="4"/>
    </i>
    <i>
      <x v="12"/>
    </i>
    <i>
      <x v="7"/>
    </i>
    <i>
      <x v="11"/>
    </i>
    <i>
      <x v="6"/>
    </i>
    <i>
      <x v="49"/>
    </i>
    <i>
      <x v="5"/>
    </i>
    <i>
      <x v="45"/>
    </i>
    <i>
      <x v="28"/>
    </i>
    <i>
      <x v="35"/>
    </i>
    <i>
      <x v="22"/>
    </i>
    <i>
      <x v="34"/>
    </i>
    <i>
      <x v="3"/>
    </i>
    <i>
      <x v="48"/>
    </i>
    <i>
      <x v="13"/>
    </i>
    <i>
      <x v="40"/>
    </i>
    <i>
      <x v="37"/>
    </i>
    <i>
      <x v="39"/>
    </i>
    <i>
      <x v="47"/>
    </i>
    <i>
      <x v="30"/>
    </i>
    <i>
      <x v="38"/>
    </i>
    <i>
      <x v="1"/>
    </i>
    <i>
      <x v="46"/>
    </i>
    <i>
      <x v="23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7">
    <format dxfId="357">
      <pivotArea dataOnly="0" labelOnly="1" fieldPosition="0">
        <references count="1">
          <reference field="4" count="1">
            <x v="46"/>
          </reference>
        </references>
      </pivotArea>
    </format>
    <format dxfId="356">
      <pivotArea dataOnly="0" labelOnly="1" fieldPosition="0">
        <references count="1">
          <reference field="4" count="1">
            <x v="1"/>
          </reference>
        </references>
      </pivotArea>
    </format>
    <format dxfId="355">
      <pivotArea dataOnly="0" labelOnly="1" fieldPosition="0">
        <references count="1">
          <reference field="4" count="1">
            <x v="38"/>
          </reference>
        </references>
      </pivotArea>
    </format>
    <format dxfId="354">
      <pivotArea dataOnly="0" labelOnly="1" fieldPosition="0">
        <references count="1">
          <reference field="4" count="1">
            <x v="30"/>
          </reference>
        </references>
      </pivotArea>
    </format>
    <format dxfId="353">
      <pivotArea dataOnly="0" labelOnly="1" fieldPosition="0">
        <references count="1">
          <reference field="4" count="1">
            <x v="47"/>
          </reference>
        </references>
      </pivotArea>
    </format>
    <format dxfId="352">
      <pivotArea collapsedLevelsAreSubtotals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351">
      <pivotArea dataOnly="0" labelOnly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>
      <members count="107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"/>
        <member name="[INDICADORES].[Desc. C.O. movto.].&amp;[GERENCIA INNOVACION]"/>
        <member name="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26AF4-6510-4CEF-AD88-6535FFAE095B}" name="TablaDinámica7" cacheId="57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2:B10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2">
    <i>
      <x v="19"/>
    </i>
    <i>
      <x v="27"/>
    </i>
    <i>
      <x v="9"/>
    </i>
    <i>
      <x v="14"/>
    </i>
    <i>
      <x v="18"/>
    </i>
    <i>
      <x v="36"/>
    </i>
    <i>
      <x v="32"/>
    </i>
    <i>
      <x v="8"/>
    </i>
    <i>
      <x v="41"/>
    </i>
    <i>
      <x v="16"/>
    </i>
    <i>
      <x v="26"/>
    </i>
    <i>
      <x v="24"/>
    </i>
    <i>
      <x v="20"/>
    </i>
    <i>
      <x v="23"/>
    </i>
    <i>
      <x v="21"/>
    </i>
    <i>
      <x v="42"/>
    </i>
    <i>
      <x v="44"/>
    </i>
    <i>
      <x v="25"/>
    </i>
    <i>
      <x v="33"/>
    </i>
    <i>
      <x v="34"/>
    </i>
    <i>
      <x/>
    </i>
    <i>
      <x v="15"/>
    </i>
    <i>
      <x v="17"/>
    </i>
    <i>
      <x v="11"/>
    </i>
    <i>
      <x v="43"/>
    </i>
    <i>
      <x v="2"/>
    </i>
    <i>
      <x v="12"/>
    </i>
    <i>
      <x v="31"/>
    </i>
    <i>
      <x v="10"/>
    </i>
    <i>
      <x v="22"/>
    </i>
    <i>
      <x v="6"/>
    </i>
    <i>
      <x v="13"/>
    </i>
    <i>
      <x v="40"/>
    </i>
    <i>
      <x v="47"/>
    </i>
    <i>
      <x v="3"/>
    </i>
    <i>
      <x v="7"/>
    </i>
    <i>
      <x v="48"/>
    </i>
    <i>
      <x v="29"/>
    </i>
    <i>
      <x v="46"/>
    </i>
    <i>
      <x v="35"/>
    </i>
    <i>
      <x v="50"/>
    </i>
    <i>
      <x v="1"/>
    </i>
    <i>
      <x v="28"/>
    </i>
    <i>
      <x v="39"/>
    </i>
    <i>
      <x v="45"/>
    </i>
    <i>
      <x v="30"/>
    </i>
    <i>
      <x v="5"/>
    </i>
    <i>
      <x v="4"/>
    </i>
    <i>
      <x v="37"/>
    </i>
    <i>
      <x v="38"/>
    </i>
    <i>
      <x v="49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5">
    <format dxfId="362">
      <pivotArea dataOnly="0" labelOnly="1" fieldPosition="0">
        <references count="1">
          <reference field="4" count="6">
            <x v="4"/>
            <x v="5"/>
            <x v="30"/>
            <x v="37"/>
            <x v="38"/>
            <x v="49"/>
          </reference>
        </references>
      </pivotArea>
    </format>
    <format dxfId="361">
      <pivotArea dataOnly="0" labelOnly="1" fieldPosition="0">
        <references count="1">
          <reference field="4" count="1">
            <x v="30"/>
          </reference>
        </references>
      </pivotArea>
    </format>
    <format dxfId="360">
      <pivotArea collapsedLevelsAreSubtotals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359">
      <pivotArea dataOnly="0" labelOnly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358">
      <pivotArea dataOnly="0" labelOnly="1" fieldPosition="0">
        <references count="1">
          <reference field="4" count="5">
            <x v="4"/>
            <x v="5"/>
            <x v="37"/>
            <x v="38"/>
            <x v="49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>
      <members count="105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[INDICADORES].[Desc. C.O. movto.].&amp;[GERENCIA INNOVACION]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E11AA-041E-48E8-94A0-70F0A9656E4B}" name="TablaDinámica12" cacheId="58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66:G120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4">
    <i>
      <x v="49"/>
    </i>
    <i>
      <x v="50"/>
    </i>
    <i>
      <x v="18"/>
    </i>
    <i>
      <x v="25"/>
    </i>
    <i>
      <x v="14"/>
    </i>
    <i>
      <x v="9"/>
    </i>
    <i>
      <x v="11"/>
    </i>
    <i>
      <x v="2"/>
    </i>
    <i>
      <x v="19"/>
    </i>
    <i>
      <x v="8"/>
    </i>
    <i>
      <x v="40"/>
    </i>
    <i>
      <x v="35"/>
    </i>
    <i>
      <x v="31"/>
    </i>
    <i>
      <x v="51"/>
    </i>
    <i>
      <x v="22"/>
    </i>
    <i>
      <x v="23"/>
    </i>
    <i>
      <x v="20"/>
    </i>
    <i>
      <x v="42"/>
    </i>
    <i>
      <x v="17"/>
    </i>
    <i>
      <x v="26"/>
    </i>
    <i>
      <x v="15"/>
    </i>
    <i>
      <x v="41"/>
    </i>
    <i>
      <x v="43"/>
    </i>
    <i>
      <x v="3"/>
    </i>
    <i>
      <x v="24"/>
    </i>
    <i>
      <x v="33"/>
    </i>
    <i>
      <x v="39"/>
    </i>
    <i>
      <x v="16"/>
    </i>
    <i>
      <x v="32"/>
    </i>
    <i>
      <x v="52"/>
    </i>
    <i>
      <x v="6"/>
    </i>
    <i>
      <x v="30"/>
    </i>
    <i>
      <x v="13"/>
    </i>
    <i>
      <x v="21"/>
    </i>
    <i>
      <x v="46"/>
    </i>
    <i>
      <x v="12"/>
    </i>
    <i>
      <x v="7"/>
    </i>
    <i>
      <x v="10"/>
    </i>
    <i>
      <x v="28"/>
    </i>
    <i>
      <x v="45"/>
    </i>
    <i>
      <x v="27"/>
    </i>
    <i>
      <x v="29"/>
    </i>
    <i>
      <x v="47"/>
    </i>
    <i>
      <x/>
    </i>
    <i>
      <x v="34"/>
    </i>
    <i>
      <x v="4"/>
    </i>
    <i>
      <x v="1"/>
    </i>
    <i>
      <x v="38"/>
    </i>
    <i>
      <x v="44"/>
    </i>
    <i>
      <x v="5"/>
    </i>
    <i>
      <x v="36"/>
    </i>
    <i>
      <x v="37"/>
    </i>
    <i>
      <x v="48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9">
    <format dxfId="371">
      <pivotArea dataOnly="0" labelOnly="1" fieldPosition="0">
        <references count="1">
          <reference field="4" count="1">
            <x v="45"/>
          </reference>
        </references>
      </pivotArea>
    </format>
    <format dxfId="370">
      <pivotArea dataOnly="0" labelOnly="1" fieldPosition="0">
        <references count="1">
          <reference field="4" count="1">
            <x v="1"/>
          </reference>
        </references>
      </pivotArea>
    </format>
    <format dxfId="369">
      <pivotArea dataOnly="0" labelOnly="1" fieldPosition="0">
        <references count="1">
          <reference field="4" count="1">
            <x v="37"/>
          </reference>
        </references>
      </pivotArea>
    </format>
    <format dxfId="368">
      <pivotArea dataOnly="0" labelOnly="1" fieldPosition="0">
        <references count="1">
          <reference field="4" count="1">
            <x v="29"/>
          </reference>
        </references>
      </pivotArea>
    </format>
    <format dxfId="367">
      <pivotArea dataOnly="0" labelOnly="1" fieldPosition="0">
        <references count="1">
          <reference field="4" count="1">
            <x v="46"/>
          </reference>
        </references>
      </pivotArea>
    </format>
    <format dxfId="366">
      <pivotArea collapsedLevelsAreSubtotals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365">
      <pivotArea dataOnly="0" labelOnly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364">
      <pivotArea collapsedLevelsAreSubtotals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4"/>
            <x v="36"/>
            <x v="37"/>
            <x v="38"/>
            <x v="44"/>
            <x v="45"/>
            <x v="46"/>
            <x v="47"/>
            <x v="48"/>
          </reference>
        </references>
      </pivotArea>
    </format>
    <format dxfId="363">
      <pivotArea dataOnly="0" labelOnly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4"/>
            <x v="36"/>
            <x v="37"/>
            <x v="38"/>
            <x v="44"/>
            <x v="45"/>
            <x v="46"/>
            <x v="47"/>
            <x v="4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32FB1-1EF5-489F-BC23-B273B83D7B0E}" name="TablaDinámica4" cacheId="57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23:B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sortType="descending" defaultAttributeDrillState="1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6">
    <i>
      <x v="4"/>
    </i>
    <i>
      <x v="3"/>
    </i>
    <i>
      <x v="2"/>
    </i>
    <i>
      <x/>
    </i>
    <i>
      <x v="1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2">
    <format dxfId="373">
      <pivotArea dataOnly="0" labelOnly="1" fieldPosition="0">
        <references count="1">
          <reference field="4" count="6">
            <x v="0"/>
            <x v="1"/>
            <x v="2"/>
            <x v="3"/>
            <x v="4"/>
            <x v="5"/>
          </reference>
        </references>
      </pivotArea>
    </format>
    <format dxfId="372">
      <pivotArea dataOnly="0" labelOnly="1" fieldPosition="0">
        <references count="1">
          <reference field="4" count="1">
            <x v="5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896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29087-725F-4C78-B8BE-64F676F2117E}" name="TablaDinámica6" cacheId="57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37:B43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7">
        <item x="0"/>
        <item x="2"/>
        <item x="3"/>
        <item x="4"/>
        <item x="5"/>
        <item x="1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5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5">
    <format dxfId="378">
      <pivotArea dataOnly="0" labelOnly="1" fieldPosition="0">
        <references count="1">
          <reference field="4" count="1">
            <x v="3"/>
          </reference>
        </references>
      </pivotArea>
    </format>
    <format dxfId="377">
      <pivotArea dataOnly="0" labelOnly="1" fieldPosition="0">
        <references count="1">
          <reference field="4" count="1">
            <x v="0"/>
          </reference>
        </references>
      </pivotArea>
    </format>
    <format dxfId="376">
      <pivotArea dataOnly="0" labelOnly="1" fieldPosition="0">
        <references count="1">
          <reference field="4" count="1">
            <x v="2"/>
          </reference>
        </references>
      </pivotArea>
    </format>
    <format dxfId="375">
      <pivotArea dataOnly="0" labelOnly="1" fieldPosition="0">
        <references count="1">
          <reference field="4" count="1">
            <x v="1"/>
          </reference>
        </references>
      </pivotArea>
    </format>
    <format dxfId="374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2" iMeasureHier="897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E8AB7-085D-49A0-A478-551A4BF51EC9}" name="TablaDinámica1" cacheId="568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9:G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6BF50-4355-4345-AD24-63F1CD3C6A33}" name="TablaDinámica5" cacheId="58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23:G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383">
      <pivotArea dataOnly="0" labelOnly="1" fieldPosition="0">
        <references count="1">
          <reference field="4" count="1">
            <x v="7"/>
          </reference>
        </references>
      </pivotArea>
    </format>
    <format dxfId="382">
      <pivotArea dataOnly="0" labelOnly="1" fieldPosition="0">
        <references count="1">
          <reference field="4" count="1">
            <x v="5"/>
          </reference>
        </references>
      </pivotArea>
    </format>
    <format dxfId="381">
      <pivotArea dataOnly="0" labelOnly="1" fieldPosition="0">
        <references count="1">
          <reference field="4" count="1">
            <x v="2"/>
          </reference>
        </references>
      </pivotArea>
    </format>
    <format dxfId="380">
      <pivotArea dataOnly="0" labelOnly="1" fieldPosition="0">
        <references count="1">
          <reference field="4" count="1">
            <x v="6"/>
          </reference>
        </references>
      </pivotArea>
    </format>
    <format dxfId="379">
      <pivotArea dataOnly="0" labelOnly="1" fieldPosition="0">
        <references count="1">
          <reference field="4" count="1">
            <x v="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896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53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5" name="[Calendario].[Mes].&amp;[marzo]" cap="marzo"/>
    <pageField fld="9" hier="466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340">
      <pivotArea outline="0" collapsedLevelsAreSubtotals="1" fieldPosition="0"/>
    </format>
    <format dxfId="339">
      <pivotArea outline="0" fieldPosition="0">
        <references count="1">
          <reference field="4294967294" count="1" selected="0">
            <x v="0"/>
          </reference>
        </references>
      </pivotArea>
    </format>
    <format dxfId="338">
      <pivotArea outline="0" fieldPosition="0">
        <references count="1">
          <reference field="4294967294" count="1" selected="0">
            <x v="2"/>
          </reference>
        </references>
      </pivotArea>
    </format>
    <format dxfId="337">
      <pivotArea dataOnly="0" outline="0" fieldPosition="0">
        <references count="1">
          <reference field="6" count="0" defaultSubtotal="1"/>
        </references>
      </pivotArea>
    </format>
    <format dxfId="336">
      <pivotArea dataOnly="0" outline="0" fieldPosition="0">
        <references count="1">
          <reference field="6" count="0" defaultSubtotal="1"/>
        </references>
      </pivotArea>
    </format>
    <format dxfId="335">
      <pivotArea dataOnly="0" outline="0" fieldPosition="0">
        <references count="1">
          <reference field="6" count="0" defaultSubtotal="1"/>
        </references>
      </pivotArea>
    </format>
    <format dxfId="334">
      <pivotArea field="6" type="button" dataOnly="0" labelOnly="1" outline="0" axis="axisRow" fieldPosition="0"/>
    </format>
    <format dxfId="333">
      <pivotArea field="7" type="button" dataOnly="0" labelOnly="1" outline="0" axis="axisRow" fieldPosition="1"/>
    </format>
    <format dxfId="33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31">
      <pivotArea field="6" type="button" dataOnly="0" labelOnly="1" outline="0" axis="axisRow" fieldPosition="0"/>
    </format>
    <format dxfId="330">
      <pivotArea field="7" type="button" dataOnly="0" labelOnly="1" outline="0" axis="axisRow" fieldPosition="1"/>
    </format>
    <format dxfId="32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28">
      <pivotArea outline="0" fieldPosition="0">
        <references count="1">
          <reference field="6" count="1" selected="0" defaultSubtotal="1">
            <x v="6"/>
          </reference>
        </references>
      </pivotArea>
    </format>
    <format dxfId="327">
      <pivotArea grandRow="1" outline="0" collapsedLevelsAreSubtotals="1" fieldPosition="0"/>
    </format>
    <format dxfId="326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325">
      <pivotArea dataOnly="0" labelOnly="1" grandRow="1" outline="0" fieldPosition="0"/>
    </format>
    <format dxfId="324">
      <pivotArea grandRow="1" outline="0" collapsedLevelsAreSubtotals="1" fieldPosition="0"/>
    </format>
    <format dxfId="323">
      <pivotArea dataOnly="0" labelOnly="1" grandRow="1" outline="0" fieldPosition="0"/>
    </format>
    <format dxfId="322">
      <pivotArea outline="0" fieldPosition="0">
        <references count="1">
          <reference field="6" count="1" selected="0" defaultSubtotal="1">
            <x v="6"/>
          </reference>
        </references>
      </pivotArea>
    </format>
    <format dxfId="321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29"/>
    <rowHierarchyUsage hierarchyUsage="728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52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23" name="[ITEMS X HORAS].[Año].&amp;[2023]" cap="2023"/>
    <pageField fld="7" hier="332" name="[ITEMS X HORAS].[Día].[All]" cap="All"/>
  </pageFields>
  <dataFields count="2">
    <dataField fld="9" baseField="0" baseItem="0"/>
    <dataField fld="0" baseField="0" baseItem="0" numFmtId="3"/>
  </dataFields>
  <formats count="38">
    <format dxfId="320">
      <pivotArea outline="0" collapsedLevelsAreSubtotals="1" fieldPosition="0"/>
    </format>
    <format dxfId="319">
      <pivotArea outline="0" fieldPosition="0">
        <references count="1">
          <reference field="4294967294" count="1" selected="0">
            <x v="1"/>
          </reference>
        </references>
      </pivotArea>
    </format>
    <format dxfId="318">
      <pivotArea field="6" type="button" dataOnly="0" labelOnly="1" outline="0" axis="axisRow" fieldPosition="1"/>
    </format>
    <format dxfId="317">
      <pivotArea field="1" type="button" dataOnly="0" labelOnly="1" outline="0" axis="axisRow" fieldPosition="0"/>
    </format>
    <format dxfId="316">
      <pivotArea field="2" type="button" dataOnly="0" labelOnly="1" outline="0" axis="axisRow" fieldPosition="2"/>
    </format>
    <format dxfId="3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14">
      <pivotArea field="6" type="button" dataOnly="0" labelOnly="1" outline="0" axis="axisRow" fieldPosition="1"/>
    </format>
    <format dxfId="313">
      <pivotArea field="1" type="button" dataOnly="0" labelOnly="1" outline="0" axis="axisRow" fieldPosition="0"/>
    </format>
    <format dxfId="312">
      <pivotArea field="2" type="button" dataOnly="0" labelOnly="1" outline="0" axis="axisRow" fieldPosition="2"/>
    </format>
    <format dxfId="31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10">
      <pivotArea field="6" type="button" dataOnly="0" labelOnly="1" outline="0" axis="axisRow" fieldPosition="1"/>
    </format>
    <format dxfId="309">
      <pivotArea field="1" type="button" dataOnly="0" labelOnly="1" outline="0" axis="axisRow" fieldPosition="0"/>
    </format>
    <format dxfId="308">
      <pivotArea field="2" type="button" dataOnly="0" labelOnly="1" outline="0" axis="axisRow" fieldPosition="2"/>
    </format>
    <format dxfId="30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6">
      <pivotArea field="6" type="button" dataOnly="0" labelOnly="1" outline="0" axis="axisRow" fieldPosition="1"/>
    </format>
    <format dxfId="305">
      <pivotArea field="1" type="button" dataOnly="0" labelOnly="1" outline="0" axis="axisRow" fieldPosition="0"/>
    </format>
    <format dxfId="304">
      <pivotArea field="2" type="button" dataOnly="0" labelOnly="1" outline="0" axis="axisRow" fieldPosition="2"/>
    </format>
    <format dxfId="30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2">
      <pivotArea field="6" type="button" dataOnly="0" labelOnly="1" outline="0" axis="axisRow" fieldPosition="1"/>
    </format>
    <format dxfId="301">
      <pivotArea field="1" type="button" dataOnly="0" labelOnly="1" outline="0" axis="axisRow" fieldPosition="0"/>
    </format>
    <format dxfId="300">
      <pivotArea field="2" type="button" dataOnly="0" labelOnly="1" outline="0" axis="axisRow" fieldPosition="2"/>
    </format>
    <format dxfId="29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8">
      <pivotArea field="6" type="button" dataOnly="0" labelOnly="1" outline="0" axis="axisRow" fieldPosition="1"/>
    </format>
    <format dxfId="297">
      <pivotArea field="1" type="button" dataOnly="0" labelOnly="1" outline="0" axis="axisRow" fieldPosition="0"/>
    </format>
    <format dxfId="296">
      <pivotArea field="2" type="button" dataOnly="0" labelOnly="1" outline="0" axis="axisRow" fieldPosition="2"/>
    </format>
    <format dxfId="29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4">
      <pivotArea field="6" type="button" dataOnly="0" labelOnly="1" outline="0" axis="axisRow" fieldPosition="1"/>
    </format>
    <format dxfId="293">
      <pivotArea field="1" type="button" dataOnly="0" labelOnly="1" outline="0" axis="axisRow" fieldPosition="0"/>
    </format>
    <format dxfId="292">
      <pivotArea field="2" type="button" dataOnly="0" labelOnly="1" outline="0" axis="axisRow" fieldPosition="2"/>
    </format>
    <format dxfId="29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0">
      <pivotArea field="6" type="button" dataOnly="0" labelOnly="1" outline="0" axis="axisRow" fieldPosition="1"/>
    </format>
    <format dxfId="289">
      <pivotArea field="1" type="button" dataOnly="0" labelOnly="1" outline="0" axis="axisRow" fieldPosition="0"/>
    </format>
    <format dxfId="288">
      <pivotArea field="2" type="button" dataOnly="0" labelOnly="1" outline="0" axis="axisRow" fieldPosition="2"/>
    </format>
    <format dxfId="28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4">
      <pivotArea dataOnly="0" outline="0" fieldPosition="0">
        <references count="1">
          <reference field="6" count="0" defaultSubtotal="1"/>
        </references>
      </pivotArea>
    </format>
    <format dxfId="283">
      <pivotArea dataOnly="0" outline="0" fieldPosition="0">
        <references count="1">
          <reference field="6" count="0" defaultSubtotal="1"/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57"/>
    <rowHierarchyUsage hierarchyUsage="330"/>
    <rowHierarchyUsage hierarchyUsage="331"/>
  </rowHierarchiesUsage>
  <colHierarchiesUsage count="2">
    <colHierarchyUsage hierarchyUsage="348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7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5.xml"/><Relationship Id="rId3" Type="http://schemas.openxmlformats.org/officeDocument/2006/relationships/pivotTable" Target="../pivotTables/pivotTable20.xml"/><Relationship Id="rId7" Type="http://schemas.openxmlformats.org/officeDocument/2006/relationships/pivotTable" Target="../pivotTables/pivotTable24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pivotTable" Target="../pivotTables/pivotTable23.xml"/><Relationship Id="rId5" Type="http://schemas.openxmlformats.org/officeDocument/2006/relationships/pivotTable" Target="../pivotTables/pivotTable22.xml"/><Relationship Id="rId10" Type="http://schemas.openxmlformats.org/officeDocument/2006/relationships/pivotTable" Target="../pivotTables/pivotTable27.xml"/><Relationship Id="rId4" Type="http://schemas.openxmlformats.org/officeDocument/2006/relationships/pivotTable" Target="../pivotTables/pivotTable21.xml"/><Relationship Id="rId9" Type="http://schemas.openxmlformats.org/officeDocument/2006/relationships/pivotTable" Target="../pivotTables/pivotTable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28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4" t="s">
        <v>105</v>
      </c>
      <c r="F13" s="17" t="s">
        <v>40</v>
      </c>
      <c r="G13" s="17" t="s">
        <v>102</v>
      </c>
      <c r="H13" s="17" t="s">
        <v>103</v>
      </c>
      <c r="I13" s="68" t="s">
        <v>342</v>
      </c>
      <c r="J13" s="14" t="s">
        <v>105</v>
      </c>
      <c r="K13" s="17" t="s">
        <v>40</v>
      </c>
      <c r="L13" s="17" t="s">
        <v>102</v>
      </c>
      <c r="M13" s="17" t="s">
        <v>103</v>
      </c>
      <c r="N13" s="68" t="s">
        <v>342</v>
      </c>
      <c r="O13" s="14" t="s">
        <v>105</v>
      </c>
      <c r="P13" s="17" t="s">
        <v>40</v>
      </c>
      <c r="Q13" s="17" t="s">
        <v>102</v>
      </c>
      <c r="R13" s="17" t="s">
        <v>103</v>
      </c>
      <c r="S13" s="68" t="s">
        <v>342</v>
      </c>
      <c r="T13" s="14" t="s">
        <v>105</v>
      </c>
      <c r="U13" s="17" t="s">
        <v>40</v>
      </c>
      <c r="V13" s="17" t="s">
        <v>102</v>
      </c>
      <c r="W13" s="17" t="s">
        <v>103</v>
      </c>
      <c r="X13" s="68" t="s">
        <v>342</v>
      </c>
      <c r="Y13" s="14" t="s">
        <v>105</v>
      </c>
      <c r="Z13" s="17" t="s">
        <v>40</v>
      </c>
      <c r="AA13" s="17" t="s">
        <v>102</v>
      </c>
      <c r="AB13" s="1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4" t="s">
        <v>105</v>
      </c>
      <c r="F13" s="17" t="s">
        <v>40</v>
      </c>
      <c r="G13" s="17" t="s">
        <v>102</v>
      </c>
      <c r="H13" s="17" t="s">
        <v>103</v>
      </c>
      <c r="I13" s="68" t="s">
        <v>342</v>
      </c>
      <c r="J13" s="14" t="s">
        <v>105</v>
      </c>
      <c r="K13" s="17" t="s">
        <v>40</v>
      </c>
      <c r="L13" s="17" t="s">
        <v>102</v>
      </c>
      <c r="M13" s="17" t="s">
        <v>103</v>
      </c>
      <c r="N13" s="68" t="s">
        <v>342</v>
      </c>
      <c r="O13" s="14" t="s">
        <v>105</v>
      </c>
      <c r="P13" s="17" t="s">
        <v>40</v>
      </c>
      <c r="Q13" s="17" t="s">
        <v>102</v>
      </c>
      <c r="R13" s="17" t="s">
        <v>103</v>
      </c>
      <c r="S13" s="68" t="s">
        <v>342</v>
      </c>
      <c r="T13" s="14" t="s">
        <v>105</v>
      </c>
      <c r="U13" s="17" t="s">
        <v>40</v>
      </c>
      <c r="V13" s="17" t="s">
        <v>102</v>
      </c>
      <c r="W13" s="17" t="s">
        <v>103</v>
      </c>
      <c r="X13" s="68" t="s">
        <v>342</v>
      </c>
      <c r="Y13" s="14" t="s">
        <v>105</v>
      </c>
      <c r="Z13" s="17" t="s">
        <v>40</v>
      </c>
      <c r="AA13" s="17" t="s">
        <v>102</v>
      </c>
      <c r="AB13" s="1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68387-3D90-498D-8576-0260B9975EAB}">
  <sheetPr>
    <tabColor theme="5" tint="0.59999389629810485"/>
  </sheetPr>
  <dimension ref="A1:BV362"/>
  <sheetViews>
    <sheetView showGridLines="0" zoomScale="80" zoomScaleNormal="80" workbookViewId="0">
      <pane xSplit="3" ySplit="5" topLeftCell="D233" activePane="bottomRight" state="frozen"/>
      <selection pane="topRight" activeCell="F114" sqref="F114:M114"/>
      <selection pane="bottomLeft" activeCell="F114" sqref="F114:M114"/>
      <selection pane="bottomRight" activeCell="Q248" sqref="Q248:U249"/>
    </sheetView>
  </sheetViews>
  <sheetFormatPr baseColWidth="10" defaultColWidth="12.77734375" defaultRowHeight="16.8" outlineLevelRow="2" outlineLevelCol="1" x14ac:dyDescent="0.4"/>
  <cols>
    <col min="1" max="1" width="10.5546875" style="108" customWidth="1"/>
    <col min="2" max="2" width="13.5546875" style="108" hidden="1" customWidth="1"/>
    <col min="3" max="3" width="42.33203125" style="108" customWidth="1"/>
    <col min="4" max="4" width="9.44140625" style="110" hidden="1" customWidth="1" outlineLevel="1"/>
    <col min="5" max="5" width="12" style="108" hidden="1" customWidth="1" outlineLevel="1" collapsed="1"/>
    <col min="6" max="8" width="11.88671875" style="108" hidden="1" customWidth="1" outlineLevel="1"/>
    <col min="9" max="10" width="13.109375" style="108" hidden="1" customWidth="1" outlineLevel="1"/>
    <col min="11" max="11" width="12.77734375" style="108" hidden="1" customWidth="1" outlineLevel="1"/>
    <col min="12" max="12" width="15.33203125" style="108" hidden="1" customWidth="1" outlineLevel="1"/>
    <col min="13" max="13" width="13.109375" style="108" hidden="1" customWidth="1" outlineLevel="1"/>
    <col min="14" max="14" width="14.21875" style="108" hidden="1" customWidth="1" outlineLevel="1"/>
    <col min="15" max="15" width="16.6640625" style="108" hidden="1" customWidth="1" outlineLevel="1"/>
    <col min="16" max="16" width="15" style="108" hidden="1" customWidth="1" outlineLevel="1"/>
    <col min="17" max="17" width="15" style="108" customWidth="1" collapsed="1"/>
    <col min="18" max="18" width="15.5546875" style="108" customWidth="1" outlineLevel="1"/>
    <col min="19" max="19" width="16.6640625" style="108" customWidth="1" outlineLevel="1"/>
    <col min="20" max="20" width="16.109375" style="108" customWidth="1" outlineLevel="1"/>
    <col min="21" max="21" width="15.21875" style="108" customWidth="1" outlineLevel="1"/>
    <col min="22" max="22" width="16.109375" style="108" customWidth="1" outlineLevel="1"/>
    <col min="23" max="23" width="16.33203125" style="108" customWidth="1" outlineLevel="1"/>
    <col min="24" max="24" width="15.88671875" style="108" customWidth="1" outlineLevel="1"/>
    <col min="25" max="25" width="16.109375" style="108" customWidth="1" outlineLevel="1"/>
    <col min="26" max="26" width="15.21875" style="108" customWidth="1" outlineLevel="1"/>
    <col min="27" max="27" width="16.33203125" style="108" customWidth="1" outlineLevel="1"/>
    <col min="28" max="29" width="16.109375" style="108" customWidth="1" outlineLevel="1"/>
    <col min="30" max="30" width="15.88671875" style="108" bestFit="1" customWidth="1" outlineLevel="1"/>
    <col min="31" max="31" width="12.77734375" style="108" customWidth="1" outlineLevel="1"/>
    <col min="32" max="32" width="16" style="108" customWidth="1"/>
    <col min="33" max="33" width="12.77734375" style="108" customWidth="1"/>
    <col min="34" max="34" width="24.109375" style="108" customWidth="1"/>
    <col min="35" max="35" width="15.88671875" style="108" customWidth="1"/>
    <col min="36" max="36" width="20.77734375" style="108" customWidth="1"/>
    <col min="37" max="16384" width="12.77734375" style="108"/>
  </cols>
  <sheetData>
    <row r="1" spans="1:53" x14ac:dyDescent="0.4">
      <c r="C1" s="109"/>
      <c r="E1" s="109"/>
      <c r="F1" s="109"/>
      <c r="G1" s="109"/>
      <c r="H1" s="111"/>
      <c r="I1" s="109"/>
      <c r="J1" s="109"/>
      <c r="K1" s="109"/>
      <c r="L1" s="109"/>
      <c r="M1" s="109"/>
      <c r="N1" s="109"/>
      <c r="O1" s="109"/>
      <c r="P1" s="109"/>
      <c r="Q1" s="109"/>
    </row>
    <row r="2" spans="1:53" x14ac:dyDescent="0.4">
      <c r="C2" s="109"/>
      <c r="K2" s="112"/>
    </row>
    <row r="3" spans="1:53" ht="25.35" customHeight="1" x14ac:dyDescent="0.5">
      <c r="C3" s="113" t="s">
        <v>453</v>
      </c>
      <c r="E3" s="109"/>
      <c r="F3" s="114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</row>
    <row r="4" spans="1:53" ht="23.55" customHeight="1" x14ac:dyDescent="0.5">
      <c r="C4" s="113" t="s">
        <v>454</v>
      </c>
      <c r="D4" s="115"/>
      <c r="E4" s="116">
        <v>2024</v>
      </c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7"/>
      <c r="R4" s="116">
        <v>2025</v>
      </c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</row>
    <row r="5" spans="1:53" ht="19.2" x14ac:dyDescent="0.45">
      <c r="A5" s="118" t="s">
        <v>455</v>
      </c>
      <c r="B5" s="118" t="s">
        <v>456</v>
      </c>
      <c r="C5" s="119">
        <f>+SUM(R247:AC247)</f>
        <v>-19259.020899439445</v>
      </c>
      <c r="D5" s="115" t="s">
        <v>457</v>
      </c>
      <c r="E5" s="120" t="s">
        <v>458</v>
      </c>
      <c r="F5" s="120" t="s">
        <v>459</v>
      </c>
      <c r="G5" s="120" t="s">
        <v>460</v>
      </c>
      <c r="H5" s="120" t="s">
        <v>461</v>
      </c>
      <c r="I5" s="120" t="s">
        <v>462</v>
      </c>
      <c r="J5" s="120" t="s">
        <v>463</v>
      </c>
      <c r="K5" s="120" t="s">
        <v>464</v>
      </c>
      <c r="L5" s="120" t="s">
        <v>465</v>
      </c>
      <c r="M5" s="120" t="s">
        <v>466</v>
      </c>
      <c r="N5" s="120" t="s">
        <v>467</v>
      </c>
      <c r="O5" s="120" t="s">
        <v>468</v>
      </c>
      <c r="P5" s="120" t="s">
        <v>469</v>
      </c>
      <c r="Q5" s="121">
        <v>2024</v>
      </c>
      <c r="R5" s="120" t="s">
        <v>458</v>
      </c>
      <c r="S5" s="120" t="s">
        <v>459</v>
      </c>
      <c r="T5" s="120" t="s">
        <v>460</v>
      </c>
      <c r="U5" s="120" t="s">
        <v>461</v>
      </c>
      <c r="V5" s="120" t="s">
        <v>462</v>
      </c>
      <c r="W5" s="120" t="s">
        <v>463</v>
      </c>
      <c r="X5" s="120" t="s">
        <v>464</v>
      </c>
      <c r="Y5" s="120" t="s">
        <v>465</v>
      </c>
      <c r="Z5" s="120" t="s">
        <v>466</v>
      </c>
      <c r="AA5" s="120" t="s">
        <v>467</v>
      </c>
      <c r="AB5" s="120" t="s">
        <v>468</v>
      </c>
      <c r="AC5" s="120" t="s">
        <v>469</v>
      </c>
      <c r="AD5" s="122"/>
      <c r="AE5" s="122"/>
      <c r="AF5" s="122"/>
      <c r="AG5" s="122"/>
      <c r="AH5" s="122"/>
    </row>
    <row r="6" spans="1:53" hidden="1" x14ac:dyDescent="0.4">
      <c r="C6" s="123" t="s">
        <v>470</v>
      </c>
      <c r="D6" s="124">
        <f>+D12/(D12+D15+D16)</f>
        <v>0.68627450980392146</v>
      </c>
      <c r="O6" s="125"/>
      <c r="P6" s="125"/>
      <c r="Q6" s="125"/>
    </row>
    <row r="7" spans="1:53" hidden="1" x14ac:dyDescent="0.4">
      <c r="C7" s="110"/>
      <c r="D7" s="124">
        <f>+D15/(D12+D15+D16)</f>
        <v>0.27450980392156865</v>
      </c>
      <c r="O7" s="125"/>
      <c r="P7" s="125"/>
      <c r="Q7" s="125"/>
    </row>
    <row r="8" spans="1:53" hidden="1" x14ac:dyDescent="0.4">
      <c r="C8" s="126" t="s">
        <v>471</v>
      </c>
      <c r="D8" s="124">
        <f>+D16/(D12+D15+D16)</f>
        <v>3.9215686274509803E-2</v>
      </c>
      <c r="O8" s="125"/>
      <c r="P8" s="125"/>
      <c r="Q8" s="125"/>
      <c r="R8" s="127">
        <v>2.5999999999999999E-2</v>
      </c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</row>
    <row r="9" spans="1:53" hidden="1" x14ac:dyDescent="0.4">
      <c r="E9" s="129"/>
      <c r="F9" s="130"/>
      <c r="G9" s="130"/>
      <c r="H9" s="130"/>
      <c r="I9" s="130"/>
      <c r="J9" s="130"/>
      <c r="K9" s="130"/>
      <c r="L9" s="130"/>
      <c r="N9" s="112"/>
      <c r="O9" s="125"/>
      <c r="P9" s="125"/>
      <c r="Q9" s="125"/>
    </row>
    <row r="10" spans="1:53" hidden="1" x14ac:dyDescent="0.4">
      <c r="E10" s="131"/>
      <c r="F10" s="132"/>
      <c r="G10" s="132"/>
      <c r="H10" s="132"/>
      <c r="I10" s="132"/>
      <c r="J10" s="132"/>
      <c r="K10" s="132"/>
      <c r="L10" s="132"/>
      <c r="M10" s="133"/>
      <c r="N10" s="112"/>
      <c r="O10" s="364" t="s">
        <v>472</v>
      </c>
      <c r="P10" s="364"/>
      <c r="Q10" s="134"/>
    </row>
    <row r="11" spans="1:53" hidden="1" x14ac:dyDescent="0.4">
      <c r="A11" s="122" t="s">
        <v>473</v>
      </c>
      <c r="C11" s="135"/>
      <c r="E11" s="136"/>
      <c r="F11" s="137"/>
      <c r="G11" s="137"/>
      <c r="H11" s="137"/>
      <c r="I11" s="137"/>
      <c r="J11" s="137"/>
      <c r="K11" s="137"/>
      <c r="L11" s="131"/>
      <c r="M11" s="137"/>
      <c r="AH11" s="131"/>
      <c r="AI11" s="131"/>
      <c r="AJ11" s="131"/>
      <c r="AK11" s="131"/>
      <c r="AL11" s="131"/>
      <c r="AM11" s="131"/>
      <c r="AN11" s="131"/>
      <c r="AO11" s="131"/>
      <c r="AP11" s="138"/>
      <c r="AQ11" s="138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</row>
    <row r="12" spans="1:53" x14ac:dyDescent="0.4">
      <c r="A12" s="139">
        <f>1-B12</f>
        <v>0.4</v>
      </c>
      <c r="B12" s="140">
        <v>0.6</v>
      </c>
      <c r="C12" s="141" t="s">
        <v>474</v>
      </c>
      <c r="D12" s="142">
        <v>0.35</v>
      </c>
      <c r="E12" s="143">
        <v>11601.992500000002</v>
      </c>
      <c r="F12" s="143">
        <v>10591.787499999997</v>
      </c>
      <c r="G12" s="143">
        <v>10380.236999999999</v>
      </c>
      <c r="H12" s="143">
        <v>14037.019499999999</v>
      </c>
      <c r="I12" s="143">
        <v>14722.777999999991</v>
      </c>
      <c r="J12" s="143">
        <v>14933.838499999994</v>
      </c>
      <c r="K12" s="143">
        <v>17575.403999999999</v>
      </c>
      <c r="L12" s="143">
        <f>12652-420-347</f>
        <v>11885</v>
      </c>
      <c r="M12" s="143">
        <v>10969</v>
      </c>
      <c r="N12" s="144">
        <v>30842</v>
      </c>
      <c r="O12" s="144">
        <v>18462</v>
      </c>
      <c r="P12" s="144">
        <f>5109-559</f>
        <v>4550</v>
      </c>
      <c r="Q12" s="144">
        <f t="shared" ref="Q12:Q15" si="0">+SUM(E12:P12)</f>
        <v>170551.05699999997</v>
      </c>
      <c r="R12" s="145">
        <v>5000</v>
      </c>
      <c r="S12" s="145">
        <v>1500</v>
      </c>
      <c r="T12" s="145">
        <v>1500</v>
      </c>
      <c r="U12" s="145">
        <v>1605</v>
      </c>
      <c r="V12" s="145">
        <v>1717.3500000000001</v>
      </c>
      <c r="W12" s="145">
        <v>1837.5645000000002</v>
      </c>
      <c r="X12" s="145">
        <v>1966.1940150000003</v>
      </c>
      <c r="Y12" s="145">
        <v>2103.8275960500005</v>
      </c>
      <c r="Z12" s="145">
        <v>2251.0955277735006</v>
      </c>
      <c r="AA12" s="145">
        <v>2408.6722147176456</v>
      </c>
      <c r="AB12" s="145">
        <v>2577.2792697478808</v>
      </c>
      <c r="AC12" s="146">
        <v>2757.6888186302326</v>
      </c>
      <c r="AF12" s="147"/>
      <c r="AG12" s="130"/>
      <c r="AH12" s="112"/>
      <c r="AI12" s="112"/>
      <c r="AJ12" s="112"/>
      <c r="AK12" s="112"/>
      <c r="AL12" s="112"/>
      <c r="AM12" s="112"/>
      <c r="AN12" s="112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</row>
    <row r="13" spans="1:53" x14ac:dyDescent="0.4">
      <c r="A13" s="139">
        <f t="shared" ref="A13:A16" si="1">1-B13</f>
        <v>0.29000000000000004</v>
      </c>
      <c r="B13" s="140">
        <v>0.71</v>
      </c>
      <c r="C13" s="148" t="s">
        <v>475</v>
      </c>
      <c r="D13" s="149">
        <v>0.49</v>
      </c>
      <c r="E13" s="150">
        <v>16242.789499999997</v>
      </c>
      <c r="F13" s="150">
        <v>14828.502499999999</v>
      </c>
      <c r="G13" s="150">
        <v>14532.331799999994</v>
      </c>
      <c r="H13" s="150">
        <v>19651.827299999997</v>
      </c>
      <c r="I13" s="150">
        <v>20611.889199999998</v>
      </c>
      <c r="J13" s="150">
        <v>20907.373899999999</v>
      </c>
      <c r="K13" s="151">
        <v>24605.56560000002</v>
      </c>
      <c r="L13" s="151">
        <v>19431</v>
      </c>
      <c r="M13" s="151">
        <v>21819</v>
      </c>
      <c r="N13" s="152">
        <v>16337</v>
      </c>
      <c r="O13" s="152">
        <v>26139.46</v>
      </c>
      <c r="P13" s="152">
        <v>32523</v>
      </c>
      <c r="Q13" s="152">
        <f t="shared" si="0"/>
        <v>247629.73980000001</v>
      </c>
      <c r="R13" s="152">
        <f>758.620689655172*31</f>
        <v>23517.241379310333</v>
      </c>
      <c r="S13" s="152">
        <v>23000</v>
      </c>
      <c r="T13" s="152">
        <v>24000</v>
      </c>
      <c r="U13" s="152">
        <v>26000</v>
      </c>
      <c r="V13" s="152">
        <v>27000</v>
      </c>
      <c r="W13" s="152">
        <v>28000</v>
      </c>
      <c r="X13" s="152">
        <v>28000</v>
      </c>
      <c r="Y13" s="152">
        <v>29000</v>
      </c>
      <c r="Z13" s="152">
        <v>32000</v>
      </c>
      <c r="AA13" s="152">
        <v>33000</v>
      </c>
      <c r="AB13" s="152">
        <v>34000</v>
      </c>
      <c r="AC13" s="153">
        <v>35000</v>
      </c>
      <c r="AF13" s="147"/>
      <c r="AG13" s="130"/>
      <c r="AH13" s="130"/>
      <c r="AI13" s="130"/>
      <c r="AJ13" s="112"/>
      <c r="AK13" s="112"/>
      <c r="AL13" s="112"/>
      <c r="AM13" s="112"/>
      <c r="AN13" s="112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</row>
    <row r="14" spans="1:53" x14ac:dyDescent="0.4">
      <c r="A14" s="139">
        <f t="shared" si="1"/>
        <v>0.66300000000000003</v>
      </c>
      <c r="B14" s="140">
        <v>0.33700000000000002</v>
      </c>
      <c r="C14" s="148" t="s">
        <v>476</v>
      </c>
      <c r="D14" s="154"/>
      <c r="E14" s="150">
        <v>0</v>
      </c>
      <c r="F14" s="150">
        <v>0</v>
      </c>
      <c r="G14" s="150">
        <v>0</v>
      </c>
      <c r="H14" s="150">
        <v>0</v>
      </c>
      <c r="I14" s="150">
        <v>0</v>
      </c>
      <c r="J14" s="150">
        <v>0</v>
      </c>
      <c r="K14" s="150">
        <v>0</v>
      </c>
      <c r="L14" s="150">
        <v>0</v>
      </c>
      <c r="M14" s="155">
        <v>0</v>
      </c>
      <c r="N14" s="156"/>
      <c r="O14" s="156"/>
      <c r="P14" s="156"/>
      <c r="Q14" s="156">
        <f t="shared" si="0"/>
        <v>0</v>
      </c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3"/>
      <c r="AF14" s="110"/>
      <c r="AG14" s="130"/>
      <c r="AH14" s="130"/>
      <c r="AI14" s="130"/>
      <c r="AJ14" s="112"/>
      <c r="AK14" s="112"/>
      <c r="AL14" s="112"/>
      <c r="AM14" s="112"/>
      <c r="AN14" s="112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</row>
    <row r="15" spans="1:53" x14ac:dyDescent="0.4">
      <c r="A15" s="139">
        <f t="shared" si="1"/>
        <v>0.66300000000000003</v>
      </c>
      <c r="B15" s="140">
        <f>+B14</f>
        <v>0.33700000000000002</v>
      </c>
      <c r="C15" s="148" t="s">
        <v>477</v>
      </c>
      <c r="D15" s="149">
        <v>0.14000000000000001</v>
      </c>
      <c r="E15" s="150">
        <v>4640.7970000000005</v>
      </c>
      <c r="F15" s="150">
        <v>4236.7150000000001</v>
      </c>
      <c r="G15" s="150">
        <v>4152.0947999999999</v>
      </c>
      <c r="H15" s="150">
        <v>5614.8078000000005</v>
      </c>
      <c r="I15" s="150">
        <v>5889.1112000000039</v>
      </c>
      <c r="J15" s="150">
        <v>5973.5354000000016</v>
      </c>
      <c r="K15" s="150">
        <v>7030.1616000000013</v>
      </c>
      <c r="L15" s="150">
        <v>0</v>
      </c>
      <c r="M15" s="157">
        <v>24</v>
      </c>
      <c r="N15" s="156">
        <f>5575+50</f>
        <v>5625</v>
      </c>
      <c r="O15" s="156">
        <f>5563+22716+3000-300+3-1.003-1002-6815</f>
        <v>23163.996999999999</v>
      </c>
      <c r="P15" s="156">
        <v>5199</v>
      </c>
      <c r="Q15" s="156">
        <f t="shared" si="0"/>
        <v>71549.219800000006</v>
      </c>
      <c r="R15" s="152">
        <f>64122/29*31-R12-R13</f>
        <v>40026.965517241391</v>
      </c>
      <c r="S15" s="152">
        <v>50500</v>
      </c>
      <c r="T15" s="152">
        <v>56500</v>
      </c>
      <c r="U15" s="152">
        <v>62150.000000000007</v>
      </c>
      <c r="V15" s="152">
        <v>68365.000000000015</v>
      </c>
      <c r="W15" s="152">
        <v>75201.500000000029</v>
      </c>
      <c r="X15" s="152">
        <v>82721.650000000038</v>
      </c>
      <c r="Y15" s="152">
        <v>90993.815000000046</v>
      </c>
      <c r="Z15" s="152">
        <v>100093.19650000006</v>
      </c>
      <c r="AA15" s="152">
        <v>110102.51615000008</v>
      </c>
      <c r="AB15" s="152">
        <v>121112.7677650001</v>
      </c>
      <c r="AC15" s="153">
        <v>133224.04454150013</v>
      </c>
      <c r="AF15" s="147"/>
      <c r="AG15" s="130"/>
      <c r="AH15" s="130"/>
      <c r="AI15" s="130"/>
      <c r="AJ15" s="112"/>
      <c r="AK15" s="112"/>
      <c r="AL15" s="112"/>
      <c r="AM15" s="112"/>
      <c r="AN15" s="112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</row>
    <row r="16" spans="1:53" x14ac:dyDescent="0.4">
      <c r="A16" s="139">
        <f t="shared" si="1"/>
        <v>0.97840000000000005</v>
      </c>
      <c r="B16" s="140">
        <v>2.1600000000000001E-2</v>
      </c>
      <c r="C16" s="158" t="s">
        <v>478</v>
      </c>
      <c r="D16" s="159">
        <v>0.02</v>
      </c>
      <c r="E16" s="160">
        <v>662.97100000000023</v>
      </c>
      <c r="F16" s="160">
        <v>605.24500000000023</v>
      </c>
      <c r="G16" s="160">
        <v>593.15639999999996</v>
      </c>
      <c r="H16" s="160">
        <v>802.11540000000002</v>
      </c>
      <c r="I16" s="160">
        <v>841.30160000000012</v>
      </c>
      <c r="J16" s="160">
        <v>853.36219999999992</v>
      </c>
      <c r="K16" s="160">
        <v>1004.3088000000006</v>
      </c>
      <c r="L16" s="160">
        <v>178</v>
      </c>
      <c r="M16" s="161">
        <f>332+306-53</f>
        <v>585</v>
      </c>
      <c r="N16" s="162">
        <v>0</v>
      </c>
      <c r="O16" s="162"/>
      <c r="P16" s="162">
        <f>1590+3616+741</f>
        <v>5947</v>
      </c>
      <c r="Q16" s="162">
        <f>+SUM(E16:P16)</f>
        <v>12072.4604</v>
      </c>
      <c r="R16" s="163"/>
      <c r="S16" s="163">
        <v>17400</v>
      </c>
      <c r="T16" s="163">
        <v>9500</v>
      </c>
      <c r="U16" s="163">
        <v>17400</v>
      </c>
      <c r="V16" s="163">
        <v>19140</v>
      </c>
      <c r="W16" s="163">
        <v>21054</v>
      </c>
      <c r="X16" s="163">
        <v>23159.4</v>
      </c>
      <c r="Y16" s="163">
        <v>25475.340000000004</v>
      </c>
      <c r="Z16" s="163">
        <v>28022.874000000007</v>
      </c>
      <c r="AA16" s="163">
        <v>30825.161400000012</v>
      </c>
      <c r="AB16" s="163">
        <v>33907.677540000019</v>
      </c>
      <c r="AC16" s="164">
        <v>37298.445294000026</v>
      </c>
      <c r="AF16" s="147"/>
      <c r="AG16" s="130"/>
      <c r="AH16" s="130"/>
      <c r="AI16" s="130"/>
      <c r="AJ16" s="112"/>
      <c r="AK16" s="112"/>
      <c r="AL16" s="112"/>
      <c r="AM16" s="112"/>
      <c r="AN16" s="112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</row>
    <row r="17" spans="2:35" s="172" customFormat="1" x14ac:dyDescent="0.4">
      <c r="B17" s="165"/>
      <c r="C17" s="166" t="s">
        <v>479</v>
      </c>
      <c r="D17" s="167"/>
      <c r="E17" s="168">
        <f t="shared" ref="E17:AC17" si="2">SUM(E12:E16)</f>
        <v>33148.549999999996</v>
      </c>
      <c r="F17" s="168">
        <f t="shared" si="2"/>
        <v>30262.249999999993</v>
      </c>
      <c r="G17" s="168">
        <f t="shared" si="2"/>
        <v>29657.819999999992</v>
      </c>
      <c r="H17" s="168">
        <f t="shared" si="2"/>
        <v>40105.770000000004</v>
      </c>
      <c r="I17" s="168">
        <f t="shared" si="2"/>
        <v>42065.079999999994</v>
      </c>
      <c r="J17" s="168">
        <f t="shared" si="2"/>
        <v>42668.109999999993</v>
      </c>
      <c r="K17" s="168">
        <f t="shared" si="2"/>
        <v>50215.440000000017</v>
      </c>
      <c r="L17" s="168">
        <f t="shared" si="2"/>
        <v>31494</v>
      </c>
      <c r="M17" s="168">
        <f t="shared" si="2"/>
        <v>33397</v>
      </c>
      <c r="N17" s="168">
        <f t="shared" si="2"/>
        <v>52804</v>
      </c>
      <c r="O17" s="168">
        <f t="shared" si="2"/>
        <v>67765.456999999995</v>
      </c>
      <c r="P17" s="169">
        <f t="shared" si="2"/>
        <v>48219</v>
      </c>
      <c r="Q17" s="168">
        <f t="shared" si="2"/>
        <v>501802.47700000001</v>
      </c>
      <c r="R17" s="168">
        <f t="shared" si="2"/>
        <v>68544.206896551725</v>
      </c>
      <c r="S17" s="168">
        <f t="shared" si="2"/>
        <v>92400</v>
      </c>
      <c r="T17" s="168">
        <f t="shared" si="2"/>
        <v>91500</v>
      </c>
      <c r="U17" s="168">
        <f t="shared" si="2"/>
        <v>107155</v>
      </c>
      <c r="V17" s="168">
        <f t="shared" si="2"/>
        <v>116222.35</v>
      </c>
      <c r="W17" s="168">
        <f t="shared" si="2"/>
        <v>126093.06450000004</v>
      </c>
      <c r="X17" s="168">
        <f t="shared" si="2"/>
        <v>135847.24401500003</v>
      </c>
      <c r="Y17" s="168">
        <f t="shared" si="2"/>
        <v>147572.98259605005</v>
      </c>
      <c r="Z17" s="168">
        <f t="shared" si="2"/>
        <v>162367.16602777358</v>
      </c>
      <c r="AA17" s="168">
        <f t="shared" si="2"/>
        <v>176336.34976471774</v>
      </c>
      <c r="AB17" s="168">
        <f t="shared" si="2"/>
        <v>191597.72457474802</v>
      </c>
      <c r="AC17" s="168">
        <f t="shared" si="2"/>
        <v>208280.1786541304</v>
      </c>
      <c r="AD17" s="170"/>
      <c r="AE17" s="170"/>
      <c r="AF17" s="171"/>
      <c r="AG17" s="130"/>
      <c r="AH17" s="130"/>
      <c r="AI17" s="130"/>
    </row>
    <row r="18" spans="2:35" hidden="1" x14ac:dyDescent="0.4">
      <c r="E18" s="131"/>
      <c r="F18" s="131"/>
      <c r="G18" s="131"/>
      <c r="H18" s="131"/>
      <c r="I18" s="131"/>
      <c r="J18" s="131"/>
      <c r="K18" s="131"/>
      <c r="L18" s="173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0"/>
      <c r="AH18" s="130"/>
      <c r="AI18" s="130"/>
    </row>
    <row r="19" spans="2:35" hidden="1" x14ac:dyDescent="0.4">
      <c r="C19" s="135" t="s">
        <v>480</v>
      </c>
      <c r="F19" s="174"/>
      <c r="G19" s="174"/>
      <c r="H19" s="174"/>
      <c r="I19" s="174"/>
      <c r="J19" s="174"/>
      <c r="K19" s="174"/>
      <c r="L19" s="174"/>
      <c r="M19" s="174"/>
      <c r="AG19" s="130"/>
      <c r="AH19" s="130"/>
      <c r="AI19" s="130"/>
    </row>
    <row r="20" spans="2:35" hidden="1" x14ac:dyDescent="0.4">
      <c r="C20" s="108" t="s">
        <v>481</v>
      </c>
      <c r="E20" s="137">
        <f t="shared" ref="E20:AC24" si="3">+E12/E$17</f>
        <v>0.35000000000000009</v>
      </c>
      <c r="F20" s="137">
        <f t="shared" si="3"/>
        <v>0.35</v>
      </c>
      <c r="G20" s="137">
        <f t="shared" si="3"/>
        <v>0.35000000000000009</v>
      </c>
      <c r="H20" s="137">
        <f t="shared" si="3"/>
        <v>0.34999999999999992</v>
      </c>
      <c r="I20" s="137">
        <f t="shared" si="3"/>
        <v>0.34999999999999981</v>
      </c>
      <c r="J20" s="137">
        <f t="shared" si="3"/>
        <v>0.34999999999999992</v>
      </c>
      <c r="K20" s="137">
        <f t="shared" si="3"/>
        <v>0.34999999999999987</v>
      </c>
      <c r="L20" s="137">
        <f t="shared" si="3"/>
        <v>0.37737346796215154</v>
      </c>
      <c r="M20" s="137">
        <f t="shared" si="3"/>
        <v>0.32844267449172082</v>
      </c>
      <c r="N20" s="137">
        <f t="shared" si="3"/>
        <v>0.58408453905007196</v>
      </c>
      <c r="O20" s="137">
        <f t="shared" si="3"/>
        <v>0.27243968855695905</v>
      </c>
      <c r="P20" s="137">
        <f t="shared" si="3"/>
        <v>9.436114394740662E-2</v>
      </c>
      <c r="Q20" s="137">
        <f t="shared" si="3"/>
        <v>0.33987687350534934</v>
      </c>
      <c r="R20" s="137">
        <f t="shared" si="3"/>
        <v>7.2945624822037827E-2</v>
      </c>
      <c r="S20" s="137">
        <f t="shared" si="3"/>
        <v>1.6233766233766232E-2</v>
      </c>
      <c r="T20" s="137">
        <f t="shared" si="3"/>
        <v>1.6393442622950821E-2</v>
      </c>
      <c r="U20" s="137">
        <f t="shared" si="3"/>
        <v>1.497830245905464E-2</v>
      </c>
      <c r="V20" s="137">
        <f t="shared" si="3"/>
        <v>1.4776417788833216E-2</v>
      </c>
      <c r="W20" s="137">
        <f t="shared" si="3"/>
        <v>1.4573081456038367E-2</v>
      </c>
      <c r="X20" s="137">
        <f t="shared" si="3"/>
        <v>1.4473565726389682E-2</v>
      </c>
      <c r="Y20" s="137">
        <f t="shared" si="3"/>
        <v>1.4256184018512287E-2</v>
      </c>
      <c r="Z20" s="137">
        <f t="shared" si="3"/>
        <v>1.3864228728291293E-2</v>
      </c>
      <c r="AA20" s="137">
        <f t="shared" si="3"/>
        <v>1.3659533147484857E-2</v>
      </c>
      <c r="AB20" s="137">
        <f t="shared" si="3"/>
        <v>1.3451512931420054E-2</v>
      </c>
      <c r="AC20" s="137">
        <f t="shared" si="3"/>
        <v>1.3240284488182836E-2</v>
      </c>
      <c r="AD20" s="175"/>
      <c r="AE20" s="175"/>
      <c r="AF20" s="175"/>
      <c r="AG20" s="130"/>
      <c r="AH20" s="130"/>
      <c r="AI20" s="130"/>
    </row>
    <row r="21" spans="2:35" hidden="1" x14ac:dyDescent="0.4">
      <c r="B21" s="138"/>
      <c r="C21" s="108" t="s">
        <v>482</v>
      </c>
      <c r="D21" s="176">
        <f>+AVERAGE(E21:J21)</f>
        <v>0.49000000000000005</v>
      </c>
      <c r="E21" s="137">
        <f t="shared" si="3"/>
        <v>0.49</v>
      </c>
      <c r="F21" s="137">
        <f t="shared" si="3"/>
        <v>0.4900000000000001</v>
      </c>
      <c r="G21" s="137">
        <f t="shared" si="3"/>
        <v>0.48999999999999994</v>
      </c>
      <c r="H21" s="137">
        <f t="shared" si="3"/>
        <v>0.48999999999999988</v>
      </c>
      <c r="I21" s="137">
        <f t="shared" si="3"/>
        <v>0.49</v>
      </c>
      <c r="J21" s="137">
        <f t="shared" si="3"/>
        <v>0.49000000000000005</v>
      </c>
      <c r="K21" s="137">
        <f t="shared" si="3"/>
        <v>0.49000000000000021</v>
      </c>
      <c r="L21" s="137">
        <f t="shared" si="3"/>
        <v>0.61697466184035055</v>
      </c>
      <c r="M21" s="137">
        <f t="shared" si="3"/>
        <v>0.65332215468455246</v>
      </c>
      <c r="N21" s="137">
        <f t="shared" si="3"/>
        <v>0.30938944019392473</v>
      </c>
      <c r="O21" s="137">
        <f t="shared" si="3"/>
        <v>0.38573428347129718</v>
      </c>
      <c r="P21" s="137">
        <f t="shared" si="3"/>
        <v>0.67448516145088033</v>
      </c>
      <c r="Q21" s="137">
        <f t="shared" si="3"/>
        <v>0.49348050507929236</v>
      </c>
      <c r="R21" s="137">
        <f t="shared" si="3"/>
        <v>0.34309597330089497</v>
      </c>
      <c r="S21" s="137">
        <f t="shared" si="3"/>
        <v>0.24891774891774893</v>
      </c>
      <c r="T21" s="137">
        <f t="shared" si="3"/>
        <v>0.26229508196721313</v>
      </c>
      <c r="U21" s="137">
        <f t="shared" si="3"/>
        <v>0.24263916756100976</v>
      </c>
      <c r="V21" s="137">
        <f t="shared" si="3"/>
        <v>0.2323133201144186</v>
      </c>
      <c r="W21" s="137">
        <f t="shared" si="3"/>
        <v>0.22205820844333585</v>
      </c>
      <c r="X21" s="137">
        <f t="shared" si="3"/>
        <v>0.20611386121979983</v>
      </c>
      <c r="Y21" s="137">
        <f t="shared" si="3"/>
        <v>0.19651293542925397</v>
      </c>
      <c r="Z21" s="137">
        <f t="shared" si="3"/>
        <v>0.19708418138262182</v>
      </c>
      <c r="AA21" s="137">
        <f t="shared" si="3"/>
        <v>0.18714235632092463</v>
      </c>
      <c r="AB21" s="137">
        <f t="shared" si="3"/>
        <v>0.17745513458191189</v>
      </c>
      <c r="AC21" s="137">
        <f t="shared" si="3"/>
        <v>0.16804287487250968</v>
      </c>
      <c r="AD21" s="175"/>
      <c r="AE21" s="175"/>
      <c r="AF21" s="175"/>
      <c r="AG21" s="130"/>
      <c r="AH21" s="130"/>
      <c r="AI21" s="130"/>
    </row>
    <row r="22" spans="2:35" hidden="1" x14ac:dyDescent="0.4">
      <c r="C22" s="108" t="s">
        <v>483</v>
      </c>
      <c r="E22" s="137">
        <f t="shared" si="3"/>
        <v>0</v>
      </c>
      <c r="F22" s="137">
        <f t="shared" si="3"/>
        <v>0</v>
      </c>
      <c r="G22" s="137">
        <f t="shared" si="3"/>
        <v>0</v>
      </c>
      <c r="H22" s="137">
        <f t="shared" si="3"/>
        <v>0</v>
      </c>
      <c r="I22" s="137">
        <f t="shared" si="3"/>
        <v>0</v>
      </c>
      <c r="J22" s="137">
        <f t="shared" si="3"/>
        <v>0</v>
      </c>
      <c r="K22" s="137">
        <f t="shared" si="3"/>
        <v>0</v>
      </c>
      <c r="L22" s="137">
        <f t="shared" si="3"/>
        <v>0</v>
      </c>
      <c r="M22" s="137">
        <f t="shared" si="3"/>
        <v>0</v>
      </c>
      <c r="N22" s="137">
        <f t="shared" si="3"/>
        <v>0</v>
      </c>
      <c r="O22" s="137">
        <f t="shared" si="3"/>
        <v>0</v>
      </c>
      <c r="P22" s="137">
        <f t="shared" si="3"/>
        <v>0</v>
      </c>
      <c r="Q22" s="137">
        <f t="shared" si="3"/>
        <v>0</v>
      </c>
      <c r="R22" s="137">
        <f t="shared" si="3"/>
        <v>0</v>
      </c>
      <c r="S22" s="137">
        <f t="shared" si="3"/>
        <v>0</v>
      </c>
      <c r="T22" s="137">
        <f t="shared" si="3"/>
        <v>0</v>
      </c>
      <c r="U22" s="137">
        <f t="shared" si="3"/>
        <v>0</v>
      </c>
      <c r="V22" s="137">
        <f t="shared" si="3"/>
        <v>0</v>
      </c>
      <c r="W22" s="137">
        <f t="shared" si="3"/>
        <v>0</v>
      </c>
      <c r="X22" s="137">
        <f t="shared" si="3"/>
        <v>0</v>
      </c>
      <c r="Y22" s="137">
        <f t="shared" si="3"/>
        <v>0</v>
      </c>
      <c r="Z22" s="137">
        <f t="shared" si="3"/>
        <v>0</v>
      </c>
      <c r="AA22" s="137">
        <f t="shared" si="3"/>
        <v>0</v>
      </c>
      <c r="AB22" s="137">
        <f t="shared" si="3"/>
        <v>0</v>
      </c>
      <c r="AC22" s="137">
        <f t="shared" si="3"/>
        <v>0</v>
      </c>
      <c r="AD22" s="175"/>
      <c r="AE22" s="175"/>
      <c r="AF22" s="175"/>
      <c r="AG22" s="130"/>
      <c r="AH22" s="130"/>
      <c r="AI22" s="130"/>
    </row>
    <row r="23" spans="2:35" hidden="1" x14ac:dyDescent="0.4">
      <c r="C23" s="108" t="s">
        <v>484</v>
      </c>
      <c r="D23" s="177"/>
      <c r="E23" s="137">
        <f t="shared" si="3"/>
        <v>0.14000000000000004</v>
      </c>
      <c r="F23" s="137">
        <f t="shared" si="3"/>
        <v>0.14000000000000004</v>
      </c>
      <c r="G23" s="137">
        <f t="shared" si="3"/>
        <v>0.14000000000000004</v>
      </c>
      <c r="H23" s="137">
        <f t="shared" si="3"/>
        <v>0.13999999999999999</v>
      </c>
      <c r="I23" s="137">
        <f t="shared" si="3"/>
        <v>0.14000000000000012</v>
      </c>
      <c r="J23" s="137">
        <f t="shared" si="3"/>
        <v>0.14000000000000007</v>
      </c>
      <c r="K23" s="137">
        <f t="shared" si="3"/>
        <v>0.13999999999999999</v>
      </c>
      <c r="L23" s="137">
        <f t="shared" si="3"/>
        <v>0</v>
      </c>
      <c r="M23" s="137">
        <f t="shared" si="3"/>
        <v>7.1862742162469686E-4</v>
      </c>
      <c r="N23" s="137">
        <f t="shared" si="3"/>
        <v>0.10652602075600333</v>
      </c>
      <c r="O23" s="137">
        <f t="shared" si="3"/>
        <v>0.34182602797174377</v>
      </c>
      <c r="P23" s="137">
        <f t="shared" si="3"/>
        <v>0.10782056865550924</v>
      </c>
      <c r="Q23" s="137">
        <f t="shared" si="3"/>
        <v>0.14258442929128867</v>
      </c>
      <c r="R23" s="137">
        <f t="shared" si="3"/>
        <v>0.58395840187706716</v>
      </c>
      <c r="S23" s="137">
        <f t="shared" si="3"/>
        <v>0.54653679653679654</v>
      </c>
      <c r="T23" s="137">
        <f t="shared" si="3"/>
        <v>0.61748633879781423</v>
      </c>
      <c r="U23" s="137">
        <f t="shared" si="3"/>
        <v>0.58000093322756763</v>
      </c>
      <c r="V23" s="137">
        <f t="shared" si="3"/>
        <v>0.58822593072674934</v>
      </c>
      <c r="W23" s="137">
        <f t="shared" si="3"/>
        <v>0.59639679865184025</v>
      </c>
      <c r="X23" s="137">
        <f t="shared" si="3"/>
        <v>0.60893138171331651</v>
      </c>
      <c r="Y23" s="137">
        <f t="shared" si="3"/>
        <v>0.61660212729505137</v>
      </c>
      <c r="Z23" s="137">
        <f t="shared" si="3"/>
        <v>0.61646205294288814</v>
      </c>
      <c r="AA23" s="137">
        <f t="shared" si="3"/>
        <v>0.62438922149011133</v>
      </c>
      <c r="AB23" s="137">
        <f t="shared" si="3"/>
        <v>0.63212007362723333</v>
      </c>
      <c r="AC23" s="137">
        <f t="shared" si="3"/>
        <v>0.63963861276848466</v>
      </c>
      <c r="AG23" s="130"/>
      <c r="AH23" s="130"/>
      <c r="AI23" s="130"/>
    </row>
    <row r="24" spans="2:35" hidden="1" x14ac:dyDescent="0.4">
      <c r="B24" s="178"/>
      <c r="C24" s="108" t="s">
        <v>485</v>
      </c>
      <c r="E24" s="137">
        <f t="shared" si="3"/>
        <v>2.0000000000000011E-2</v>
      </c>
      <c r="F24" s="137">
        <f t="shared" si="3"/>
        <v>2.0000000000000011E-2</v>
      </c>
      <c r="G24" s="137">
        <f t="shared" si="3"/>
        <v>2.0000000000000004E-2</v>
      </c>
      <c r="H24" s="137">
        <f t="shared" si="3"/>
        <v>1.9999999999999997E-2</v>
      </c>
      <c r="I24" s="137">
        <f t="shared" si="3"/>
        <v>2.0000000000000004E-2</v>
      </c>
      <c r="J24" s="137">
        <f t="shared" si="3"/>
        <v>0.02</v>
      </c>
      <c r="K24" s="137">
        <f t="shared" si="3"/>
        <v>2.0000000000000004E-2</v>
      </c>
      <c r="L24" s="137">
        <f t="shared" si="3"/>
        <v>5.6518701974979362E-3</v>
      </c>
      <c r="M24" s="137">
        <f t="shared" si="3"/>
        <v>1.7516543402101986E-2</v>
      </c>
      <c r="N24" s="137">
        <f t="shared" si="3"/>
        <v>0</v>
      </c>
      <c r="O24" s="137">
        <f t="shared" si="3"/>
        <v>0</v>
      </c>
      <c r="P24" s="137">
        <f t="shared" si="3"/>
        <v>0.12333312594620378</v>
      </c>
      <c r="Q24" s="137">
        <f t="shared" si="3"/>
        <v>2.4058192124069566E-2</v>
      </c>
      <c r="R24" s="137">
        <f t="shared" si="3"/>
        <v>0</v>
      </c>
      <c r="S24" s="137">
        <f t="shared" si="3"/>
        <v>0.18831168831168832</v>
      </c>
      <c r="T24" s="137">
        <f t="shared" si="3"/>
        <v>0.10382513661202186</v>
      </c>
      <c r="U24" s="137">
        <f t="shared" si="3"/>
        <v>0.16238159675236807</v>
      </c>
      <c r="V24" s="137">
        <f t="shared" si="3"/>
        <v>0.16468433136999897</v>
      </c>
      <c r="W24" s="137">
        <f t="shared" si="3"/>
        <v>0.16697191144878545</v>
      </c>
      <c r="X24" s="137">
        <f t="shared" si="3"/>
        <v>0.17048119134049403</v>
      </c>
      <c r="Y24" s="137">
        <f t="shared" si="3"/>
        <v>0.17262875325718247</v>
      </c>
      <c r="Z24" s="137">
        <f t="shared" si="3"/>
        <v>0.17258953694619869</v>
      </c>
      <c r="AA24" s="137">
        <f t="shared" si="3"/>
        <v>0.1748088890414792</v>
      </c>
      <c r="AB24" s="137">
        <f t="shared" si="3"/>
        <v>0.17697327885943456</v>
      </c>
      <c r="AC24" s="137">
        <f t="shared" si="3"/>
        <v>0.1790782278708227</v>
      </c>
      <c r="AG24" s="130"/>
      <c r="AH24" s="130"/>
      <c r="AI24" s="130"/>
    </row>
    <row r="25" spans="2:35" hidden="1" x14ac:dyDescent="0.4">
      <c r="B25" s="112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G25" s="130"/>
      <c r="AH25" s="130"/>
      <c r="AI25" s="130"/>
    </row>
    <row r="26" spans="2:35" hidden="1" x14ac:dyDescent="0.4">
      <c r="D26" s="180"/>
      <c r="F26" s="181"/>
      <c r="G26" s="182"/>
      <c r="H26" s="182"/>
      <c r="I26" s="182"/>
      <c r="J26" s="182"/>
      <c r="K26" s="182"/>
      <c r="L26" s="182"/>
      <c r="M26" s="182"/>
      <c r="AG26" s="130"/>
      <c r="AH26" s="130"/>
      <c r="AI26" s="130"/>
    </row>
    <row r="27" spans="2:35" hidden="1" x14ac:dyDescent="0.4">
      <c r="C27" s="135" t="s">
        <v>486</v>
      </c>
      <c r="D27" s="183"/>
      <c r="E27" s="135"/>
      <c r="F27" s="184"/>
      <c r="G27" s="184"/>
      <c r="H27" s="185"/>
      <c r="I27" s="184"/>
      <c r="J27" s="184"/>
      <c r="K27" s="184"/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5"/>
      <c r="Y27" s="184"/>
      <c r="Z27" s="184"/>
      <c r="AA27" s="184"/>
      <c r="AB27" s="184"/>
      <c r="AC27" s="184">
        <v>0</v>
      </c>
      <c r="AG27" s="130"/>
      <c r="AH27" s="130"/>
      <c r="AI27" s="130"/>
    </row>
    <row r="28" spans="2:35" hidden="1" x14ac:dyDescent="0.4">
      <c r="B28" s="365"/>
      <c r="C28" s="108" t="s">
        <v>487</v>
      </c>
      <c r="F28" s="186"/>
      <c r="G28" s="187"/>
      <c r="H28" s="187"/>
      <c r="I28" s="187"/>
      <c r="J28" s="187"/>
      <c r="K28" s="187"/>
      <c r="L28" s="187"/>
      <c r="M28" s="187"/>
      <c r="Y28" s="109"/>
      <c r="Z28" s="109"/>
      <c r="AA28" s="109"/>
      <c r="AB28" s="109"/>
      <c r="AC28" s="109">
        <f t="shared" ref="AC28" si="4">+$X$27/36</f>
        <v>0</v>
      </c>
      <c r="AG28" s="130"/>
      <c r="AH28" s="130"/>
      <c r="AI28" s="130"/>
    </row>
    <row r="29" spans="2:35" hidden="1" x14ac:dyDescent="0.4">
      <c r="B29" s="365"/>
      <c r="C29" s="108" t="s">
        <v>488</v>
      </c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>
        <f t="shared" ref="AC29" si="5">+$J$264/48</f>
        <v>851.60416666666663</v>
      </c>
      <c r="AG29" s="130"/>
      <c r="AH29" s="130"/>
      <c r="AI29" s="130"/>
    </row>
    <row r="30" spans="2:35" hidden="1" x14ac:dyDescent="0.4">
      <c r="B30" s="365"/>
      <c r="C30" s="108" t="s">
        <v>489</v>
      </c>
      <c r="H30" s="112"/>
      <c r="I30" s="112"/>
      <c r="J30" s="112"/>
      <c r="K30" s="112"/>
      <c r="L30" s="112"/>
      <c r="M30" s="112"/>
      <c r="AG30" s="130"/>
      <c r="AH30" s="130"/>
      <c r="AI30" s="130"/>
    </row>
    <row r="31" spans="2:35" hidden="1" x14ac:dyDescent="0.4">
      <c r="B31" s="365"/>
      <c r="C31" s="108" t="s">
        <v>490</v>
      </c>
      <c r="H31" s="112"/>
      <c r="I31" s="112"/>
      <c r="J31" s="112"/>
      <c r="K31" s="112"/>
      <c r="L31" s="112"/>
      <c r="M31" s="112"/>
      <c r="AG31" s="130"/>
      <c r="AH31" s="130"/>
      <c r="AI31" s="130"/>
    </row>
    <row r="32" spans="2:35" hidden="1" x14ac:dyDescent="0.4">
      <c r="B32" s="365"/>
      <c r="C32" s="108" t="s">
        <v>491</v>
      </c>
      <c r="H32" s="112"/>
      <c r="I32" s="112"/>
      <c r="J32" s="112"/>
      <c r="K32" s="112"/>
      <c r="L32" s="112"/>
      <c r="M32" s="112"/>
      <c r="AG32" s="130"/>
      <c r="AH32" s="130"/>
      <c r="AI32" s="130"/>
    </row>
    <row r="33" spans="2:74" hidden="1" x14ac:dyDescent="0.4">
      <c r="B33" s="365"/>
      <c r="C33" s="108" t="s">
        <v>492</v>
      </c>
      <c r="H33" s="112"/>
      <c r="I33" s="112"/>
      <c r="J33" s="112"/>
      <c r="K33" s="112"/>
      <c r="L33" s="112"/>
      <c r="M33" s="112"/>
      <c r="AG33" s="130"/>
      <c r="AH33" s="130"/>
      <c r="AI33" s="130"/>
    </row>
    <row r="34" spans="2:74" hidden="1" x14ac:dyDescent="0.4">
      <c r="B34" s="365"/>
      <c r="C34" s="108" t="s">
        <v>493</v>
      </c>
      <c r="H34" s="112"/>
      <c r="I34" s="112"/>
      <c r="J34" s="112"/>
      <c r="K34" s="112"/>
      <c r="L34" s="112"/>
      <c r="M34" s="112"/>
      <c r="AG34" s="130"/>
      <c r="AH34" s="130"/>
      <c r="AI34" s="130"/>
    </row>
    <row r="35" spans="2:74" hidden="1" x14ac:dyDescent="0.4">
      <c r="B35" s="365"/>
      <c r="C35" s="108" t="s">
        <v>494</v>
      </c>
      <c r="H35" s="112"/>
      <c r="I35" s="112"/>
      <c r="J35" s="112"/>
      <c r="K35" s="112"/>
      <c r="L35" s="112"/>
      <c r="M35" s="112"/>
      <c r="AG35" s="130"/>
      <c r="AH35" s="130"/>
      <c r="AI35" s="130"/>
    </row>
    <row r="36" spans="2:74" hidden="1" x14ac:dyDescent="0.4">
      <c r="B36" s="365"/>
      <c r="C36" s="108" t="s">
        <v>495</v>
      </c>
      <c r="H36" s="112"/>
      <c r="I36" s="112"/>
      <c r="J36" s="112"/>
      <c r="K36" s="112"/>
      <c r="L36" s="112"/>
      <c r="M36" s="112"/>
      <c r="AG36" s="130"/>
      <c r="AH36" s="130"/>
      <c r="AI36" s="130"/>
    </row>
    <row r="37" spans="2:74" hidden="1" x14ac:dyDescent="0.4">
      <c r="C37" s="188" t="s">
        <v>496</v>
      </c>
      <c r="D37" s="177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89"/>
      <c r="R37" s="189"/>
      <c r="S37" s="189"/>
      <c r="T37" s="189"/>
      <c r="U37" s="189"/>
      <c r="V37" s="189"/>
      <c r="W37" s="189"/>
      <c r="X37" s="189"/>
      <c r="Y37" s="189"/>
      <c r="Z37" s="189"/>
      <c r="AA37" s="189"/>
      <c r="AB37" s="189"/>
      <c r="AC37" s="189">
        <f t="shared" ref="AC37" si="6">SUM(AC28:AC36)</f>
        <v>851.60416666666663</v>
      </c>
      <c r="AG37" s="130"/>
      <c r="AH37" s="130"/>
      <c r="AI37" s="130"/>
    </row>
    <row r="38" spans="2:74" hidden="1" x14ac:dyDescent="0.4">
      <c r="AG38" s="130"/>
      <c r="AH38" s="130"/>
      <c r="AI38" s="130"/>
    </row>
    <row r="39" spans="2:74" hidden="1" x14ac:dyDescent="0.4">
      <c r="AG39" s="130"/>
      <c r="AH39" s="130"/>
      <c r="AI39" s="130"/>
    </row>
    <row r="40" spans="2:74" hidden="1" x14ac:dyDescent="0.4">
      <c r="C40" s="108" t="s">
        <v>497</v>
      </c>
      <c r="F40" s="112"/>
      <c r="G40" s="112"/>
      <c r="H40" s="112"/>
      <c r="I40" s="112"/>
      <c r="J40" s="112"/>
      <c r="K40" s="112"/>
      <c r="L40" s="112"/>
      <c r="M40" s="112"/>
      <c r="AG40" s="130"/>
      <c r="AH40" s="130"/>
      <c r="AI40" s="130"/>
    </row>
    <row r="41" spans="2:74" hidden="1" x14ac:dyDescent="0.4">
      <c r="C41" s="108" t="s">
        <v>486</v>
      </c>
      <c r="F41" s="112"/>
      <c r="G41" s="112"/>
      <c r="H41" s="112"/>
      <c r="I41" s="112"/>
      <c r="J41" s="112"/>
      <c r="K41" s="112"/>
      <c r="L41" s="112"/>
      <c r="M41" s="112"/>
      <c r="AG41" s="130"/>
      <c r="AH41" s="130"/>
      <c r="AI41" s="130"/>
    </row>
    <row r="42" spans="2:74" hidden="1" x14ac:dyDescent="0.4">
      <c r="C42" s="108" t="s">
        <v>498</v>
      </c>
      <c r="F42" s="138"/>
      <c r="G42" s="138"/>
      <c r="H42" s="138"/>
      <c r="I42" s="138"/>
      <c r="J42" s="138"/>
      <c r="K42" s="138"/>
      <c r="L42" s="138"/>
      <c r="M42" s="138"/>
      <c r="AG42" s="130"/>
      <c r="AH42" s="130"/>
      <c r="AI42" s="130"/>
    </row>
    <row r="43" spans="2:74" hidden="1" x14ac:dyDescent="0.4">
      <c r="C43" s="188" t="s">
        <v>499</v>
      </c>
      <c r="D43" s="177"/>
      <c r="E43" s="190"/>
      <c r="F43" s="190"/>
      <c r="G43" s="190"/>
      <c r="H43" s="190"/>
      <c r="I43" s="190"/>
      <c r="J43" s="190"/>
      <c r="K43" s="190"/>
      <c r="L43" s="190"/>
      <c r="M43" s="190"/>
      <c r="AG43" s="130"/>
      <c r="AH43" s="130"/>
      <c r="AI43" s="130"/>
    </row>
    <row r="44" spans="2:74" hidden="1" x14ac:dyDescent="0.4">
      <c r="F44" s="191"/>
      <c r="G44" s="191"/>
      <c r="H44" s="191"/>
      <c r="I44" s="191"/>
      <c r="J44" s="191"/>
      <c r="K44" s="191"/>
      <c r="L44" s="191"/>
      <c r="M44" s="191"/>
      <c r="AG44" s="130"/>
      <c r="AH44" s="130"/>
      <c r="AI44" s="130"/>
    </row>
    <row r="45" spans="2:74" hidden="1" x14ac:dyDescent="0.4">
      <c r="C45" s="192" t="s">
        <v>500</v>
      </c>
      <c r="D45" s="193">
        <v>0.01</v>
      </c>
      <c r="E45" s="128"/>
      <c r="K45" s="128"/>
      <c r="AG45" s="130"/>
      <c r="AH45" s="130"/>
      <c r="AI45" s="130"/>
    </row>
    <row r="46" spans="2:74" hidden="1" x14ac:dyDescent="0.4">
      <c r="C46" s="194" t="s">
        <v>501</v>
      </c>
      <c r="D46" s="195">
        <v>60</v>
      </c>
      <c r="K46" s="109"/>
      <c r="L46" s="109"/>
      <c r="M46" s="109"/>
      <c r="AG46" s="130"/>
      <c r="AH46" s="130"/>
      <c r="AI46" s="130"/>
    </row>
    <row r="47" spans="2:74" hidden="1" x14ac:dyDescent="0.4">
      <c r="C47" s="108" t="s">
        <v>502</v>
      </c>
      <c r="E47" s="138"/>
      <c r="G47" s="196"/>
      <c r="K47" s="138"/>
      <c r="AG47" s="130"/>
      <c r="AH47" s="130"/>
      <c r="AI47" s="130"/>
    </row>
    <row r="48" spans="2:74" hidden="1" x14ac:dyDescent="0.4">
      <c r="C48" s="194" t="s">
        <v>503</v>
      </c>
      <c r="D48" s="197"/>
      <c r="E48" s="198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38"/>
      <c r="AE48" s="138"/>
      <c r="AF48" s="138"/>
      <c r="AG48" s="130"/>
      <c r="AH48" s="130"/>
      <c r="AI48" s="130"/>
      <c r="AJ48" s="138"/>
      <c r="AK48" s="138"/>
      <c r="AL48" s="138"/>
      <c r="AM48" s="138"/>
      <c r="AN48" s="138"/>
      <c r="AO48" s="138"/>
      <c r="AP48" s="138"/>
      <c r="AQ48" s="138"/>
      <c r="AR48" s="138"/>
      <c r="AS48" s="138"/>
      <c r="AT48" s="138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138"/>
      <c r="BI48" s="138"/>
      <c r="BJ48" s="138"/>
      <c r="BK48" s="138"/>
      <c r="BL48" s="138"/>
      <c r="BM48" s="138"/>
      <c r="BN48" s="138"/>
      <c r="BO48" s="138"/>
      <c r="BP48" s="138"/>
      <c r="BQ48" s="138"/>
      <c r="BR48" s="138"/>
      <c r="BS48" s="138"/>
      <c r="BT48" s="138"/>
      <c r="BU48" s="138"/>
      <c r="BV48" s="138"/>
    </row>
    <row r="49" spans="2:35" hidden="1" x14ac:dyDescent="0.4">
      <c r="AG49" s="130"/>
      <c r="AH49" s="130"/>
      <c r="AI49" s="130"/>
    </row>
    <row r="50" spans="2:35" hidden="1" x14ac:dyDescent="0.4">
      <c r="AG50" s="130"/>
      <c r="AH50" s="130"/>
      <c r="AI50" s="130"/>
    </row>
    <row r="51" spans="2:35" hidden="1" x14ac:dyDescent="0.4"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109"/>
      <c r="P51" s="109"/>
      <c r="Q51" s="109"/>
      <c r="R51" s="109"/>
      <c r="S51" s="109"/>
      <c r="T51" s="109"/>
      <c r="U51" s="200"/>
      <c r="V51" s="200"/>
      <c r="W51" s="200"/>
      <c r="X51" s="200"/>
      <c r="Y51" s="200"/>
      <c r="Z51" s="200"/>
      <c r="AA51" s="200"/>
      <c r="AG51" s="130"/>
      <c r="AH51" s="130"/>
      <c r="AI51" s="130"/>
    </row>
    <row r="52" spans="2:35" hidden="1" x14ac:dyDescent="0.4"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109"/>
      <c r="P52" s="109"/>
      <c r="Q52" s="109"/>
      <c r="R52" s="109"/>
      <c r="S52" s="109"/>
      <c r="T52" s="109"/>
      <c r="U52" s="200"/>
      <c r="V52" s="200"/>
      <c r="W52" s="200"/>
      <c r="X52" s="200"/>
      <c r="Y52" s="200"/>
      <c r="Z52" s="200"/>
      <c r="AA52" s="200"/>
      <c r="AG52" s="130"/>
      <c r="AH52" s="130"/>
      <c r="AI52" s="130"/>
    </row>
    <row r="53" spans="2:35" hidden="1" x14ac:dyDescent="0.4"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109"/>
      <c r="P53" s="109"/>
      <c r="Q53" s="109"/>
      <c r="R53" s="109"/>
      <c r="S53" s="109"/>
      <c r="T53" s="109"/>
      <c r="U53" s="200"/>
      <c r="V53" s="200"/>
      <c r="W53" s="200"/>
      <c r="X53" s="200"/>
      <c r="Y53" s="200"/>
      <c r="Z53" s="200"/>
      <c r="AA53" s="200"/>
      <c r="AG53" s="130"/>
      <c r="AH53" s="130"/>
      <c r="AI53" s="130"/>
    </row>
    <row r="54" spans="2:35" hidden="1" x14ac:dyDescent="0.4">
      <c r="E54" s="200"/>
      <c r="F54" s="200"/>
      <c r="G54" s="200"/>
      <c r="H54" s="200"/>
      <c r="I54" s="200"/>
      <c r="J54" s="200"/>
      <c r="K54" s="200"/>
      <c r="L54" s="200"/>
      <c r="M54" s="109"/>
      <c r="N54" s="109"/>
      <c r="O54" s="109"/>
      <c r="P54" s="109"/>
      <c r="Q54" s="109"/>
      <c r="R54" s="109"/>
      <c r="S54" s="109"/>
      <c r="T54" s="109"/>
      <c r="U54" s="200"/>
      <c r="V54" s="200"/>
      <c r="W54" s="200"/>
      <c r="X54" s="200"/>
      <c r="Y54" s="200"/>
      <c r="Z54" s="200"/>
      <c r="AA54" s="200"/>
      <c r="AG54" s="130"/>
      <c r="AH54" s="130"/>
      <c r="AI54" s="130"/>
    </row>
    <row r="55" spans="2:35" hidden="1" x14ac:dyDescent="0.4"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G55" s="130"/>
      <c r="AH55" s="130"/>
      <c r="AI55" s="130"/>
    </row>
    <row r="56" spans="2:35" hidden="1" x14ac:dyDescent="0.4"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>
        <f t="shared" ref="R56:AC56" si="7">+R123/R58</f>
        <v>0.51584050263057024</v>
      </c>
      <c r="S56" s="127">
        <f t="shared" si="7"/>
        <v>0.62527770562770568</v>
      </c>
      <c r="T56" s="127">
        <f t="shared" si="7"/>
        <v>0.59359890710382512</v>
      </c>
      <c r="U56" s="127">
        <f t="shared" si="7"/>
        <v>0.61977145256870891</v>
      </c>
      <c r="V56" s="127">
        <f t="shared" si="7"/>
        <v>0.62440237183295644</v>
      </c>
      <c r="W56" s="127">
        <f t="shared" si="7"/>
        <v>0.62900250869864449</v>
      </c>
      <c r="X56" s="127">
        <f t="shared" si="7"/>
        <v>0.63608274972776602</v>
      </c>
      <c r="Y56" s="127">
        <f t="shared" si="7"/>
        <v>0.64039840746533494</v>
      </c>
      <c r="Z56" s="127">
        <f t="shared" si="7"/>
        <v>0.64027604814157257</v>
      </c>
      <c r="AA56" s="127">
        <f t="shared" si="7"/>
        <v>0.64473816747818924</v>
      </c>
      <c r="AB56" s="127">
        <f t="shared" si="7"/>
        <v>0.649088859052249</v>
      </c>
      <c r="AC56" s="127">
        <f t="shared" si="7"/>
        <v>0.65331908592261934</v>
      </c>
      <c r="AD56" s="111"/>
      <c r="AE56" s="111"/>
      <c r="AF56" s="111"/>
      <c r="AG56" s="130"/>
      <c r="AH56" s="130"/>
      <c r="AI56" s="130"/>
    </row>
    <row r="57" spans="2:35" ht="23.1" hidden="1" customHeight="1" x14ac:dyDescent="0.4">
      <c r="B57" s="201"/>
      <c r="C57" s="202" t="s">
        <v>504</v>
      </c>
      <c r="D57" s="202"/>
      <c r="E57" s="203" t="s">
        <v>505</v>
      </c>
      <c r="F57" s="203" t="s">
        <v>506</v>
      </c>
      <c r="G57" s="203" t="s">
        <v>507</v>
      </c>
      <c r="H57" s="203" t="s">
        <v>508</v>
      </c>
      <c r="I57" s="203" t="s">
        <v>509</v>
      </c>
      <c r="J57" s="203" t="s">
        <v>510</v>
      </c>
      <c r="K57" s="203" t="s">
        <v>511</v>
      </c>
      <c r="L57" s="203" t="s">
        <v>512</v>
      </c>
      <c r="M57" s="203" t="s">
        <v>513</v>
      </c>
      <c r="N57" s="203" t="s">
        <v>514</v>
      </c>
      <c r="O57" s="203" t="s">
        <v>515</v>
      </c>
      <c r="P57" s="203" t="s">
        <v>516</v>
      </c>
      <c r="Q57" s="203" t="s">
        <v>516</v>
      </c>
      <c r="R57" s="204" t="s">
        <v>505</v>
      </c>
      <c r="S57" s="204" t="s">
        <v>506</v>
      </c>
      <c r="T57" s="204" t="s">
        <v>507</v>
      </c>
      <c r="U57" s="204" t="s">
        <v>517</v>
      </c>
      <c r="V57" s="204" t="s">
        <v>509</v>
      </c>
      <c r="W57" s="204" t="s">
        <v>510</v>
      </c>
      <c r="X57" s="204" t="s">
        <v>511</v>
      </c>
      <c r="Y57" s="204" t="s">
        <v>518</v>
      </c>
      <c r="Z57" s="204" t="s">
        <v>513</v>
      </c>
      <c r="AA57" s="204" t="s">
        <v>514</v>
      </c>
      <c r="AB57" s="204" t="s">
        <v>515</v>
      </c>
      <c r="AC57" s="204" t="s">
        <v>519</v>
      </c>
      <c r="AD57" s="204" t="s">
        <v>505</v>
      </c>
      <c r="AE57" s="204" t="s">
        <v>506</v>
      </c>
      <c r="AF57" s="122"/>
      <c r="AG57" s="130"/>
      <c r="AH57" s="130"/>
      <c r="AI57" s="130"/>
    </row>
    <row r="58" spans="2:35" hidden="1" x14ac:dyDescent="0.4">
      <c r="B58" s="112"/>
      <c r="C58" s="205" t="s">
        <v>520</v>
      </c>
      <c r="D58" s="206"/>
      <c r="E58" s="207">
        <f>SUM(E59:E120)</f>
        <v>33148.55000000001</v>
      </c>
      <c r="F58" s="207">
        <f t="shared" ref="F58:J58" si="8">SUM(F59:F120)</f>
        <v>30262.249999999993</v>
      </c>
      <c r="G58" s="207">
        <f t="shared" si="8"/>
        <v>29657.82</v>
      </c>
      <c r="H58" s="207">
        <f t="shared" si="8"/>
        <v>40105.769999999997</v>
      </c>
      <c r="I58" s="207">
        <f t="shared" si="8"/>
        <v>42065.07999999998</v>
      </c>
      <c r="J58" s="207">
        <f t="shared" si="8"/>
        <v>42668.109999999986</v>
      </c>
      <c r="K58" s="207">
        <v>50215.44</v>
      </c>
      <c r="L58" s="207">
        <f>+L17</f>
        <v>31494</v>
      </c>
      <c r="M58" s="207">
        <f>+M17</f>
        <v>33397</v>
      </c>
      <c r="N58" s="207">
        <f t="shared" ref="N58:AC58" si="9">+N17</f>
        <v>52804</v>
      </c>
      <c r="O58" s="207">
        <f t="shared" si="9"/>
        <v>67765.456999999995</v>
      </c>
      <c r="P58" s="207">
        <f t="shared" si="9"/>
        <v>48219</v>
      </c>
      <c r="Q58" s="207">
        <f t="shared" si="9"/>
        <v>501802.47700000001</v>
      </c>
      <c r="R58" s="207">
        <f t="shared" si="9"/>
        <v>68544.206896551725</v>
      </c>
      <c r="S58" s="207">
        <f t="shared" si="9"/>
        <v>92400</v>
      </c>
      <c r="T58" s="207">
        <f t="shared" si="9"/>
        <v>91500</v>
      </c>
      <c r="U58" s="207">
        <f t="shared" si="9"/>
        <v>107155</v>
      </c>
      <c r="V58" s="207">
        <f t="shared" si="9"/>
        <v>116222.35</v>
      </c>
      <c r="W58" s="207">
        <f t="shared" si="9"/>
        <v>126093.06450000004</v>
      </c>
      <c r="X58" s="207">
        <f t="shared" si="9"/>
        <v>135847.24401500003</v>
      </c>
      <c r="Y58" s="207">
        <f t="shared" si="9"/>
        <v>147572.98259605005</v>
      </c>
      <c r="Z58" s="207">
        <f t="shared" si="9"/>
        <v>162367.16602777358</v>
      </c>
      <c r="AA58" s="207">
        <f t="shared" si="9"/>
        <v>176336.34976471774</v>
      </c>
      <c r="AB58" s="207">
        <f t="shared" si="9"/>
        <v>191597.72457474802</v>
      </c>
      <c r="AC58" s="207">
        <f t="shared" si="9"/>
        <v>208280.1786541304</v>
      </c>
      <c r="AD58" s="208">
        <f>+AC58*1.05</f>
        <v>218694.18758683692</v>
      </c>
      <c r="AE58" s="208">
        <f>+AD58*1.05</f>
        <v>229628.89696617879</v>
      </c>
      <c r="AG58" s="130"/>
      <c r="AH58" s="130"/>
      <c r="AI58" s="130"/>
    </row>
    <row r="59" spans="2:35" hidden="1" x14ac:dyDescent="0.4">
      <c r="C59" s="126" t="s">
        <v>521</v>
      </c>
      <c r="D59" s="209">
        <v>0.17290499944976701</v>
      </c>
      <c r="E59" s="138">
        <v>4626.8100000000004</v>
      </c>
      <c r="F59" s="138">
        <v>4820.5600000000004</v>
      </c>
      <c r="G59" s="138">
        <v>4833.2400000000007</v>
      </c>
      <c r="H59" s="138">
        <v>5309.7599999999984</v>
      </c>
      <c r="I59" s="138">
        <v>9272.3799999999992</v>
      </c>
      <c r="J59" s="138">
        <v>8814.56</v>
      </c>
      <c r="K59" s="138">
        <v>8682.5006255698081</v>
      </c>
      <c r="L59" s="138">
        <f t="shared" ref="L59:AC73" si="10">+L$58*$D59</f>
        <v>5445.4700526709621</v>
      </c>
      <c r="M59" s="138">
        <f t="shared" si="10"/>
        <v>5774.5082666238686</v>
      </c>
      <c r="N59" s="138">
        <f t="shared" si="10"/>
        <v>9130.0755909454965</v>
      </c>
      <c r="O59" s="138">
        <f t="shared" si="10"/>
        <v>11716.986305298209</v>
      </c>
      <c r="P59" s="138">
        <f t="shared" si="10"/>
        <v>8337.3061684683144</v>
      </c>
      <c r="Q59" s="138">
        <f t="shared" si="10"/>
        <v>86764.157009576724</v>
      </c>
      <c r="R59" s="138">
        <f t="shared" si="10"/>
        <v>11851.636055732992</v>
      </c>
      <c r="S59" s="138">
        <f t="shared" si="10"/>
        <v>15976.421949158472</v>
      </c>
      <c r="T59" s="138">
        <f t="shared" si="10"/>
        <v>15820.807449653681</v>
      </c>
      <c r="U59" s="138">
        <f t="shared" si="10"/>
        <v>18527.635216039784</v>
      </c>
      <c r="V59" s="138">
        <f t="shared" si="10"/>
        <v>20095.42536280063</v>
      </c>
      <c r="W59" s="138">
        <f t="shared" si="10"/>
        <v>21802.121247991941</v>
      </c>
      <c r="X59" s="138">
        <f t="shared" si="10"/>
        <v>23488.667651665946</v>
      </c>
      <c r="Y59" s="138">
        <f t="shared" si="10"/>
        <v>25516.106474570508</v>
      </c>
      <c r="Z59" s="138">
        <f t="shared" si="10"/>
        <v>28074.094752692417</v>
      </c>
      <c r="AA59" s="138">
        <f t="shared" si="10"/>
        <v>30489.436459042445</v>
      </c>
      <c r="AB59" s="138">
        <f t="shared" si="10"/>
        <v>33128.204462173417</v>
      </c>
      <c r="AC59" s="138">
        <f t="shared" si="10"/>
        <v>36012.684175589791</v>
      </c>
      <c r="AG59" s="130"/>
      <c r="AH59" s="130"/>
      <c r="AI59" s="130"/>
    </row>
    <row r="60" spans="2:35" hidden="1" x14ac:dyDescent="0.4">
      <c r="C60" s="126" t="s">
        <v>522</v>
      </c>
      <c r="D60" s="209">
        <v>0.12539315979737833</v>
      </c>
      <c r="E60" s="138">
        <v>4424.58</v>
      </c>
      <c r="F60" s="138">
        <v>3950.61</v>
      </c>
      <c r="G60" s="138">
        <v>4751.7499999999991</v>
      </c>
      <c r="H60" s="138">
        <v>4658.13</v>
      </c>
      <c r="I60" s="138">
        <v>6717.8600000000006</v>
      </c>
      <c r="J60" s="138">
        <v>2821.1899999999991</v>
      </c>
      <c r="K60" s="138">
        <v>6296.672692215664</v>
      </c>
      <c r="L60" s="138">
        <f t="shared" si="10"/>
        <v>3949.1321746586332</v>
      </c>
      <c r="M60" s="138">
        <f t="shared" si="10"/>
        <v>4187.7553577530443</v>
      </c>
      <c r="N60" s="138">
        <f t="shared" si="10"/>
        <v>6621.2604099407654</v>
      </c>
      <c r="O60" s="138">
        <f t="shared" si="10"/>
        <v>8497.324778343369</v>
      </c>
      <c r="P60" s="138">
        <f t="shared" si="10"/>
        <v>6046.3327722697859</v>
      </c>
      <c r="Q60" s="138">
        <f t="shared" si="10"/>
        <v>62922.598185181268</v>
      </c>
      <c r="R60" s="138">
        <f t="shared" si="10"/>
        <v>8594.9746885638724</v>
      </c>
      <c r="S60" s="138">
        <f t="shared" si="10"/>
        <v>11586.327965277758</v>
      </c>
      <c r="T60" s="138">
        <f t="shared" si="10"/>
        <v>11473.474121460118</v>
      </c>
      <c r="U60" s="138">
        <f t="shared" si="10"/>
        <v>13436.504038088075</v>
      </c>
      <c r="V60" s="138">
        <f t="shared" si="10"/>
        <v>14573.487705576834</v>
      </c>
      <c r="W60" s="138">
        <f t="shared" si="10"/>
        <v>15811.207786189638</v>
      </c>
      <c r="X60" s="138">
        <f t="shared" si="10"/>
        <v>17034.315176806347</v>
      </c>
      <c r="Y60" s="138">
        <f t="shared" si="10"/>
        <v>18504.642588442235</v>
      </c>
      <c r="Z60" s="138">
        <f t="shared" si="10"/>
        <v>20359.731995568072</v>
      </c>
      <c r="AA60" s="138">
        <f t="shared" si="10"/>
        <v>22111.372084133651</v>
      </c>
      <c r="AB60" s="138">
        <f t="shared" si="10"/>
        <v>24025.044094415462</v>
      </c>
      <c r="AC60" s="138">
        <f t="shared" si="10"/>
        <v>26116.90972460388</v>
      </c>
      <c r="AG60" s="130"/>
      <c r="AH60" s="130"/>
      <c r="AI60" s="130"/>
    </row>
    <row r="61" spans="2:35" hidden="1" x14ac:dyDescent="0.4">
      <c r="C61" s="126" t="s">
        <v>523</v>
      </c>
      <c r="D61" s="209">
        <v>4.6332578242574217E-2</v>
      </c>
      <c r="E61" s="138">
        <v>1953.3600000000004</v>
      </c>
      <c r="F61" s="138">
        <v>1696.0199999999998</v>
      </c>
      <c r="G61" s="138">
        <v>661.33</v>
      </c>
      <c r="H61" s="138">
        <v>1428.3800000000003</v>
      </c>
      <c r="I61" s="138">
        <v>2410.65</v>
      </c>
      <c r="J61" s="138">
        <v>1946.4799999999998</v>
      </c>
      <c r="K61" s="138">
        <v>2326.6108027852911</v>
      </c>
      <c r="L61" s="138">
        <f t="shared" si="10"/>
        <v>1459.1982191716324</v>
      </c>
      <c r="M61" s="138">
        <f t="shared" si="10"/>
        <v>1547.3691155672511</v>
      </c>
      <c r="N61" s="138">
        <f t="shared" si="10"/>
        <v>2446.5454615208891</v>
      </c>
      <c r="O61" s="138">
        <f t="shared" si="10"/>
        <v>3139.7483385962983</v>
      </c>
      <c r="P61" s="138">
        <f t="shared" si="10"/>
        <v>2234.1105902786862</v>
      </c>
      <c r="Q61" s="138">
        <f t="shared" si="10"/>
        <v>23249.802527920048</v>
      </c>
      <c r="R61" s="138">
        <f t="shared" si="10"/>
        <v>3175.829829109678</v>
      </c>
      <c r="S61" s="138">
        <f t="shared" si="10"/>
        <v>4281.1302296138574</v>
      </c>
      <c r="T61" s="138">
        <f t="shared" si="10"/>
        <v>4239.4309091955411</v>
      </c>
      <c r="U61" s="138">
        <f t="shared" si="10"/>
        <v>4964.7674215830402</v>
      </c>
      <c r="V61" s="138">
        <f t="shared" si="10"/>
        <v>5384.8811249108458</v>
      </c>
      <c r="W61" s="138">
        <f t="shared" si="10"/>
        <v>5842.2167767922092</v>
      </c>
      <c r="X61" s="138">
        <f t="shared" si="10"/>
        <v>6294.1530623630606</v>
      </c>
      <c r="Y61" s="138">
        <f t="shared" si="10"/>
        <v>6837.4367626215317</v>
      </c>
      <c r="Z61" s="138">
        <f t="shared" si="10"/>
        <v>7522.8894240068576</v>
      </c>
      <c r="AA61" s="138">
        <f t="shared" si="10"/>
        <v>8170.1177224837184</v>
      </c>
      <c r="AB61" s="138">
        <f t="shared" si="10"/>
        <v>8877.2165649586968</v>
      </c>
      <c r="AC61" s="138">
        <f t="shared" si="10"/>
        <v>9650.1576738698332</v>
      </c>
      <c r="AG61" s="130"/>
      <c r="AH61" s="130"/>
      <c r="AI61" s="130"/>
    </row>
    <row r="62" spans="2:35" hidden="1" x14ac:dyDescent="0.4">
      <c r="C62" s="126" t="s">
        <v>524</v>
      </c>
      <c r="D62" s="209">
        <v>4.1019362428787481E-2</v>
      </c>
      <c r="E62" s="138">
        <v>1160.53</v>
      </c>
      <c r="F62" s="138">
        <v>1343.6000000000001</v>
      </c>
      <c r="G62" s="138">
        <v>1411.0100000000002</v>
      </c>
      <c r="H62" s="138">
        <v>1864.6499999999996</v>
      </c>
      <c r="I62" s="138">
        <v>2471.4500000000003</v>
      </c>
      <c r="J62" s="138">
        <v>687.19000000000017</v>
      </c>
      <c r="K62" s="138">
        <v>2059.805332881032</v>
      </c>
      <c r="L62" s="138">
        <f t="shared" si="10"/>
        <v>1291.863800332233</v>
      </c>
      <c r="M62" s="138">
        <f t="shared" si="10"/>
        <v>1369.9236470342155</v>
      </c>
      <c r="N62" s="138">
        <f t="shared" si="10"/>
        <v>2165.986413689694</v>
      </c>
      <c r="O62" s="138">
        <f t="shared" si="10"/>
        <v>2779.6958408354135</v>
      </c>
      <c r="P62" s="138">
        <f t="shared" si="10"/>
        <v>1977.9126369537037</v>
      </c>
      <c r="Q62" s="138">
        <f t="shared" si="10"/>
        <v>20583.617671726293</v>
      </c>
      <c r="R62" s="138">
        <f t="shared" si="10"/>
        <v>2811.6396650834495</v>
      </c>
      <c r="S62" s="138">
        <f t="shared" si="10"/>
        <v>3790.1890884199634</v>
      </c>
      <c r="T62" s="138">
        <f t="shared" si="10"/>
        <v>3753.2716622340545</v>
      </c>
      <c r="U62" s="138">
        <f t="shared" si="10"/>
        <v>4395.4297810567223</v>
      </c>
      <c r="V62" s="138">
        <f t="shared" si="10"/>
        <v>4767.3666969753885</v>
      </c>
      <c r="W62" s="138">
        <f t="shared" si="10"/>
        <v>5172.2571124819779</v>
      </c>
      <c r="X62" s="138">
        <f t="shared" si="10"/>
        <v>5572.3673372032172</v>
      </c>
      <c r="Y62" s="138">
        <f t="shared" si="10"/>
        <v>6053.3496578045242</v>
      </c>
      <c r="Z62" s="138">
        <f t="shared" si="10"/>
        <v>6660.1976298283544</v>
      </c>
      <c r="AA62" s="138">
        <f t="shared" si="10"/>
        <v>7233.2046403683917</v>
      </c>
      <c r="AB62" s="138">
        <f t="shared" si="10"/>
        <v>7859.2165048625911</v>
      </c>
      <c r="AC62" s="138">
        <f t="shared" si="10"/>
        <v>8543.5201349463805</v>
      </c>
      <c r="AG62" s="130"/>
      <c r="AH62" s="130"/>
      <c r="AI62" s="130"/>
    </row>
    <row r="63" spans="2:35" hidden="1" x14ac:dyDescent="0.4">
      <c r="C63" s="126" t="s">
        <v>525</v>
      </c>
      <c r="D63" s="209">
        <v>3.6610245499491122E-2</v>
      </c>
      <c r="E63" s="138">
        <v>1250.07</v>
      </c>
      <c r="F63" s="138">
        <v>1537.6399999999999</v>
      </c>
      <c r="G63" s="138">
        <v>1226.51</v>
      </c>
      <c r="H63" s="138">
        <v>1035.3300000000002</v>
      </c>
      <c r="I63" s="138">
        <v>1637.4699999999998</v>
      </c>
      <c r="J63" s="138">
        <v>1290.6300000000001</v>
      </c>
      <c r="K63" s="138">
        <v>1838.3995862649665</v>
      </c>
      <c r="L63" s="138">
        <f t="shared" si="10"/>
        <v>1153.0030717609734</v>
      </c>
      <c r="M63" s="138">
        <f t="shared" si="10"/>
        <v>1222.672368946505</v>
      </c>
      <c r="N63" s="138">
        <f t="shared" si="10"/>
        <v>1933.1674033551292</v>
      </c>
      <c r="O63" s="138">
        <f t="shared" si="10"/>
        <v>2480.9100171552091</v>
      </c>
      <c r="P63" s="138">
        <f t="shared" si="10"/>
        <v>1765.3094277399623</v>
      </c>
      <c r="Q63" s="138">
        <f t="shared" si="10"/>
        <v>18371.111875222748</v>
      </c>
      <c r="R63" s="138">
        <f t="shared" si="10"/>
        <v>2509.4202420506713</v>
      </c>
      <c r="S63" s="138">
        <f t="shared" si="10"/>
        <v>3382.7866841529794</v>
      </c>
      <c r="T63" s="138">
        <f t="shared" si="10"/>
        <v>3349.8374632034374</v>
      </c>
      <c r="U63" s="138">
        <f t="shared" si="10"/>
        <v>3922.970856497971</v>
      </c>
      <c r="V63" s="138">
        <f t="shared" si="10"/>
        <v>4254.9287660277823</v>
      </c>
      <c r="W63" s="138">
        <f t="shared" si="10"/>
        <v>4616.2980471281699</v>
      </c>
      <c r="X63" s="138">
        <f t="shared" si="10"/>
        <v>4973.4009538184273</v>
      </c>
      <c r="Y63" s="138">
        <f t="shared" si="10"/>
        <v>5402.6831219335227</v>
      </c>
      <c r="Z63" s="138">
        <f t="shared" si="10"/>
        <v>5944.3018093334258</v>
      </c>
      <c r="AA63" s="138">
        <f t="shared" si="10"/>
        <v>6455.71705537045</v>
      </c>
      <c r="AB63" s="138">
        <f t="shared" si="10"/>
        <v>7014.4397338254084</v>
      </c>
      <c r="AC63" s="138">
        <f t="shared" si="10"/>
        <v>7625.1884732055842</v>
      </c>
      <c r="AG63" s="130"/>
      <c r="AH63" s="130"/>
      <c r="AI63" s="130"/>
    </row>
    <row r="64" spans="2:35" hidden="1" x14ac:dyDescent="0.4">
      <c r="C64" s="126" t="s">
        <v>526</v>
      </c>
      <c r="D64" s="209">
        <v>3.5345902148057454E-2</v>
      </c>
      <c r="E64" s="138">
        <v>982.54</v>
      </c>
      <c r="F64" s="138">
        <v>1461.84</v>
      </c>
      <c r="G64" s="138">
        <v>1352.04</v>
      </c>
      <c r="H64" s="138">
        <v>2092.62</v>
      </c>
      <c r="I64" s="138">
        <v>1635.98</v>
      </c>
      <c r="J64" s="138">
        <v>177.12</v>
      </c>
      <c r="K64" s="138">
        <v>1774.9100285616503</v>
      </c>
      <c r="L64" s="138">
        <f t="shared" si="10"/>
        <v>1113.1838422509215</v>
      </c>
      <c r="M64" s="138">
        <f t="shared" si="10"/>
        <v>1180.4470940386748</v>
      </c>
      <c r="N64" s="138">
        <f t="shared" si="10"/>
        <v>1866.4050170260257</v>
      </c>
      <c r="O64" s="138">
        <f t="shared" si="10"/>
        <v>2395.2312121403947</v>
      </c>
      <c r="P64" s="138">
        <f t="shared" si="10"/>
        <v>1704.3440556771823</v>
      </c>
      <c r="Q64" s="138">
        <f t="shared" si="10"/>
        <v>17736.661249694851</v>
      </c>
      <c r="R64" s="138">
        <f t="shared" si="10"/>
        <v>2422.756829781722</v>
      </c>
      <c r="S64" s="138">
        <f t="shared" si="10"/>
        <v>3265.9613584805088</v>
      </c>
      <c r="T64" s="138">
        <f t="shared" si="10"/>
        <v>3234.1500465472568</v>
      </c>
      <c r="U64" s="138">
        <f t="shared" si="10"/>
        <v>3787.4901446750964</v>
      </c>
      <c r="V64" s="138">
        <f t="shared" si="10"/>
        <v>4107.9838105172857</v>
      </c>
      <c r="W64" s="138">
        <f t="shared" si="10"/>
        <v>4456.8731193656986</v>
      </c>
      <c r="X64" s="138">
        <f t="shared" si="10"/>
        <v>4801.6433940374745</v>
      </c>
      <c r="Y64" s="138">
        <f t="shared" si="10"/>
        <v>5216.1002025369708</v>
      </c>
      <c r="Z64" s="138">
        <f t="shared" si="10"/>
        <v>5739.0139624750836</v>
      </c>
      <c r="AA64" s="138">
        <f t="shared" si="10"/>
        <v>6232.7673639293471</v>
      </c>
      <c r="AB64" s="138">
        <f t="shared" si="10"/>
        <v>6772.1944246095063</v>
      </c>
      <c r="AC64" s="138">
        <f t="shared" si="10"/>
        <v>7361.850814088818</v>
      </c>
      <c r="AG64" s="130"/>
      <c r="AH64" s="130"/>
      <c r="AI64" s="130"/>
    </row>
    <row r="65" spans="3:35" hidden="1" x14ac:dyDescent="0.4">
      <c r="C65" s="126" t="s">
        <v>527</v>
      </c>
      <c r="D65" s="209">
        <v>2.8283550301462672E-2</v>
      </c>
      <c r="E65" s="138"/>
      <c r="F65" s="138"/>
      <c r="G65" s="138"/>
      <c r="H65" s="138"/>
      <c r="I65" s="138"/>
      <c r="J65" s="138">
        <v>6163.2</v>
      </c>
      <c r="K65" s="138">
        <v>1420.2709231500808</v>
      </c>
      <c r="L65" s="138">
        <f t="shared" si="10"/>
        <v>890.7621331942654</v>
      </c>
      <c r="M65" s="138">
        <f t="shared" si="10"/>
        <v>944.58572941794887</v>
      </c>
      <c r="N65" s="138">
        <f t="shared" si="10"/>
        <v>1493.4845901184349</v>
      </c>
      <c r="O65" s="138">
        <f t="shared" si="10"/>
        <v>1916.6477117611055</v>
      </c>
      <c r="P65" s="138">
        <f t="shared" si="10"/>
        <v>1363.8045119862286</v>
      </c>
      <c r="Q65" s="138">
        <f t="shared" si="10"/>
        <v>14192.755599628066</v>
      </c>
      <c r="R65" s="138">
        <f t="shared" si="10"/>
        <v>1938.6735236324853</v>
      </c>
      <c r="S65" s="138">
        <f t="shared" si="10"/>
        <v>2613.4000478551507</v>
      </c>
      <c r="T65" s="138">
        <f t="shared" si="10"/>
        <v>2587.9448525838343</v>
      </c>
      <c r="U65" s="138">
        <f t="shared" si="10"/>
        <v>3030.7238325532326</v>
      </c>
      <c r="V65" s="138">
        <f t="shared" si="10"/>
        <v>3287.1806823792003</v>
      </c>
      <c r="W65" s="138">
        <f t="shared" si="10"/>
        <v>3566.3595324513281</v>
      </c>
      <c r="X65" s="138">
        <f t="shared" si="10"/>
        <v>3842.2423594133274</v>
      </c>
      <c r="Y65" s="138">
        <f t="shared" si="10"/>
        <v>4173.8878763922567</v>
      </c>
      <c r="Z65" s="138">
        <f t="shared" si="10"/>
        <v>4592.3199076524752</v>
      </c>
      <c r="AA65" s="138">
        <f t="shared" si="10"/>
        <v>4987.4180185467094</v>
      </c>
      <c r="AB65" s="138">
        <f t="shared" si="10"/>
        <v>5419.0638806556763</v>
      </c>
      <c r="AC65" s="138">
        <f t="shared" si="10"/>
        <v>5890.9029097617295</v>
      </c>
      <c r="AG65" s="130"/>
      <c r="AH65" s="130"/>
      <c r="AI65" s="130"/>
    </row>
    <row r="66" spans="3:35" hidden="1" x14ac:dyDescent="0.4">
      <c r="C66" s="126" t="s">
        <v>528</v>
      </c>
      <c r="D66" s="209">
        <v>2.413945398319783E-2</v>
      </c>
      <c r="E66" s="138">
        <v>244.2</v>
      </c>
      <c r="F66" s="138">
        <v>1009.3499999999999</v>
      </c>
      <c r="G66" s="138">
        <v>843.59999999999991</v>
      </c>
      <c r="H66" s="138">
        <v>1285.83</v>
      </c>
      <c r="I66" s="138">
        <v>1187.31</v>
      </c>
      <c r="J66" s="138">
        <v>689.87999999999988</v>
      </c>
      <c r="K66" s="138">
        <v>1212.1733031260317</v>
      </c>
      <c r="L66" s="138">
        <f t="shared" si="10"/>
        <v>760.24796374683251</v>
      </c>
      <c r="M66" s="138">
        <f t="shared" si="10"/>
        <v>806.18534467685799</v>
      </c>
      <c r="N66" s="138">
        <f t="shared" si="10"/>
        <v>1274.6597281287782</v>
      </c>
      <c r="O66" s="138">
        <f t="shared" si="10"/>
        <v>1635.8211309018711</v>
      </c>
      <c r="P66" s="138">
        <f t="shared" si="10"/>
        <v>1163.9803316158161</v>
      </c>
      <c r="Q66" s="138">
        <f t="shared" si="10"/>
        <v>12113.237802196189</v>
      </c>
      <c r="R66" s="138">
        <f t="shared" si="10"/>
        <v>1654.6197281941018</v>
      </c>
      <c r="S66" s="138">
        <f t="shared" si="10"/>
        <v>2230.4855480474794</v>
      </c>
      <c r="T66" s="138">
        <f t="shared" si="10"/>
        <v>2208.7600394626015</v>
      </c>
      <c r="U66" s="138">
        <f t="shared" si="10"/>
        <v>2586.6631915695634</v>
      </c>
      <c r="V66" s="138">
        <f t="shared" si="10"/>
        <v>2805.5440696441124</v>
      </c>
      <c r="W66" s="138">
        <f t="shared" si="10"/>
        <v>3043.8177280981467</v>
      </c>
      <c r="X66" s="138">
        <f t="shared" si="10"/>
        <v>3279.2782956443402</v>
      </c>
      <c r="Y66" s="138">
        <f t="shared" si="10"/>
        <v>3562.3312225406044</v>
      </c>
      <c r="Z66" s="138">
        <f t="shared" si="10"/>
        <v>3919.4547327096825</v>
      </c>
      <c r="AA66" s="138">
        <f t="shared" si="10"/>
        <v>4256.6632007104818</v>
      </c>
      <c r="AB66" s="138">
        <f t="shared" si="10"/>
        <v>4625.0644556575417</v>
      </c>
      <c r="AC66" s="138">
        <f t="shared" si="10"/>
        <v>5027.7697882336042</v>
      </c>
      <c r="AG66" s="130"/>
      <c r="AH66" s="130"/>
      <c r="AI66" s="130"/>
    </row>
    <row r="67" spans="3:35" hidden="1" x14ac:dyDescent="0.4">
      <c r="C67" s="126" t="s">
        <v>529</v>
      </c>
      <c r="D67" s="209">
        <v>2.4089983469138619E-2</v>
      </c>
      <c r="E67" s="138">
        <v>514.20000000000005</v>
      </c>
      <c r="F67" s="138">
        <v>726.62</v>
      </c>
      <c r="G67" s="138">
        <v>514.20000000000005</v>
      </c>
      <c r="H67" s="138">
        <v>503.56000000000012</v>
      </c>
      <c r="I67" s="138">
        <v>1345.4</v>
      </c>
      <c r="J67" s="138">
        <v>1645.41</v>
      </c>
      <c r="K67" s="138">
        <v>1209.6891194955222</v>
      </c>
      <c r="L67" s="138">
        <f t="shared" si="10"/>
        <v>758.6899393770517</v>
      </c>
      <c r="M67" s="138">
        <f t="shared" si="10"/>
        <v>804.5331779188225</v>
      </c>
      <c r="N67" s="138">
        <f t="shared" si="10"/>
        <v>1272.0474871043957</v>
      </c>
      <c r="O67" s="138">
        <f t="shared" si="10"/>
        <v>1632.4687389086239</v>
      </c>
      <c r="P67" s="138">
        <f t="shared" si="10"/>
        <v>1161.594912898395</v>
      </c>
      <c r="Q67" s="138">
        <f t="shared" si="10"/>
        <v>12088.413375702812</v>
      </c>
      <c r="R67" s="138">
        <f t="shared" si="10"/>
        <v>1651.2288110431484</v>
      </c>
      <c r="S67" s="138">
        <f t="shared" si="10"/>
        <v>2225.9144725484084</v>
      </c>
      <c r="T67" s="138">
        <f t="shared" si="10"/>
        <v>2204.2334874261837</v>
      </c>
      <c r="U67" s="138">
        <f t="shared" si="10"/>
        <v>2581.3621786355488</v>
      </c>
      <c r="V67" s="138">
        <f t="shared" si="10"/>
        <v>2799.7944902444428</v>
      </c>
      <c r="W67" s="138">
        <f t="shared" si="10"/>
        <v>3037.5798393780306</v>
      </c>
      <c r="X67" s="138">
        <f t="shared" si="10"/>
        <v>3272.5578626493912</v>
      </c>
      <c r="Y67" s="138">
        <f t="shared" si="10"/>
        <v>3555.0307112303267</v>
      </c>
      <c r="Z67" s="138">
        <f t="shared" si="10"/>
        <v>3911.422345539951</v>
      </c>
      <c r="AA67" s="138">
        <f t="shared" si="10"/>
        <v>4247.9397508402963</v>
      </c>
      <c r="AB67" s="138">
        <f t="shared" si="10"/>
        <v>4615.5860177302538</v>
      </c>
      <c r="AC67" s="138">
        <f t="shared" si="10"/>
        <v>5017.4660607272399</v>
      </c>
      <c r="AG67" s="130"/>
      <c r="AH67" s="130"/>
      <c r="AI67" s="130"/>
    </row>
    <row r="68" spans="3:35" hidden="1" x14ac:dyDescent="0.4">
      <c r="C68" s="126" t="s">
        <v>530</v>
      </c>
      <c r="D68" s="209">
        <v>2.3793756967976979E-2</v>
      </c>
      <c r="E68" s="138">
        <v>685.6</v>
      </c>
      <c r="F68" s="138">
        <v>505.63000000000005</v>
      </c>
      <c r="G68" s="138">
        <v>94.27000000000001</v>
      </c>
      <c r="H68" s="138">
        <v>1092.7399999999998</v>
      </c>
      <c r="I68" s="138">
        <v>1572.52</v>
      </c>
      <c r="J68" s="138">
        <v>1234.0800000000002</v>
      </c>
      <c r="K68" s="138">
        <v>1194.8139754000299</v>
      </c>
      <c r="L68" s="138">
        <f t="shared" si="10"/>
        <v>749.36058194946702</v>
      </c>
      <c r="M68" s="138">
        <f t="shared" si="10"/>
        <v>794.64010145952716</v>
      </c>
      <c r="N68" s="138">
        <f t="shared" si="10"/>
        <v>1256.4055429370565</v>
      </c>
      <c r="O68" s="138">
        <f t="shared" si="10"/>
        <v>1612.3948146818943</v>
      </c>
      <c r="P68" s="138">
        <f t="shared" si="10"/>
        <v>1147.311167238882</v>
      </c>
      <c r="Q68" s="138">
        <f t="shared" si="10"/>
        <v>11939.766183666858</v>
      </c>
      <c r="R68" s="138">
        <f t="shared" si="10"/>
        <v>1630.9242004592834</v>
      </c>
      <c r="S68" s="138">
        <f t="shared" si="10"/>
        <v>2198.5431438410728</v>
      </c>
      <c r="T68" s="138">
        <f t="shared" si="10"/>
        <v>2177.1287625698938</v>
      </c>
      <c r="U68" s="138">
        <f t="shared" si="10"/>
        <v>2549.6200279035734</v>
      </c>
      <c r="V68" s="138">
        <f t="shared" si="10"/>
        <v>2765.3663501471592</v>
      </c>
      <c r="W68" s="138">
        <f t="shared" si="10"/>
        <v>3000.2277320604467</v>
      </c>
      <c r="X68" s="138">
        <f t="shared" si="10"/>
        <v>3232.316308862376</v>
      </c>
      <c r="Y68" s="138">
        <f t="shared" si="10"/>
        <v>3511.3156829299114</v>
      </c>
      <c r="Z68" s="138">
        <f t="shared" si="10"/>
        <v>3863.3248880440128</v>
      </c>
      <c r="AA68" s="138">
        <f t="shared" si="10"/>
        <v>4195.7042509218782</v>
      </c>
      <c r="AB68" s="138">
        <f t="shared" si="10"/>
        <v>4558.8296941489443</v>
      </c>
      <c r="AC68" s="138">
        <f t="shared" si="10"/>
        <v>4955.7679521432055</v>
      </c>
      <c r="AG68" s="130"/>
      <c r="AH68" s="130"/>
      <c r="AI68" s="130"/>
    </row>
    <row r="69" spans="3:35" hidden="1" x14ac:dyDescent="0.4">
      <c r="C69" s="126" t="s">
        <v>531</v>
      </c>
      <c r="D69" s="209">
        <v>2.3630063717838549E-2</v>
      </c>
      <c r="E69" s="138">
        <v>246.88</v>
      </c>
      <c r="F69" s="138">
        <v>675.54</v>
      </c>
      <c r="G69" s="138">
        <v>1379.66</v>
      </c>
      <c r="H69" s="138">
        <v>1007.9999999999999</v>
      </c>
      <c r="I69" s="138">
        <v>1368.2399999999998</v>
      </c>
      <c r="J69" s="138">
        <v>470.84999999999997</v>
      </c>
      <c r="K69" s="138">
        <v>1186.5940468192987</v>
      </c>
      <c r="L69" s="138">
        <f t="shared" si="10"/>
        <v>744.20522672960726</v>
      </c>
      <c r="M69" s="138">
        <f t="shared" si="10"/>
        <v>789.17323798465407</v>
      </c>
      <c r="N69" s="138">
        <f t="shared" si="10"/>
        <v>1247.7618845567467</v>
      </c>
      <c r="O69" s="138">
        <f t="shared" si="10"/>
        <v>1601.3020667784481</v>
      </c>
      <c r="P69" s="138">
        <f t="shared" si="10"/>
        <v>1139.418042410457</v>
      </c>
      <c r="Q69" s="138">
        <f t="shared" si="10"/>
        <v>11857.624505279213</v>
      </c>
      <c r="R69" s="138">
        <f t="shared" si="10"/>
        <v>1619.7039764542258</v>
      </c>
      <c r="S69" s="138">
        <f t="shared" si="10"/>
        <v>2183.4178875282819</v>
      </c>
      <c r="T69" s="138">
        <f t="shared" si="10"/>
        <v>2162.1508301822273</v>
      </c>
      <c r="U69" s="138">
        <f t="shared" si="10"/>
        <v>2532.0794776849898</v>
      </c>
      <c r="V69" s="138">
        <f t="shared" si="10"/>
        <v>2746.3415359369333</v>
      </c>
      <c r="W69" s="138">
        <f t="shared" si="10"/>
        <v>2979.5871485125267</v>
      </c>
      <c r="X69" s="138">
        <f t="shared" si="10"/>
        <v>3210.0790319672124</v>
      </c>
      <c r="Y69" s="138">
        <f t="shared" si="10"/>
        <v>3487.1589817761419</v>
      </c>
      <c r="Z69" s="138">
        <f t="shared" si="10"/>
        <v>3836.7464789211604</v>
      </c>
      <c r="AA69" s="138">
        <f t="shared" si="10"/>
        <v>4166.8391807113449</v>
      </c>
      <c r="AB69" s="138">
        <f t="shared" si="10"/>
        <v>4527.4664398941768</v>
      </c>
      <c r="AC69" s="138">
        <f t="shared" si="10"/>
        <v>4921.6738927598981</v>
      </c>
      <c r="AG69" s="130"/>
      <c r="AH69" s="130"/>
      <c r="AI69" s="130"/>
    </row>
    <row r="70" spans="3:35" hidden="1" x14ac:dyDescent="0.4">
      <c r="C70" s="126" t="s">
        <v>532</v>
      </c>
      <c r="D70" s="209">
        <v>1.9623915790354794E-2</v>
      </c>
      <c r="E70" s="138">
        <v>985.90000000000009</v>
      </c>
      <c r="F70" s="138">
        <v>1389.66</v>
      </c>
      <c r="G70" s="138">
        <v>733.3599999999999</v>
      </c>
      <c r="H70" s="138">
        <v>810.05</v>
      </c>
      <c r="I70" s="138">
        <v>357.22999999999996</v>
      </c>
      <c r="J70" s="138"/>
      <c r="K70" s="138">
        <v>985.42356593561374</v>
      </c>
      <c r="L70" s="138">
        <f t="shared" si="10"/>
        <v>618.03560390143389</v>
      </c>
      <c r="M70" s="138">
        <f t="shared" si="10"/>
        <v>655.37991565047901</v>
      </c>
      <c r="N70" s="138">
        <f t="shared" si="10"/>
        <v>1036.2212493938946</v>
      </c>
      <c r="O70" s="138">
        <f t="shared" si="10"/>
        <v>1329.8236216629086</v>
      </c>
      <c r="P70" s="138">
        <f t="shared" si="10"/>
        <v>946.24559549511787</v>
      </c>
      <c r="Q70" s="138">
        <f t="shared" si="10"/>
        <v>9847.3295520394495</v>
      </c>
      <c r="R70" s="138">
        <f t="shared" si="10"/>
        <v>1345.1057440545874</v>
      </c>
      <c r="S70" s="138">
        <f t="shared" si="10"/>
        <v>1813.2498190287829</v>
      </c>
      <c r="T70" s="138">
        <f t="shared" si="10"/>
        <v>1795.5882948174637</v>
      </c>
      <c r="U70" s="138">
        <f t="shared" si="10"/>
        <v>2102.8006965154682</v>
      </c>
      <c r="V70" s="138">
        <f t="shared" si="10"/>
        <v>2280.7376093571415</v>
      </c>
      <c r="W70" s="138">
        <f t="shared" si="10"/>
        <v>2474.4396794957761</v>
      </c>
      <c r="X70" s="138">
        <f t="shared" si="10"/>
        <v>2665.8548769021399</v>
      </c>
      <c r="Y70" s="138">
        <f t="shared" si="10"/>
        <v>2895.9597833963799</v>
      </c>
      <c r="Z70" s="138">
        <f t="shared" si="10"/>
        <v>3186.2795932475847</v>
      </c>
      <c r="AA70" s="138">
        <f t="shared" si="10"/>
        <v>3460.4096785613706</v>
      </c>
      <c r="AB70" s="138">
        <f t="shared" si="10"/>
        <v>3759.8976126784464</v>
      </c>
      <c r="AC70" s="138">
        <f t="shared" si="10"/>
        <v>4087.2726867087072</v>
      </c>
      <c r="AG70" s="130"/>
      <c r="AH70" s="130"/>
      <c r="AI70" s="130"/>
    </row>
    <row r="71" spans="3:35" hidden="1" x14ac:dyDescent="0.4">
      <c r="C71" s="126" t="s">
        <v>533</v>
      </c>
      <c r="D71" s="209">
        <v>1.9034032684865761E-2</v>
      </c>
      <c r="E71" s="138">
        <v>568.48</v>
      </c>
      <c r="F71" s="138">
        <v>553.52</v>
      </c>
      <c r="G71" s="138">
        <v>744.26</v>
      </c>
      <c r="H71" s="138">
        <v>388.96</v>
      </c>
      <c r="I71" s="138">
        <v>826.54</v>
      </c>
      <c r="J71" s="138">
        <v>1065.9000000000001</v>
      </c>
      <c r="K71" s="138">
        <v>955.80232624491555</v>
      </c>
      <c r="L71" s="138">
        <f t="shared" si="10"/>
        <v>599.45782537716229</v>
      </c>
      <c r="M71" s="138">
        <f t="shared" si="10"/>
        <v>635.67958957646181</v>
      </c>
      <c r="N71" s="138">
        <f t="shared" si="10"/>
        <v>1005.0730618916516</v>
      </c>
      <c r="O71" s="138">
        <f t="shared" si="10"/>
        <v>1289.8499234428652</v>
      </c>
      <c r="P71" s="138">
        <f t="shared" si="10"/>
        <v>917.80202203154215</v>
      </c>
      <c r="Q71" s="138">
        <f t="shared" si="10"/>
        <v>9551.3247485645988</v>
      </c>
      <c r="R71" s="138">
        <f t="shared" si="10"/>
        <v>1304.6726744271666</v>
      </c>
      <c r="S71" s="138">
        <f t="shared" si="10"/>
        <v>1758.7446200815964</v>
      </c>
      <c r="T71" s="138">
        <f t="shared" si="10"/>
        <v>1741.613990665217</v>
      </c>
      <c r="U71" s="138">
        <f t="shared" si="10"/>
        <v>2039.5917723467905</v>
      </c>
      <c r="V71" s="138">
        <f t="shared" si="10"/>
        <v>2212.1800086119083</v>
      </c>
      <c r="W71" s="138">
        <f t="shared" si="10"/>
        <v>2400.0595110278873</v>
      </c>
      <c r="X71" s="138">
        <f t="shared" si="10"/>
        <v>2585.7208827304453</v>
      </c>
      <c r="Y71" s="138">
        <f t="shared" si="10"/>
        <v>2808.9089741363427</v>
      </c>
      <c r="Z71" s="138">
        <f t="shared" si="10"/>
        <v>3090.5019451216681</v>
      </c>
      <c r="AA71" s="138">
        <f t="shared" si="10"/>
        <v>3356.3918449515581</v>
      </c>
      <c r="AB71" s="138">
        <f t="shared" si="10"/>
        <v>3646.8773519016618</v>
      </c>
      <c r="AC71" s="138">
        <f t="shared" si="10"/>
        <v>3964.4117281123981</v>
      </c>
      <c r="AG71" s="130"/>
      <c r="AH71" s="130"/>
      <c r="AI71" s="130"/>
    </row>
    <row r="72" spans="3:35" hidden="1" x14ac:dyDescent="0.4">
      <c r="C72" s="126" t="s">
        <v>534</v>
      </c>
      <c r="D72" s="209">
        <v>1.9018154393711323E-2</v>
      </c>
      <c r="E72" s="138">
        <v>965.6</v>
      </c>
      <c r="F72" s="138">
        <v>1055.93</v>
      </c>
      <c r="G72" s="138">
        <v>965.49</v>
      </c>
      <c r="H72" s="138">
        <v>900.83000000000015</v>
      </c>
      <c r="I72" s="138">
        <v>256.35000000000002</v>
      </c>
      <c r="J72" s="138"/>
      <c r="K72" s="138">
        <v>955.00499086814739</v>
      </c>
      <c r="L72" s="138">
        <f t="shared" si="10"/>
        <v>598.95775447554445</v>
      </c>
      <c r="M72" s="138">
        <f t="shared" si="10"/>
        <v>635.14930228677702</v>
      </c>
      <c r="N72" s="138">
        <f t="shared" si="10"/>
        <v>1004.2346246055326</v>
      </c>
      <c r="O72" s="138">
        <f t="shared" si="10"/>
        <v>1288.7739237864057</v>
      </c>
      <c r="P72" s="138">
        <f t="shared" si="10"/>
        <v>917.03638671036629</v>
      </c>
      <c r="Q72" s="138">
        <f t="shared" si="10"/>
        <v>9543.3569827327756</v>
      </c>
      <c r="R72" s="138">
        <f t="shared" si="10"/>
        <v>1303.5843095531131</v>
      </c>
      <c r="S72" s="138">
        <f t="shared" si="10"/>
        <v>1757.2774659789263</v>
      </c>
      <c r="T72" s="138">
        <f t="shared" si="10"/>
        <v>1740.161127024586</v>
      </c>
      <c r="U72" s="138">
        <f t="shared" si="10"/>
        <v>2037.8903340581369</v>
      </c>
      <c r="V72" s="138">
        <f t="shared" si="10"/>
        <v>2210.3345962999551</v>
      </c>
      <c r="W72" s="138">
        <f t="shared" si="10"/>
        <v>2398.0573686372009</v>
      </c>
      <c r="X72" s="138">
        <f t="shared" si="10"/>
        <v>2583.5638606374473</v>
      </c>
      <c r="Y72" s="138">
        <f t="shared" si="10"/>
        <v>2806.5657673521537</v>
      </c>
      <c r="Z72" s="138">
        <f t="shared" si="10"/>
        <v>3087.9238319855581</v>
      </c>
      <c r="AA72" s="138">
        <f t="shared" si="10"/>
        <v>3353.5919250488832</v>
      </c>
      <c r="AB72" s="138">
        <f t="shared" si="10"/>
        <v>3643.8351074463358</v>
      </c>
      <c r="AC72" s="138">
        <f t="shared" si="10"/>
        <v>3961.1045947940293</v>
      </c>
      <c r="AG72" s="130"/>
      <c r="AH72" s="130"/>
      <c r="AI72" s="130"/>
    </row>
    <row r="73" spans="3:35" hidden="1" x14ac:dyDescent="0.4">
      <c r="C73" s="126" t="s">
        <v>535</v>
      </c>
      <c r="D73" s="209">
        <v>1.7128454182273059E-2</v>
      </c>
      <c r="E73" s="138">
        <v>1017.28</v>
      </c>
      <c r="F73" s="138">
        <v>1002.32</v>
      </c>
      <c r="G73" s="138">
        <v>1032.24</v>
      </c>
      <c r="H73" s="138">
        <v>332.76</v>
      </c>
      <c r="I73" s="138"/>
      <c r="J73" s="138">
        <v>347.82</v>
      </c>
      <c r="K73" s="138">
        <v>860.11286328268193</v>
      </c>
      <c r="L73" s="138">
        <f t="shared" si="10"/>
        <v>539.44353601650778</v>
      </c>
      <c r="M73" s="138">
        <f t="shared" si="10"/>
        <v>572.03898432537335</v>
      </c>
      <c r="N73" s="138">
        <f t="shared" si="10"/>
        <v>904.45089464074658</v>
      </c>
      <c r="O73" s="138">
        <f t="shared" ref="O73:AC88" si="11">+O$58*$D73</f>
        <v>1160.7175253652952</v>
      </c>
      <c r="P73" s="138">
        <f t="shared" si="11"/>
        <v>825.91693221502464</v>
      </c>
      <c r="Q73" s="138">
        <f t="shared" si="11"/>
        <v>8595.10073584563</v>
      </c>
      <c r="R73" s="138">
        <f t="shared" si="11"/>
        <v>1174.0563072878313</v>
      </c>
      <c r="S73" s="138">
        <f t="shared" si="11"/>
        <v>1582.6691664420307</v>
      </c>
      <c r="T73" s="138">
        <f t="shared" si="11"/>
        <v>1567.2535576779849</v>
      </c>
      <c r="U73" s="138">
        <f t="shared" si="11"/>
        <v>1835.3995079014696</v>
      </c>
      <c r="V73" s="138">
        <f t="shared" si="11"/>
        <v>1990.7091969311034</v>
      </c>
      <c r="W73" s="138">
        <f t="shared" si="11"/>
        <v>2159.7792779906522</v>
      </c>
      <c r="X73" s="138">
        <f t="shared" si="11"/>
        <v>2326.853294898996</v>
      </c>
      <c r="Y73" s="138">
        <f t="shared" si="11"/>
        <v>2527.6970709378229</v>
      </c>
      <c r="Z73" s="138">
        <f t="shared" si="11"/>
        <v>2781.0985640122426</v>
      </c>
      <c r="AA73" s="138">
        <f t="shared" si="11"/>
        <v>3020.3690876142446</v>
      </c>
      <c r="AB73" s="138">
        <f t="shared" si="11"/>
        <v>3281.7728468063442</v>
      </c>
      <c r="AC73" s="138">
        <f t="shared" si="11"/>
        <v>3567.51749715292</v>
      </c>
      <c r="AG73" s="130"/>
      <c r="AH73" s="130"/>
      <c r="AI73" s="130"/>
    </row>
    <row r="74" spans="3:35" hidden="1" x14ac:dyDescent="0.4">
      <c r="C74" s="126" t="s">
        <v>536</v>
      </c>
      <c r="D74" s="209">
        <v>1.4603943561761369E-2</v>
      </c>
      <c r="E74" s="138">
        <v>209.87999999999997</v>
      </c>
      <c r="F74" s="138">
        <v>326.47999999999996</v>
      </c>
      <c r="G74" s="138">
        <v>332.21999999999997</v>
      </c>
      <c r="H74" s="138">
        <v>625.21</v>
      </c>
      <c r="I74" s="138">
        <v>485.28999999999996</v>
      </c>
      <c r="J74" s="138">
        <v>1203.23</v>
      </c>
      <c r="K74" s="138">
        <v>733.34345168901439</v>
      </c>
      <c r="L74" s="138">
        <f t="shared" ref="L74:AB89" si="12">+L$58*$D74</f>
        <v>459.93659853411259</v>
      </c>
      <c r="M74" s="138">
        <f t="shared" si="12"/>
        <v>487.72790313214443</v>
      </c>
      <c r="N74" s="138">
        <f t="shared" si="12"/>
        <v>771.14663583524737</v>
      </c>
      <c r="O74" s="138">
        <f t="shared" si="12"/>
        <v>989.64290946496681</v>
      </c>
      <c r="P74" s="138">
        <f t="shared" si="12"/>
        <v>704.18755460457146</v>
      </c>
      <c r="Q74" s="138">
        <f t="shared" si="11"/>
        <v>7328.295053260058</v>
      </c>
      <c r="R74" s="138">
        <f t="shared" si="12"/>
        <v>1001.0157290029358</v>
      </c>
      <c r="S74" s="138">
        <f t="shared" si="12"/>
        <v>1349.4043851067506</v>
      </c>
      <c r="T74" s="138">
        <f t="shared" si="12"/>
        <v>1336.2608359011654</v>
      </c>
      <c r="U74" s="138">
        <f t="shared" si="12"/>
        <v>1564.8855723605395</v>
      </c>
      <c r="V74" s="138">
        <f t="shared" si="12"/>
        <v>1697.3046400152766</v>
      </c>
      <c r="W74" s="138">
        <f t="shared" si="12"/>
        <v>1841.4559974875367</v>
      </c>
      <c r="X74" s="138">
        <f t="shared" si="12"/>
        <v>1983.9054846158854</v>
      </c>
      <c r="Y74" s="138">
        <f t="shared" si="12"/>
        <v>2155.1475090735075</v>
      </c>
      <c r="Z74" s="138">
        <f t="shared" si="12"/>
        <v>2371.2009289527432</v>
      </c>
      <c r="AA74" s="138">
        <f t="shared" si="12"/>
        <v>2575.2060998509505</v>
      </c>
      <c r="AB74" s="138">
        <f t="shared" si="12"/>
        <v>2798.0823562515193</v>
      </c>
      <c r="AC74" s="138">
        <f t="shared" si="11"/>
        <v>3041.7119740984954</v>
      </c>
      <c r="AG74" s="130"/>
      <c r="AH74" s="130"/>
      <c r="AI74" s="130"/>
    </row>
    <row r="75" spans="3:35" hidden="1" x14ac:dyDescent="0.4">
      <c r="C75" s="126" t="s">
        <v>537</v>
      </c>
      <c r="D75" s="209">
        <v>1.4505323770747218E-2</v>
      </c>
      <c r="E75" s="138">
        <v>503.77000000000004</v>
      </c>
      <c r="F75" s="138">
        <v>608.37</v>
      </c>
      <c r="G75" s="138">
        <v>912.69</v>
      </c>
      <c r="H75" s="138">
        <v>765.73</v>
      </c>
      <c r="I75" s="138">
        <v>370.26</v>
      </c>
      <c r="J75" s="138"/>
      <c r="K75" s="138">
        <v>728.39121549053073</v>
      </c>
      <c r="L75" s="138">
        <f t="shared" si="12"/>
        <v>456.83066683591289</v>
      </c>
      <c r="M75" s="138">
        <f t="shared" si="12"/>
        <v>484.43429797164487</v>
      </c>
      <c r="N75" s="138">
        <f t="shared" si="12"/>
        <v>765.93911639053613</v>
      </c>
      <c r="O75" s="138">
        <f t="shared" si="12"/>
        <v>982.95989425764844</v>
      </c>
      <c r="P75" s="138">
        <f t="shared" si="12"/>
        <v>699.43220690166015</v>
      </c>
      <c r="Q75" s="138">
        <f t="shared" si="11"/>
        <v>7278.8073978479342</v>
      </c>
      <c r="R75" s="138">
        <f t="shared" si="12"/>
        <v>994.25591364356717</v>
      </c>
      <c r="S75" s="138">
        <f t="shared" si="12"/>
        <v>1340.291916417043</v>
      </c>
      <c r="T75" s="138">
        <f t="shared" si="12"/>
        <v>1327.2371250233705</v>
      </c>
      <c r="U75" s="138">
        <f t="shared" si="12"/>
        <v>1554.3179686544181</v>
      </c>
      <c r="V75" s="138">
        <f t="shared" si="12"/>
        <v>1685.8428161471031</v>
      </c>
      <c r="W75" s="138">
        <f t="shared" si="12"/>
        <v>1829.0207258182127</v>
      </c>
      <c r="X75" s="138">
        <f t="shared" si="12"/>
        <v>1970.5082578012778</v>
      </c>
      <c r="Y75" s="138">
        <f t="shared" si="12"/>
        <v>2140.5938923705503</v>
      </c>
      <c r="Z75" s="138">
        <f t="shared" si="12"/>
        <v>2355.1883129715243</v>
      </c>
      <c r="AA75" s="138">
        <f t="shared" si="12"/>
        <v>2557.8158458889561</v>
      </c>
      <c r="AB75" s="138">
        <f t="shared" si="12"/>
        <v>2779.1870286951707</v>
      </c>
      <c r="AC75" s="138">
        <f t="shared" si="11"/>
        <v>3021.1714264072352</v>
      </c>
      <c r="AG75" s="130"/>
      <c r="AH75" s="130"/>
      <c r="AI75" s="130"/>
    </row>
    <row r="76" spans="3:35" hidden="1" x14ac:dyDescent="0.4">
      <c r="C76" s="126" t="s">
        <v>538</v>
      </c>
      <c r="D76" s="209">
        <v>1.4240899742909359E-2</v>
      </c>
      <c r="E76" s="138"/>
      <c r="F76" s="138"/>
      <c r="G76" s="138"/>
      <c r="H76" s="138">
        <v>3103.2</v>
      </c>
      <c r="I76" s="138"/>
      <c r="J76" s="138"/>
      <c r="K76" s="138">
        <v>715.11304658608037</v>
      </c>
      <c r="L76" s="138">
        <f t="shared" si="12"/>
        <v>448.50289650318734</v>
      </c>
      <c r="M76" s="138">
        <f t="shared" si="12"/>
        <v>475.60332871394382</v>
      </c>
      <c r="N76" s="138">
        <f t="shared" si="12"/>
        <v>751.97647002458575</v>
      </c>
      <c r="O76" s="138">
        <f t="shared" si="12"/>
        <v>965.04107916943508</v>
      </c>
      <c r="P76" s="138">
        <f t="shared" si="12"/>
        <v>686.6819447033464</v>
      </c>
      <c r="Q76" s="138">
        <f t="shared" si="11"/>
        <v>7146.1187657005794</v>
      </c>
      <c r="R76" s="138">
        <f t="shared" si="12"/>
        <v>976.13117837102936</v>
      </c>
      <c r="S76" s="138">
        <f t="shared" si="12"/>
        <v>1315.8591362448246</v>
      </c>
      <c r="T76" s="138">
        <f t="shared" si="12"/>
        <v>1303.0423264762062</v>
      </c>
      <c r="U76" s="138">
        <f t="shared" si="12"/>
        <v>1525.9836119514523</v>
      </c>
      <c r="V76" s="138">
        <f t="shared" si="12"/>
        <v>1655.1108342353216</v>
      </c>
      <c r="W76" s="138">
        <f t="shared" si="12"/>
        <v>1795.6786898207038</v>
      </c>
      <c r="X76" s="138">
        <f t="shared" si="12"/>
        <v>1934.5869823681589</v>
      </c>
      <c r="Y76" s="138">
        <f t="shared" si="12"/>
        <v>2101.5720499124564</v>
      </c>
      <c r="Z76" s="138">
        <f t="shared" si="12"/>
        <v>2312.2545329418417</v>
      </c>
      <c r="AA76" s="138">
        <f t="shared" si="12"/>
        <v>2511.1882780299438</v>
      </c>
      <c r="AB76" s="138">
        <f t="shared" si="12"/>
        <v>2728.5239866385473</v>
      </c>
      <c r="AC76" s="138">
        <f t="shared" si="11"/>
        <v>2966.0971426487208</v>
      </c>
      <c r="AG76" s="130"/>
      <c r="AH76" s="130"/>
      <c r="AI76" s="130"/>
    </row>
    <row r="77" spans="3:35" hidden="1" x14ac:dyDescent="0.4">
      <c r="C77" s="126" t="s">
        <v>539</v>
      </c>
      <c r="D77" s="209">
        <v>1.3288018709583214E-2</v>
      </c>
      <c r="E77" s="138">
        <v>519.08000000000004</v>
      </c>
      <c r="F77" s="138">
        <v>479.42999999999995</v>
      </c>
      <c r="G77" s="138">
        <v>874.47</v>
      </c>
      <c r="H77" s="138">
        <v>629.55000000000007</v>
      </c>
      <c r="I77" s="138">
        <v>376.71</v>
      </c>
      <c r="J77" s="138">
        <v>16.32</v>
      </c>
      <c r="K77" s="138">
        <v>667.2637062299533</v>
      </c>
      <c r="L77" s="138">
        <f t="shared" si="12"/>
        <v>418.49286123961372</v>
      </c>
      <c r="M77" s="138">
        <f t="shared" si="12"/>
        <v>443.77996084395056</v>
      </c>
      <c r="N77" s="138">
        <f t="shared" si="12"/>
        <v>701.660539940832</v>
      </c>
      <c r="O77" s="138">
        <f t="shared" si="12"/>
        <v>900.46866047945673</v>
      </c>
      <c r="P77" s="138">
        <f t="shared" si="12"/>
        <v>640.73497415739303</v>
      </c>
      <c r="Q77" s="138">
        <f t="shared" si="11"/>
        <v>6667.9607028912005</v>
      </c>
      <c r="R77" s="138">
        <f t="shared" si="12"/>
        <v>910.81670367492211</v>
      </c>
      <c r="S77" s="138">
        <f t="shared" si="12"/>
        <v>1227.812928765489</v>
      </c>
      <c r="T77" s="138">
        <f t="shared" si="12"/>
        <v>1215.853711926864</v>
      </c>
      <c r="U77" s="138">
        <f t="shared" si="12"/>
        <v>1423.8776448253893</v>
      </c>
      <c r="V77" s="138">
        <f t="shared" si="12"/>
        <v>1544.3647612717286</v>
      </c>
      <c r="W77" s="138">
        <f t="shared" si="12"/>
        <v>1675.5270002246834</v>
      </c>
      <c r="X77" s="138">
        <f t="shared" si="12"/>
        <v>1805.1407201166367</v>
      </c>
      <c r="Y77" s="138">
        <f t="shared" si="12"/>
        <v>1960.952553765311</v>
      </c>
      <c r="Z77" s="138">
        <f t="shared" si="12"/>
        <v>2157.5379399990593</v>
      </c>
      <c r="AA77" s="138">
        <f t="shared" si="12"/>
        <v>2343.1607148531789</v>
      </c>
      <c r="AB77" s="138">
        <f t="shared" si="12"/>
        <v>2545.9541488628233</v>
      </c>
      <c r="AC77" s="138">
        <f t="shared" si="11"/>
        <v>2767.630910791419</v>
      </c>
      <c r="AG77" s="130"/>
      <c r="AH77" s="130"/>
      <c r="AI77" s="130"/>
    </row>
    <row r="78" spans="3:35" hidden="1" x14ac:dyDescent="0.4">
      <c r="C78" s="126" t="s">
        <v>540</v>
      </c>
      <c r="D78" s="209">
        <v>1.3149106607489287E-2</v>
      </c>
      <c r="E78" s="138">
        <v>481.48</v>
      </c>
      <c r="F78" s="138">
        <v>500.50999999999993</v>
      </c>
      <c r="G78" s="138">
        <v>535.02</v>
      </c>
      <c r="H78" s="138">
        <v>589.85</v>
      </c>
      <c r="I78" s="138">
        <v>541.04000000000008</v>
      </c>
      <c r="J78" s="138">
        <v>217.39</v>
      </c>
      <c r="K78" s="138">
        <v>660.28817390198185</v>
      </c>
      <c r="L78" s="138">
        <f t="shared" si="12"/>
        <v>414.11796349626758</v>
      </c>
      <c r="M78" s="138">
        <f t="shared" si="12"/>
        <v>439.1407133703197</v>
      </c>
      <c r="N78" s="138">
        <f t="shared" si="12"/>
        <v>694.32542530186436</v>
      </c>
      <c r="O78" s="138">
        <f t="shared" si="12"/>
        <v>891.05521839823109</v>
      </c>
      <c r="P78" s="138">
        <f t="shared" si="12"/>
        <v>634.03677150652595</v>
      </c>
      <c r="Q78" s="138">
        <f t="shared" si="11"/>
        <v>6598.2542659751907</v>
      </c>
      <c r="R78" s="138">
        <f t="shared" si="12"/>
        <v>901.295083808561</v>
      </c>
      <c r="S78" s="138">
        <f t="shared" si="12"/>
        <v>1214.9774505320102</v>
      </c>
      <c r="T78" s="138">
        <f t="shared" si="12"/>
        <v>1203.1432545852697</v>
      </c>
      <c r="U78" s="138">
        <f t="shared" si="12"/>
        <v>1408.9925185255145</v>
      </c>
      <c r="V78" s="138">
        <f t="shared" si="12"/>
        <v>1528.2200703229325</v>
      </c>
      <c r="W78" s="138">
        <f t="shared" si="12"/>
        <v>1658.0111475755234</v>
      </c>
      <c r="X78" s="138">
        <f t="shared" si="12"/>
        <v>1786.2698938868464</v>
      </c>
      <c r="Y78" s="138">
        <f t="shared" si="12"/>
        <v>1940.4528805406233</v>
      </c>
      <c r="Z78" s="138">
        <f t="shared" si="12"/>
        <v>2134.9831756551075</v>
      </c>
      <c r="AA78" s="138">
        <f t="shared" si="12"/>
        <v>2318.6654618317921</v>
      </c>
      <c r="AB78" s="138">
        <f t="shared" si="12"/>
        <v>2519.3389061857315</v>
      </c>
      <c r="AC78" s="138">
        <f t="shared" si="11"/>
        <v>2738.6982733500754</v>
      </c>
      <c r="AG78" s="130"/>
      <c r="AH78" s="130"/>
      <c r="AI78" s="130"/>
    </row>
    <row r="79" spans="3:35" hidden="1" x14ac:dyDescent="0.4">
      <c r="C79" s="126" t="s">
        <v>541</v>
      </c>
      <c r="D79" s="209">
        <v>1.2757702141430786E-2</v>
      </c>
      <c r="E79" s="138"/>
      <c r="F79" s="138"/>
      <c r="G79" s="138"/>
      <c r="H79" s="138"/>
      <c r="I79" s="138"/>
      <c r="J79" s="138">
        <v>2780</v>
      </c>
      <c r="K79" s="138">
        <v>640.63362642088919</v>
      </c>
      <c r="L79" s="138">
        <f t="shared" si="12"/>
        <v>401.79107124222116</v>
      </c>
      <c r="M79" s="138">
        <f t="shared" si="12"/>
        <v>426.06897841736395</v>
      </c>
      <c r="N79" s="138">
        <f t="shared" si="12"/>
        <v>673.65770387611121</v>
      </c>
      <c r="O79" s="138">
        <f t="shared" si="12"/>
        <v>864.53151588393587</v>
      </c>
      <c r="P79" s="138">
        <f t="shared" si="12"/>
        <v>615.16363955765109</v>
      </c>
      <c r="Q79" s="138">
        <f t="shared" si="11"/>
        <v>6401.8465353981728</v>
      </c>
      <c r="R79" s="138">
        <f t="shared" si="12"/>
        <v>874.4665751068128</v>
      </c>
      <c r="S79" s="138">
        <f t="shared" si="12"/>
        <v>1178.8116778682047</v>
      </c>
      <c r="T79" s="138">
        <f t="shared" si="12"/>
        <v>1167.3297459409171</v>
      </c>
      <c r="U79" s="138">
        <f t="shared" si="12"/>
        <v>1367.051572965016</v>
      </c>
      <c r="V79" s="138">
        <f t="shared" si="12"/>
        <v>1482.7301234771185</v>
      </c>
      <c r="W79" s="138">
        <f t="shared" si="12"/>
        <v>1608.6577589912208</v>
      </c>
      <c r="X79" s="138">
        <f t="shared" si="12"/>
        <v>1733.0986758776364</v>
      </c>
      <c r="Y79" s="138">
        <f t="shared" si="12"/>
        <v>1882.6921560829558</v>
      </c>
      <c r="Z79" s="138">
        <f t="shared" si="12"/>
        <v>2071.4319417305751</v>
      </c>
      <c r="AA79" s="138">
        <f t="shared" si="12"/>
        <v>2249.6466270054275</v>
      </c>
      <c r="AB79" s="138">
        <f t="shared" si="12"/>
        <v>2444.3467011005287</v>
      </c>
      <c r="AC79" s="138">
        <f t="shared" si="11"/>
        <v>2657.1764812333863</v>
      </c>
      <c r="AG79" s="130"/>
      <c r="AH79" s="130"/>
      <c r="AI79" s="130"/>
    </row>
    <row r="80" spans="3:35" hidden="1" x14ac:dyDescent="0.4">
      <c r="C80" s="126" t="s">
        <v>542</v>
      </c>
      <c r="D80" s="209">
        <v>1.1227145012578271E-2</v>
      </c>
      <c r="E80" s="138">
        <v>331.11</v>
      </c>
      <c r="F80" s="138">
        <v>114.85</v>
      </c>
      <c r="G80" s="138">
        <v>212.14999999999998</v>
      </c>
      <c r="H80" s="138">
        <v>334.31</v>
      </c>
      <c r="I80" s="138">
        <v>1056.79</v>
      </c>
      <c r="J80" s="138">
        <v>397.27</v>
      </c>
      <c r="K80" s="138">
        <v>563.7760267504234</v>
      </c>
      <c r="L80" s="138">
        <f t="shared" si="12"/>
        <v>353.58770502614004</v>
      </c>
      <c r="M80" s="138">
        <f t="shared" si="12"/>
        <v>374.95296198507651</v>
      </c>
      <c r="N80" s="138">
        <f t="shared" si="12"/>
        <v>592.83816524418296</v>
      </c>
      <c r="O80" s="138">
        <f t="shared" si="12"/>
        <v>760.81261258263726</v>
      </c>
      <c r="P80" s="138">
        <f t="shared" si="12"/>
        <v>541.36170536151167</v>
      </c>
      <c r="Q80" s="138">
        <f t="shared" si="11"/>
        <v>5633.8091769499724</v>
      </c>
      <c r="R80" s="138">
        <f t="shared" si="12"/>
        <v>769.55575059975376</v>
      </c>
      <c r="S80" s="138">
        <f t="shared" si="12"/>
        <v>1037.3881991622322</v>
      </c>
      <c r="T80" s="138">
        <f t="shared" si="12"/>
        <v>1027.2837686509117</v>
      </c>
      <c r="U80" s="138">
        <f t="shared" si="12"/>
        <v>1203.0447238228246</v>
      </c>
      <c r="V80" s="138">
        <f t="shared" si="12"/>
        <v>1304.8451771526263</v>
      </c>
      <c r="W80" s="138">
        <f t="shared" si="12"/>
        <v>1415.6651202218857</v>
      </c>
      <c r="X80" s="138">
        <f t="shared" si="12"/>
        <v>1525.176708115511</v>
      </c>
      <c r="Y80" s="138">
        <f t="shared" si="12"/>
        <v>1656.8232755445433</v>
      </c>
      <c r="Z80" s="138">
        <f t="shared" si="12"/>
        <v>1822.9197182751861</v>
      </c>
      <c r="AA80" s="138">
        <f t="shared" si="12"/>
        <v>1979.7537697972084</v>
      </c>
      <c r="AB80" s="138">
        <f t="shared" si="12"/>
        <v>2151.0954378807273</v>
      </c>
      <c r="AC80" s="138">
        <f t="shared" si="11"/>
        <v>2338.3917689956315</v>
      </c>
      <c r="AG80" s="130"/>
      <c r="AH80" s="130"/>
      <c r="AI80" s="130"/>
    </row>
    <row r="81" spans="3:35" hidden="1" x14ac:dyDescent="0.4">
      <c r="C81" s="126" t="s">
        <v>543</v>
      </c>
      <c r="D81" s="209">
        <v>1.0712156043401522E-2</v>
      </c>
      <c r="E81" s="138">
        <v>410.12</v>
      </c>
      <c r="F81" s="138">
        <v>693.83999999999992</v>
      </c>
      <c r="G81" s="138">
        <v>175.47</v>
      </c>
      <c r="H81" s="138">
        <v>469.41</v>
      </c>
      <c r="I81" s="138">
        <v>433.22</v>
      </c>
      <c r="J81" s="138">
        <v>152.20000000000002</v>
      </c>
      <c r="K81" s="138">
        <v>537.91562906806655</v>
      </c>
      <c r="L81" s="138">
        <f t="shared" si="12"/>
        <v>337.36864243088752</v>
      </c>
      <c r="M81" s="138">
        <f t="shared" si="12"/>
        <v>357.75387538148067</v>
      </c>
      <c r="N81" s="138">
        <f t="shared" si="12"/>
        <v>565.64468771577401</v>
      </c>
      <c r="O81" s="138">
        <f t="shared" si="12"/>
        <v>725.91414973641599</v>
      </c>
      <c r="P81" s="138">
        <f t="shared" si="12"/>
        <v>516.52945225677797</v>
      </c>
      <c r="Q81" s="138">
        <f t="shared" si="11"/>
        <v>5375.3864365894033</v>
      </c>
      <c r="R81" s="138">
        <f t="shared" si="12"/>
        <v>734.25624014706091</v>
      </c>
      <c r="S81" s="138">
        <f t="shared" si="12"/>
        <v>989.8032184103007</v>
      </c>
      <c r="T81" s="138">
        <f t="shared" si="12"/>
        <v>980.16227797123929</v>
      </c>
      <c r="U81" s="138">
        <f t="shared" si="12"/>
        <v>1147.8610808306901</v>
      </c>
      <c r="V81" s="138">
        <f t="shared" si="12"/>
        <v>1244.991948930827</v>
      </c>
      <c r="W81" s="138">
        <f t="shared" si="12"/>
        <v>1350.7285829146933</v>
      </c>
      <c r="X81" s="138">
        <f t="shared" si="12"/>
        <v>1455.2168759547239</v>
      </c>
      <c r="Y81" s="138">
        <f t="shared" si="12"/>
        <v>1580.8248173590653</v>
      </c>
      <c r="Z81" s="138">
        <f t="shared" si="12"/>
        <v>1739.3024188143931</v>
      </c>
      <c r="AA81" s="138">
        <f t="shared" si="12"/>
        <v>1888.9424948034857</v>
      </c>
      <c r="AB81" s="138">
        <f t="shared" si="12"/>
        <v>2052.4247232053672</v>
      </c>
      <c r="AC81" s="138">
        <f t="shared" si="11"/>
        <v>2231.1297744905919</v>
      </c>
      <c r="AG81" s="130"/>
      <c r="AH81" s="130"/>
      <c r="AI81" s="130"/>
    </row>
    <row r="82" spans="3:35" hidden="1" x14ac:dyDescent="0.4">
      <c r="C82" s="126" t="s">
        <v>544</v>
      </c>
      <c r="D82" s="209">
        <v>1.0433735256020007E-2</v>
      </c>
      <c r="E82" s="138">
        <v>1025.49</v>
      </c>
      <c r="F82" s="138">
        <v>187.58</v>
      </c>
      <c r="G82" s="138">
        <v>0</v>
      </c>
      <c r="H82" s="138">
        <v>142.11000000000001</v>
      </c>
      <c r="I82" s="138">
        <v>606.45000000000005</v>
      </c>
      <c r="J82" s="138">
        <v>311.95999999999998</v>
      </c>
      <c r="K82" s="138">
        <v>523.93460672455728</v>
      </c>
      <c r="L82" s="138">
        <f t="shared" si="12"/>
        <v>328.6000581530941</v>
      </c>
      <c r="M82" s="138">
        <f t="shared" si="12"/>
        <v>348.45545634530015</v>
      </c>
      <c r="N82" s="138">
        <f t="shared" si="12"/>
        <v>550.94295645888042</v>
      </c>
      <c r="O82" s="138">
        <f t="shared" si="12"/>
        <v>707.04683784120766</v>
      </c>
      <c r="P82" s="138">
        <f t="shared" si="12"/>
        <v>503.10428031002868</v>
      </c>
      <c r="Q82" s="138">
        <f t="shared" si="11"/>
        <v>5235.6741958330686</v>
      </c>
      <c r="R82" s="138">
        <f t="shared" si="12"/>
        <v>715.17210809248138</v>
      </c>
      <c r="S82" s="138">
        <f t="shared" si="12"/>
        <v>964.07713765624862</v>
      </c>
      <c r="T82" s="138">
        <f t="shared" si="12"/>
        <v>954.6867759258306</v>
      </c>
      <c r="U82" s="138">
        <f t="shared" si="12"/>
        <v>1118.0269013588238</v>
      </c>
      <c r="V82" s="138">
        <f t="shared" si="12"/>
        <v>1212.6332307324969</v>
      </c>
      <c r="W82" s="138">
        <f t="shared" si="12"/>
        <v>1315.621652613255</v>
      </c>
      <c r="X82" s="138">
        <f t="shared" si="12"/>
        <v>1417.3941793124586</v>
      </c>
      <c r="Y82" s="138">
        <f t="shared" si="12"/>
        <v>1539.7374313484343</v>
      </c>
      <c r="Z82" s="138">
        <f t="shared" si="12"/>
        <v>1694.0960246040352</v>
      </c>
      <c r="AA82" s="138">
        <f t="shared" si="12"/>
        <v>1839.8467894580108</v>
      </c>
      <c r="AB82" s="138">
        <f t="shared" si="12"/>
        <v>1999.0799338687593</v>
      </c>
      <c r="AC82" s="138">
        <f t="shared" si="11"/>
        <v>2173.1402431537458</v>
      </c>
      <c r="AG82" s="130"/>
      <c r="AH82" s="130"/>
      <c r="AI82" s="130"/>
    </row>
    <row r="83" spans="3:35" hidden="1" x14ac:dyDescent="0.4">
      <c r="C83" s="126" t="s">
        <v>545</v>
      </c>
      <c r="D83" s="209">
        <v>9.5682766060730898E-3</v>
      </c>
      <c r="E83" s="138">
        <v>2085</v>
      </c>
      <c r="F83" s="138"/>
      <c r="G83" s="138"/>
      <c r="H83" s="138"/>
      <c r="I83" s="138"/>
      <c r="J83" s="138"/>
      <c r="K83" s="138">
        <v>480.47521981566689</v>
      </c>
      <c r="L83" s="138">
        <f t="shared" si="12"/>
        <v>301.3433034316659</v>
      </c>
      <c r="M83" s="138">
        <f t="shared" si="12"/>
        <v>319.55173381302296</v>
      </c>
      <c r="N83" s="138">
        <f t="shared" si="12"/>
        <v>505.24327790708344</v>
      </c>
      <c r="O83" s="138">
        <f t="shared" si="12"/>
        <v>648.39863691295182</v>
      </c>
      <c r="P83" s="138">
        <f t="shared" si="12"/>
        <v>461.37272966823832</v>
      </c>
      <c r="Q83" s="138">
        <f t="shared" si="11"/>
        <v>4801.3849015486303</v>
      </c>
      <c r="R83" s="138">
        <f t="shared" si="12"/>
        <v>655.8499313301096</v>
      </c>
      <c r="S83" s="138">
        <f t="shared" si="12"/>
        <v>884.10875840115352</v>
      </c>
      <c r="T83" s="138">
        <f t="shared" si="12"/>
        <v>875.49730945568774</v>
      </c>
      <c r="U83" s="138">
        <f t="shared" si="12"/>
        <v>1025.288679723762</v>
      </c>
      <c r="V83" s="138">
        <f t="shared" si="12"/>
        <v>1112.0475926078389</v>
      </c>
      <c r="W83" s="138">
        <f t="shared" si="12"/>
        <v>1206.4933192434155</v>
      </c>
      <c r="X83" s="138">
        <f t="shared" si="12"/>
        <v>1299.8240069082274</v>
      </c>
      <c r="Y83" s="138">
        <f t="shared" si="12"/>
        <v>1412.019117062217</v>
      </c>
      <c r="Z83" s="138">
        <f t="shared" si="12"/>
        <v>1553.5739562979313</v>
      </c>
      <c r="AA83" s="138">
        <f t="shared" si="12"/>
        <v>1687.2349702540707</v>
      </c>
      <c r="AB83" s="138">
        <f t="shared" si="12"/>
        <v>1833.2600258253967</v>
      </c>
      <c r="AC83" s="138">
        <f t="shared" si="11"/>
        <v>1992.8823609250396</v>
      </c>
      <c r="AG83" s="130"/>
      <c r="AH83" s="130"/>
      <c r="AI83" s="130"/>
    </row>
    <row r="84" spans="3:35" hidden="1" x14ac:dyDescent="0.4">
      <c r="C84" s="126" t="s">
        <v>546</v>
      </c>
      <c r="D84" s="209">
        <v>8.6747785460239615E-3</v>
      </c>
      <c r="E84" s="138">
        <v>230.95</v>
      </c>
      <c r="F84" s="138">
        <v>398.07</v>
      </c>
      <c r="G84" s="138">
        <v>53.59999999999998</v>
      </c>
      <c r="H84" s="138">
        <v>332.25999999999993</v>
      </c>
      <c r="I84" s="138">
        <v>597.05999999999995</v>
      </c>
      <c r="J84" s="138">
        <v>278.36</v>
      </c>
      <c r="K84" s="138">
        <v>435.60782159115348</v>
      </c>
      <c r="L84" s="138">
        <f t="shared" si="12"/>
        <v>273.20347552847863</v>
      </c>
      <c r="M84" s="138">
        <f t="shared" si="12"/>
        <v>289.71157910156222</v>
      </c>
      <c r="N84" s="138">
        <f t="shared" si="12"/>
        <v>458.06300634424929</v>
      </c>
      <c r="O84" s="138">
        <f t="shared" si="12"/>
        <v>587.85033254510927</v>
      </c>
      <c r="P84" s="138">
        <f t="shared" si="12"/>
        <v>418.28914671072943</v>
      </c>
      <c r="Q84" s="138">
        <f t="shared" si="11"/>
        <v>4353.0253618212828</v>
      </c>
      <c r="R84" s="138">
        <f t="shared" si="12"/>
        <v>594.60581544043453</v>
      </c>
      <c r="S84" s="138">
        <f t="shared" si="12"/>
        <v>801.54953765261405</v>
      </c>
      <c r="T84" s="138">
        <f t="shared" si="12"/>
        <v>793.74223696119248</v>
      </c>
      <c r="U84" s="138">
        <f t="shared" si="12"/>
        <v>929.54589509919754</v>
      </c>
      <c r="V84" s="138">
        <f t="shared" si="12"/>
        <v>1008.203148348488</v>
      </c>
      <c r="W84" s="138">
        <f t="shared" si="12"/>
        <v>1093.829410727016</v>
      </c>
      <c r="X84" s="138">
        <f t="shared" si="12"/>
        <v>1178.4447579178043</v>
      </c>
      <c r="Y84" s="138">
        <f t="shared" si="12"/>
        <v>1280.1629433969824</v>
      </c>
      <c r="Z84" s="138">
        <f t="shared" si="12"/>
        <v>1408.4992084364408</v>
      </c>
      <c r="AA84" s="138">
        <f t="shared" si="12"/>
        <v>1529.678783823151</v>
      </c>
      <c r="AB84" s="138">
        <f t="shared" si="12"/>
        <v>1662.067830608032</v>
      </c>
      <c r="AC84" s="138">
        <f t="shared" si="11"/>
        <v>1806.7844253508883</v>
      </c>
      <c r="AG84" s="130"/>
      <c r="AH84" s="130"/>
      <c r="AI84" s="130"/>
    </row>
    <row r="85" spans="3:35" hidden="1" x14ac:dyDescent="0.4">
      <c r="C85" s="126" t="s">
        <v>547</v>
      </c>
      <c r="D85" s="209">
        <v>8.0269809797346211E-3</v>
      </c>
      <c r="E85" s="138">
        <v>350.73</v>
      </c>
      <c r="F85" s="138">
        <v>68.180000000000007</v>
      </c>
      <c r="G85" s="138"/>
      <c r="H85" s="138">
        <v>609.30999999999995</v>
      </c>
      <c r="I85" s="138">
        <v>398.12</v>
      </c>
      <c r="J85" s="138">
        <v>322.8</v>
      </c>
      <c r="K85" s="138">
        <v>403.07838176900509</v>
      </c>
      <c r="L85" s="138">
        <f t="shared" si="12"/>
        <v>252.80173897576216</v>
      </c>
      <c r="M85" s="138">
        <f t="shared" si="12"/>
        <v>268.07708378019714</v>
      </c>
      <c r="N85" s="138">
        <f t="shared" si="12"/>
        <v>423.85670365390695</v>
      </c>
      <c r="O85" s="138">
        <f t="shared" si="12"/>
        <v>543.95203442202433</v>
      </c>
      <c r="P85" s="138">
        <f t="shared" si="12"/>
        <v>387.05299586182372</v>
      </c>
      <c r="Q85" s="138">
        <f t="shared" si="11"/>
        <v>4027.9589384627197</v>
      </c>
      <c r="R85" s="138">
        <f t="shared" si="12"/>
        <v>550.20304502961528</v>
      </c>
      <c r="S85" s="138">
        <f t="shared" si="12"/>
        <v>741.69304252747895</v>
      </c>
      <c r="T85" s="138">
        <f t="shared" si="12"/>
        <v>734.4687596457178</v>
      </c>
      <c r="U85" s="138">
        <f t="shared" si="12"/>
        <v>860.13114688346332</v>
      </c>
      <c r="V85" s="138">
        <f t="shared" si="12"/>
        <v>932.91459287006012</v>
      </c>
      <c r="W85" s="138">
        <f t="shared" si="12"/>
        <v>1012.1466304179511</v>
      </c>
      <c r="X85" s="138">
        <f t="shared" si="12"/>
        <v>1090.443243857773</v>
      </c>
      <c r="Y85" s="138">
        <f t="shared" si="12"/>
        <v>1184.5655244212019</v>
      </c>
      <c r="Z85" s="138">
        <f t="shared" si="12"/>
        <v>1303.3181534383518</v>
      </c>
      <c r="AA85" s="138">
        <f t="shared" si="12"/>
        <v>1415.4485255972209</v>
      </c>
      <c r="AB85" s="138">
        <f t="shared" si="12"/>
        <v>1537.951290921935</v>
      </c>
      <c r="AC85" s="138">
        <f t="shared" si="11"/>
        <v>1671.8610325124337</v>
      </c>
      <c r="AG85" s="130"/>
      <c r="AH85" s="130"/>
      <c r="AI85" s="130"/>
    </row>
    <row r="86" spans="3:35" hidden="1" x14ac:dyDescent="0.4">
      <c r="C86" s="126" t="s">
        <v>548</v>
      </c>
      <c r="D86" s="209">
        <v>7.5965232599985756E-3</v>
      </c>
      <c r="E86" s="138">
        <v>453.32</v>
      </c>
      <c r="F86" s="138">
        <v>565.37000000000012</v>
      </c>
      <c r="G86" s="138">
        <v>323.57000000000005</v>
      </c>
      <c r="H86" s="138">
        <v>70.2</v>
      </c>
      <c r="I86" s="138">
        <v>242.88</v>
      </c>
      <c r="J86" s="138"/>
      <c r="K86" s="138">
        <v>381.4627579710629</v>
      </c>
      <c r="L86" s="138">
        <f t="shared" si="12"/>
        <v>239.24490355039515</v>
      </c>
      <c r="M86" s="138">
        <f t="shared" si="12"/>
        <v>253.70108731417244</v>
      </c>
      <c r="N86" s="138">
        <f t="shared" si="12"/>
        <v>401.12681422096477</v>
      </c>
      <c r="O86" s="138">
        <f t="shared" si="12"/>
        <v>514.78187032493327</v>
      </c>
      <c r="P86" s="138">
        <f t="shared" si="12"/>
        <v>366.29675507387134</v>
      </c>
      <c r="Q86" s="138">
        <f t="shared" si="11"/>
        <v>3811.9541884554005</v>
      </c>
      <c r="R86" s="138">
        <f t="shared" si="12"/>
        <v>520.69766202781</v>
      </c>
      <c r="S86" s="138">
        <f t="shared" si="12"/>
        <v>701.91874922386842</v>
      </c>
      <c r="T86" s="138">
        <f t="shared" si="12"/>
        <v>695.08187828986968</v>
      </c>
      <c r="U86" s="138">
        <f t="shared" si="12"/>
        <v>814.00544992514733</v>
      </c>
      <c r="V86" s="138">
        <f t="shared" si="12"/>
        <v>882.88578510669549</v>
      </c>
      <c r="W86" s="138">
        <f t="shared" si="12"/>
        <v>957.86889739875096</v>
      </c>
      <c r="X86" s="138">
        <f t="shared" si="12"/>
        <v>1031.9667489666501</v>
      </c>
      <c r="Y86" s="138">
        <f t="shared" si="12"/>
        <v>1121.0415948382592</v>
      </c>
      <c r="Z86" s="138">
        <f t="shared" si="12"/>
        <v>1233.4259533900324</v>
      </c>
      <c r="AA86" s="138">
        <f t="shared" si="12"/>
        <v>1339.5431825709227</v>
      </c>
      <c r="AB86" s="138">
        <f t="shared" si="12"/>
        <v>1455.476571294874</v>
      </c>
      <c r="AC86" s="138">
        <f t="shared" si="11"/>
        <v>1582.2052217427604</v>
      </c>
      <c r="AG86" s="130"/>
      <c r="AH86" s="130"/>
      <c r="AI86" s="130"/>
    </row>
    <row r="87" spans="3:35" hidden="1" x14ac:dyDescent="0.4">
      <c r="C87" s="126" t="s">
        <v>549</v>
      </c>
      <c r="D87" s="209">
        <v>7.141238501203127E-3</v>
      </c>
      <c r="E87" s="138">
        <v>36.369999999999997</v>
      </c>
      <c r="F87" s="138">
        <v>236.39</v>
      </c>
      <c r="G87" s="138"/>
      <c r="H87" s="138">
        <v>429.14</v>
      </c>
      <c r="I87" s="138">
        <v>129.6</v>
      </c>
      <c r="J87" s="138">
        <v>724.63</v>
      </c>
      <c r="K87" s="138">
        <v>358.60043348285558</v>
      </c>
      <c r="L87" s="138">
        <f t="shared" si="12"/>
        <v>224.90616535689128</v>
      </c>
      <c r="M87" s="138">
        <f t="shared" si="12"/>
        <v>238.49594222468085</v>
      </c>
      <c r="N87" s="138">
        <f t="shared" si="12"/>
        <v>377.0859578175299</v>
      </c>
      <c r="O87" s="138">
        <f t="shared" si="12"/>
        <v>483.92929058002494</v>
      </c>
      <c r="P87" s="138">
        <f t="shared" si="12"/>
        <v>344.34337928951356</v>
      </c>
      <c r="Q87" s="138">
        <f t="shared" si="11"/>
        <v>3583.4911687514968</v>
      </c>
      <c r="R87" s="138">
        <f t="shared" si="12"/>
        <v>489.49052932408807</v>
      </c>
      <c r="S87" s="138">
        <f t="shared" si="12"/>
        <v>659.85043751116893</v>
      </c>
      <c r="T87" s="138">
        <f t="shared" si="12"/>
        <v>653.42332286008616</v>
      </c>
      <c r="U87" s="138">
        <f t="shared" si="12"/>
        <v>765.21941159642108</v>
      </c>
      <c r="V87" s="138">
        <f t="shared" si="12"/>
        <v>829.97152052030526</v>
      </c>
      <c r="W87" s="138">
        <f t="shared" si="12"/>
        <v>900.46064694208951</v>
      </c>
      <c r="X87" s="138">
        <f t="shared" si="12"/>
        <v>970.11756924225426</v>
      </c>
      <c r="Y87" s="138">
        <f t="shared" si="12"/>
        <v>1053.8538650522917</v>
      </c>
      <c r="Z87" s="138">
        <f t="shared" si="12"/>
        <v>1159.5026573687771</v>
      </c>
      <c r="AA87" s="138">
        <f t="shared" si="12"/>
        <v>1259.2599301014234</v>
      </c>
      <c r="AB87" s="138">
        <f t="shared" si="12"/>
        <v>1368.2450474761031</v>
      </c>
      <c r="AC87" s="138">
        <f t="shared" si="11"/>
        <v>1487.3784308423417</v>
      </c>
      <c r="AG87" s="130"/>
      <c r="AH87" s="130"/>
      <c r="AI87" s="130"/>
    </row>
    <row r="88" spans="3:35" hidden="1" x14ac:dyDescent="0.4">
      <c r="C88" s="126" t="s">
        <v>550</v>
      </c>
      <c r="D88" s="209">
        <v>6.9774075780200048E-3</v>
      </c>
      <c r="E88" s="138"/>
      <c r="F88" s="138">
        <v>419.86</v>
      </c>
      <c r="G88" s="138">
        <v>329.89000000000004</v>
      </c>
      <c r="H88" s="138">
        <v>59.98</v>
      </c>
      <c r="I88" s="138">
        <v>710.7</v>
      </c>
      <c r="J88" s="138"/>
      <c r="K88" s="138">
        <v>350.37359158960891</v>
      </c>
      <c r="L88" s="138">
        <f t="shared" si="12"/>
        <v>219.74647426216202</v>
      </c>
      <c r="M88" s="138">
        <f t="shared" si="12"/>
        <v>233.02448088313409</v>
      </c>
      <c r="N88" s="138">
        <f t="shared" si="12"/>
        <v>368.43502974976832</v>
      </c>
      <c r="O88" s="138">
        <f t="shared" si="12"/>
        <v>472.82721319978873</v>
      </c>
      <c r="P88" s="138">
        <f t="shared" si="12"/>
        <v>336.44361600454664</v>
      </c>
      <c r="Q88" s="138">
        <f t="shared" si="11"/>
        <v>3501.2804056890091</v>
      </c>
      <c r="R88" s="138">
        <f t="shared" si="12"/>
        <v>478.26086862937109</v>
      </c>
      <c r="S88" s="138">
        <f t="shared" si="12"/>
        <v>644.71246020904846</v>
      </c>
      <c r="T88" s="138">
        <f t="shared" si="12"/>
        <v>638.43279338883042</v>
      </c>
      <c r="U88" s="138">
        <f t="shared" si="12"/>
        <v>747.66410902273367</v>
      </c>
      <c r="V88" s="138">
        <f t="shared" si="12"/>
        <v>810.9307056252934</v>
      </c>
      <c r="W88" s="138">
        <f t="shared" si="12"/>
        <v>879.80270377806551</v>
      </c>
      <c r="X88" s="138">
        <f t="shared" si="12"/>
        <v>947.86158984339397</v>
      </c>
      <c r="Y88" s="138">
        <f t="shared" si="12"/>
        <v>1029.6768470766938</v>
      </c>
      <c r="Z88" s="138">
        <f t="shared" si="12"/>
        <v>1132.9018946638196</v>
      </c>
      <c r="AA88" s="138">
        <f t="shared" si="12"/>
        <v>1230.3705831287277</v>
      </c>
      <c r="AB88" s="138">
        <f t="shared" si="12"/>
        <v>1336.8554153792365</v>
      </c>
      <c r="AC88" s="138">
        <f t="shared" si="11"/>
        <v>1453.2556968926899</v>
      </c>
      <c r="AG88" s="130"/>
      <c r="AH88" s="130"/>
      <c r="AI88" s="130"/>
    </row>
    <row r="89" spans="3:35" hidden="1" x14ac:dyDescent="0.4">
      <c r="C89" s="126" t="s">
        <v>551</v>
      </c>
      <c r="D89" s="209">
        <v>6.3788510707153932E-3</v>
      </c>
      <c r="E89" s="138"/>
      <c r="F89" s="138"/>
      <c r="G89" s="138"/>
      <c r="H89" s="138"/>
      <c r="I89" s="138"/>
      <c r="J89" s="138">
        <v>1390</v>
      </c>
      <c r="K89" s="138">
        <v>320.31681321044459</v>
      </c>
      <c r="L89" s="138">
        <f t="shared" si="12"/>
        <v>200.89553562111058</v>
      </c>
      <c r="M89" s="138">
        <f t="shared" si="12"/>
        <v>213.03448920868198</v>
      </c>
      <c r="N89" s="138">
        <f t="shared" si="12"/>
        <v>336.82885193805561</v>
      </c>
      <c r="O89" s="138">
        <f t="shared" si="12"/>
        <v>432.26575794196793</v>
      </c>
      <c r="P89" s="138">
        <f t="shared" si="12"/>
        <v>307.58181977882555</v>
      </c>
      <c r="Q89" s="138">
        <f t="shared" si="12"/>
        <v>3200.9232676990864</v>
      </c>
      <c r="R89" s="138">
        <f t="shared" si="12"/>
        <v>437.2332875534064</v>
      </c>
      <c r="S89" s="138">
        <f t="shared" si="12"/>
        <v>589.40583893410235</v>
      </c>
      <c r="T89" s="138">
        <f t="shared" si="12"/>
        <v>583.66487297045853</v>
      </c>
      <c r="U89" s="138">
        <f t="shared" si="12"/>
        <v>683.52578648250801</v>
      </c>
      <c r="V89" s="138">
        <f t="shared" si="12"/>
        <v>741.36506173855923</v>
      </c>
      <c r="W89" s="138">
        <f t="shared" si="12"/>
        <v>804.32887949561041</v>
      </c>
      <c r="X89" s="138">
        <f t="shared" si="12"/>
        <v>866.54933793881821</v>
      </c>
      <c r="Y89" s="138">
        <f t="shared" si="12"/>
        <v>941.34607804147788</v>
      </c>
      <c r="Z89" s="138">
        <f t="shared" si="12"/>
        <v>1035.7159708652875</v>
      </c>
      <c r="AA89" s="138">
        <f t="shared" ref="AA89:AC104" si="13">+AA$58*$D89</f>
        <v>1124.8233135027137</v>
      </c>
      <c r="AB89" s="138">
        <f t="shared" si="13"/>
        <v>1222.1733505502643</v>
      </c>
      <c r="AC89" s="138">
        <f t="shared" si="13"/>
        <v>1328.5882406166932</v>
      </c>
      <c r="AG89" s="130"/>
      <c r="AH89" s="130"/>
      <c r="AI89" s="130"/>
    </row>
    <row r="90" spans="3:35" hidden="1" x14ac:dyDescent="0.4">
      <c r="C90" s="126" t="s">
        <v>552</v>
      </c>
      <c r="D90" s="209">
        <v>6.0620195038648961E-3</v>
      </c>
      <c r="E90" s="138">
        <v>405.99</v>
      </c>
      <c r="F90" s="138">
        <v>134.31</v>
      </c>
      <c r="G90" s="138">
        <v>22.6</v>
      </c>
      <c r="H90" s="138">
        <v>159.16999999999999</v>
      </c>
      <c r="I90" s="138">
        <v>438.80999999999995</v>
      </c>
      <c r="J90" s="138">
        <v>160.07999999999998</v>
      </c>
      <c r="K90" s="138">
        <v>304.40697667515747</v>
      </c>
      <c r="L90" s="138">
        <f t="shared" ref="L90:AB104" si="14">+L$58*$D90</f>
        <v>190.91724225472103</v>
      </c>
      <c r="M90" s="138">
        <f t="shared" si="14"/>
        <v>202.45326537057593</v>
      </c>
      <c r="N90" s="138">
        <f t="shared" si="14"/>
        <v>320.09887788208198</v>
      </c>
      <c r="O90" s="138">
        <f t="shared" si="14"/>
        <v>410.79552202231793</v>
      </c>
      <c r="P90" s="138">
        <f t="shared" si="14"/>
        <v>292.30451845686144</v>
      </c>
      <c r="Q90" s="138">
        <f t="shared" si="14"/>
        <v>3041.9364026617159</v>
      </c>
      <c r="R90" s="138">
        <f t="shared" si="14"/>
        <v>415.51631908384729</v>
      </c>
      <c r="S90" s="138">
        <f t="shared" si="14"/>
        <v>560.13060215711641</v>
      </c>
      <c r="T90" s="138">
        <f t="shared" si="14"/>
        <v>554.67478460363805</v>
      </c>
      <c r="U90" s="138">
        <f t="shared" si="14"/>
        <v>649.57569993664299</v>
      </c>
      <c r="V90" s="138">
        <f t="shared" si="14"/>
        <v>704.54215248501237</v>
      </c>
      <c r="W90" s="138">
        <f t="shared" si="14"/>
        <v>764.37861630109455</v>
      </c>
      <c r="X90" s="138">
        <f t="shared" si="14"/>
        <v>823.50864276522395</v>
      </c>
      <c r="Y90" s="138">
        <f t="shared" si="14"/>
        <v>894.59029874077021</v>
      </c>
      <c r="Z90" s="138">
        <f t="shared" si="14"/>
        <v>984.27292724763322</v>
      </c>
      <c r="AA90" s="138">
        <f t="shared" si="14"/>
        <v>1068.9543915140609</v>
      </c>
      <c r="AB90" s="138">
        <f t="shared" si="14"/>
        <v>1161.4691432682571</v>
      </c>
      <c r="AC90" s="138">
        <f t="shared" si="13"/>
        <v>1262.5985052698036</v>
      </c>
      <c r="AG90" s="130"/>
      <c r="AH90" s="130"/>
      <c r="AI90" s="130"/>
    </row>
    <row r="91" spans="3:35" hidden="1" x14ac:dyDescent="0.4">
      <c r="C91" s="126" t="s">
        <v>553</v>
      </c>
      <c r="D91" s="209">
        <v>5.6149951277509489E-3</v>
      </c>
      <c r="E91" s="138">
        <v>57.9</v>
      </c>
      <c r="F91" s="138">
        <v>395.76</v>
      </c>
      <c r="G91" s="138">
        <v>629.91</v>
      </c>
      <c r="H91" s="138">
        <v>139.97999999999999</v>
      </c>
      <c r="I91" s="138"/>
      <c r="J91" s="138"/>
      <c r="K91" s="138">
        <v>281.95945093787014</v>
      </c>
      <c r="L91" s="138">
        <f t="shared" si="14"/>
        <v>176.83865655338838</v>
      </c>
      <c r="M91" s="138">
        <f t="shared" si="14"/>
        <v>187.52399228149844</v>
      </c>
      <c r="N91" s="138">
        <f t="shared" si="14"/>
        <v>296.49420272576111</v>
      </c>
      <c r="O91" s="138">
        <f t="shared" si="14"/>
        <v>380.50271088481639</v>
      </c>
      <c r="P91" s="138">
        <f t="shared" si="14"/>
        <v>270.74945006502298</v>
      </c>
      <c r="Q91" s="138">
        <f t="shared" si="14"/>
        <v>2817.6184634483575</v>
      </c>
      <c r="R91" s="138">
        <f t="shared" si="14"/>
        <v>384.87538775969091</v>
      </c>
      <c r="S91" s="138">
        <f t="shared" si="14"/>
        <v>518.82554980418763</v>
      </c>
      <c r="T91" s="138">
        <f t="shared" si="14"/>
        <v>513.77205418921187</v>
      </c>
      <c r="U91" s="138">
        <f t="shared" si="14"/>
        <v>601.67480291415291</v>
      </c>
      <c r="V91" s="138">
        <f t="shared" si="14"/>
        <v>652.58792898576553</v>
      </c>
      <c r="W91" s="138">
        <f t="shared" si="14"/>
        <v>708.01194281068638</v>
      </c>
      <c r="X91" s="138">
        <f t="shared" si="14"/>
        <v>762.78161326261943</v>
      </c>
      <c r="Y91" s="138">
        <f t="shared" si="14"/>
        <v>828.62157826449663</v>
      </c>
      <c r="Z91" s="138">
        <f t="shared" si="14"/>
        <v>911.69084615267809</v>
      </c>
      <c r="AA91" s="138">
        <f t="shared" si="14"/>
        <v>990.12774477427729</v>
      </c>
      <c r="AB91" s="138">
        <f t="shared" si="14"/>
        <v>1075.8202899753783</v>
      </c>
      <c r="AC91" s="138">
        <f t="shared" si="13"/>
        <v>1169.4921883500394</v>
      </c>
      <c r="AG91" s="130"/>
      <c r="AH91" s="130"/>
      <c r="AI91" s="130"/>
    </row>
    <row r="92" spans="3:35" hidden="1" x14ac:dyDescent="0.4">
      <c r="C92" s="126" t="s">
        <v>554</v>
      </c>
      <c r="D92" s="209">
        <v>4.9342019217504971E-3</v>
      </c>
      <c r="E92" s="138"/>
      <c r="F92" s="138"/>
      <c r="G92" s="138"/>
      <c r="H92" s="138">
        <v>1075.2</v>
      </c>
      <c r="I92" s="138"/>
      <c r="J92" s="138"/>
      <c r="K92" s="138">
        <v>247.7731205495468</v>
      </c>
      <c r="L92" s="138">
        <f t="shared" si="14"/>
        <v>155.39775532361017</v>
      </c>
      <c r="M92" s="138">
        <f t="shared" si="14"/>
        <v>164.78754158070134</v>
      </c>
      <c r="N92" s="138">
        <f t="shared" si="14"/>
        <v>260.54559827611325</v>
      </c>
      <c r="O92" s="138">
        <f t="shared" si="14"/>
        <v>334.36844815770064</v>
      </c>
      <c r="P92" s="138">
        <f t="shared" si="14"/>
        <v>237.92228246488722</v>
      </c>
      <c r="Q92" s="138">
        <f t="shared" si="14"/>
        <v>2475.9947463525596</v>
      </c>
      <c r="R92" s="138">
        <f t="shared" si="14"/>
        <v>338.21095739382918</v>
      </c>
      <c r="S92" s="138">
        <f t="shared" si="14"/>
        <v>455.92025756974596</v>
      </c>
      <c r="T92" s="138">
        <f t="shared" si="14"/>
        <v>451.47947584017049</v>
      </c>
      <c r="U92" s="138">
        <f t="shared" si="14"/>
        <v>528.72440692517455</v>
      </c>
      <c r="V92" s="138">
        <f t="shared" si="14"/>
        <v>573.46454272035896</v>
      </c>
      <c r="W92" s="138">
        <f t="shared" si="14"/>
        <v>622.16864117530952</v>
      </c>
      <c r="X92" s="138">
        <f t="shared" si="14"/>
        <v>670.29773248332185</v>
      </c>
      <c r="Y92" s="138">
        <f t="shared" si="14"/>
        <v>728.15489432388279</v>
      </c>
      <c r="Z92" s="138">
        <f t="shared" si="14"/>
        <v>801.15238264342247</v>
      </c>
      <c r="AA92" s="138">
        <f t="shared" si="14"/>
        <v>870.07915588353808</v>
      </c>
      <c r="AB92" s="138">
        <f t="shared" si="14"/>
        <v>945.38186079974412</v>
      </c>
      <c r="AC92" s="138">
        <f t="shared" si="13"/>
        <v>1027.6964577777471</v>
      </c>
      <c r="AG92" s="130"/>
      <c r="AH92" s="130"/>
      <c r="AI92" s="130"/>
    </row>
    <row r="93" spans="3:35" hidden="1" x14ac:dyDescent="0.4">
      <c r="C93" s="126" t="s">
        <v>555</v>
      </c>
      <c r="D93" s="209">
        <v>4.9096961197953757E-3</v>
      </c>
      <c r="E93" s="138">
        <v>196.46999999999997</v>
      </c>
      <c r="F93" s="138">
        <v>314.23</v>
      </c>
      <c r="G93" s="138">
        <v>170.92000000000002</v>
      </c>
      <c r="H93" s="138">
        <v>141.26000000000002</v>
      </c>
      <c r="I93" s="138">
        <v>193.70000000000002</v>
      </c>
      <c r="J93" s="138">
        <v>53.28</v>
      </c>
      <c r="K93" s="138">
        <v>246.54255092181751</v>
      </c>
      <c r="L93" s="138">
        <f t="shared" si="14"/>
        <v>154.62596959683557</v>
      </c>
      <c r="M93" s="138">
        <f t="shared" si="14"/>
        <v>163.96912131280615</v>
      </c>
      <c r="N93" s="138">
        <f t="shared" si="14"/>
        <v>259.25159390967502</v>
      </c>
      <c r="O93" s="138">
        <f t="shared" si="14"/>
        <v>332.70780128906034</v>
      </c>
      <c r="P93" s="138">
        <f t="shared" si="14"/>
        <v>236.74063720041323</v>
      </c>
      <c r="Q93" s="138">
        <f t="shared" si="14"/>
        <v>2463.6976742306083</v>
      </c>
      <c r="R93" s="138">
        <f t="shared" si="14"/>
        <v>336.53122663445146</v>
      </c>
      <c r="S93" s="138">
        <f t="shared" si="14"/>
        <v>453.65592146909273</v>
      </c>
      <c r="T93" s="138">
        <f t="shared" si="14"/>
        <v>449.23719496127688</v>
      </c>
      <c r="U93" s="138">
        <f t="shared" si="14"/>
        <v>526.0984877166735</v>
      </c>
      <c r="V93" s="138">
        <f t="shared" si="14"/>
        <v>570.61642082850017</v>
      </c>
      <c r="W93" s="138">
        <f t="shared" si="14"/>
        <v>619.07862950875824</v>
      </c>
      <c r="X93" s="138">
        <f t="shared" si="14"/>
        <v>666.96868682534125</v>
      </c>
      <c r="Y93" s="138">
        <f t="shared" si="14"/>
        <v>724.53850003845741</v>
      </c>
      <c r="Z93" s="138">
        <f t="shared" si="14"/>
        <v>797.17344502873152</v>
      </c>
      <c r="AA93" s="138">
        <f t="shared" si="14"/>
        <v>865.75789221871491</v>
      </c>
      <c r="AB93" s="138">
        <f t="shared" si="14"/>
        <v>940.68660490626348</v>
      </c>
      <c r="AC93" s="138">
        <f t="shared" si="13"/>
        <v>1022.5923849684717</v>
      </c>
      <c r="AG93" s="130"/>
      <c r="AH93" s="130"/>
      <c r="AI93" s="130"/>
    </row>
    <row r="94" spans="3:35" hidden="1" x14ac:dyDescent="0.4">
      <c r="C94" s="126" t="s">
        <v>556</v>
      </c>
      <c r="D94" s="209">
        <v>4.7469665809697871E-3</v>
      </c>
      <c r="E94" s="138">
        <v>517.20000000000005</v>
      </c>
      <c r="F94" s="138"/>
      <c r="G94" s="138"/>
      <c r="H94" s="138"/>
      <c r="I94" s="138">
        <v>517.20000000000005</v>
      </c>
      <c r="J94" s="138"/>
      <c r="K94" s="138">
        <v>238.3710155286935</v>
      </c>
      <c r="L94" s="138">
        <f t="shared" si="14"/>
        <v>149.50096550106247</v>
      </c>
      <c r="M94" s="138">
        <f t="shared" si="14"/>
        <v>158.53444290464799</v>
      </c>
      <c r="N94" s="138">
        <f t="shared" si="14"/>
        <v>250.65882334152863</v>
      </c>
      <c r="O94" s="138">
        <f t="shared" si="14"/>
        <v>321.6803597231451</v>
      </c>
      <c r="P94" s="138">
        <f t="shared" si="14"/>
        <v>228.89398156778216</v>
      </c>
      <c r="Q94" s="138">
        <f t="shared" si="14"/>
        <v>2382.0395885668604</v>
      </c>
      <c r="R94" s="138">
        <f t="shared" si="14"/>
        <v>325.37705945700986</v>
      </c>
      <c r="S94" s="138">
        <f t="shared" si="14"/>
        <v>438.61971208160833</v>
      </c>
      <c r="T94" s="138">
        <f t="shared" si="14"/>
        <v>434.34744215873553</v>
      </c>
      <c r="U94" s="138">
        <f t="shared" si="14"/>
        <v>508.66120398381753</v>
      </c>
      <c r="V94" s="138">
        <f t="shared" si="14"/>
        <v>551.70361141177398</v>
      </c>
      <c r="W94" s="138">
        <f t="shared" si="14"/>
        <v>598.55956327356796</v>
      </c>
      <c r="X94" s="138">
        <f t="shared" si="14"/>
        <v>644.86232745605309</v>
      </c>
      <c r="Y94" s="138">
        <f t="shared" si="14"/>
        <v>700.5240166374856</v>
      </c>
      <c r="Z94" s="138">
        <f t="shared" si="14"/>
        <v>770.75151098061406</v>
      </c>
      <c r="AA94" s="138">
        <f t="shared" si="14"/>
        <v>837.06275934331472</v>
      </c>
      <c r="AB94" s="138">
        <f t="shared" si="14"/>
        <v>909.50799554618254</v>
      </c>
      <c r="AC94" s="138">
        <f t="shared" si="13"/>
        <v>988.69904754957383</v>
      </c>
      <c r="AG94" s="130"/>
      <c r="AH94" s="130"/>
      <c r="AI94" s="130"/>
    </row>
    <row r="95" spans="3:35" hidden="1" x14ac:dyDescent="0.4">
      <c r="C95" s="126" t="s">
        <v>557</v>
      </c>
      <c r="D95" s="209">
        <v>4.6768451102068148E-3</v>
      </c>
      <c r="E95" s="138">
        <v>161.38000000000002</v>
      </c>
      <c r="F95" s="138">
        <v>373.42</v>
      </c>
      <c r="G95" s="138">
        <v>89.77</v>
      </c>
      <c r="H95" s="138">
        <v>168.58</v>
      </c>
      <c r="I95" s="138">
        <v>187.7</v>
      </c>
      <c r="J95" s="138">
        <v>38.270000000000003</v>
      </c>
      <c r="K95" s="138">
        <v>234.84983502088372</v>
      </c>
      <c r="L95" s="138">
        <f t="shared" si="14"/>
        <v>147.29255990085343</v>
      </c>
      <c r="M95" s="138">
        <f t="shared" si="14"/>
        <v>156.192596145577</v>
      </c>
      <c r="N95" s="138">
        <f t="shared" si="14"/>
        <v>246.95612919936065</v>
      </c>
      <c r="O95" s="138">
        <f t="shared" si="14"/>
        <v>316.92854621138014</v>
      </c>
      <c r="P95" s="138">
        <f t="shared" si="14"/>
        <v>225.51279436906239</v>
      </c>
      <c r="Q95" s="138">
        <f t="shared" si="14"/>
        <v>2346.8524608471175</v>
      </c>
      <c r="R95" s="138">
        <f t="shared" si="14"/>
        <v>320.57063885714217</v>
      </c>
      <c r="S95" s="138">
        <f t="shared" si="14"/>
        <v>432.14048818310971</v>
      </c>
      <c r="T95" s="138">
        <f t="shared" si="14"/>
        <v>427.93132758392358</v>
      </c>
      <c r="U95" s="138">
        <f t="shared" si="14"/>
        <v>501.14733778421123</v>
      </c>
      <c r="V95" s="138">
        <f t="shared" si="14"/>
        <v>543.55392929424499</v>
      </c>
      <c r="W95" s="138">
        <f t="shared" si="14"/>
        <v>589.71773213781773</v>
      </c>
      <c r="X95" s="138">
        <f t="shared" si="14"/>
        <v>635.33651890662486</v>
      </c>
      <c r="Y95" s="138">
        <f t="shared" si="14"/>
        <v>690.17598205297202</v>
      </c>
      <c r="Z95" s="138">
        <f t="shared" si="14"/>
        <v>759.36608649513096</v>
      </c>
      <c r="AA95" s="138">
        <f t="shared" si="14"/>
        <v>824.69779514883885</v>
      </c>
      <c r="AB95" s="138">
        <f t="shared" si="14"/>
        <v>896.07288130416237</v>
      </c>
      <c r="AC95" s="138">
        <f t="shared" si="13"/>
        <v>974.09413509157162</v>
      </c>
      <c r="AG95" s="130"/>
      <c r="AH95" s="130"/>
      <c r="AI95" s="130"/>
    </row>
    <row r="96" spans="3:35" hidden="1" x14ac:dyDescent="0.4">
      <c r="C96" s="126" t="s">
        <v>558</v>
      </c>
      <c r="D96" s="209">
        <v>4.5137025522471504E-3</v>
      </c>
      <c r="E96" s="138">
        <v>101.76</v>
      </c>
      <c r="F96" s="138">
        <v>253.35000000000002</v>
      </c>
      <c r="G96" s="138">
        <v>190.79999999999995</v>
      </c>
      <c r="H96" s="138">
        <v>160.99999999999997</v>
      </c>
      <c r="I96" s="138">
        <v>47.7</v>
      </c>
      <c r="J96" s="138">
        <v>228.95999999999998</v>
      </c>
      <c r="K96" s="138">
        <v>226.65755969021365</v>
      </c>
      <c r="L96" s="138">
        <f t="shared" si="14"/>
        <v>142.15454818047175</v>
      </c>
      <c r="M96" s="138">
        <f t="shared" si="14"/>
        <v>150.74412413739807</v>
      </c>
      <c r="N96" s="138">
        <f t="shared" si="14"/>
        <v>238.34154956885854</v>
      </c>
      <c r="O96" s="138">
        <f t="shared" si="14"/>
        <v>305.87311621509451</v>
      </c>
      <c r="P96" s="138">
        <f t="shared" si="14"/>
        <v>217.64622336680534</v>
      </c>
      <c r="Q96" s="138">
        <f t="shared" si="14"/>
        <v>2264.987121158842</v>
      </c>
      <c r="R96" s="138">
        <f t="shared" si="14"/>
        <v>309.38816161072225</v>
      </c>
      <c r="S96" s="138">
        <f t="shared" si="14"/>
        <v>417.06611582763668</v>
      </c>
      <c r="T96" s="138">
        <f t="shared" si="14"/>
        <v>413.00378353061427</v>
      </c>
      <c r="U96" s="138">
        <f t="shared" si="14"/>
        <v>483.6657969860434</v>
      </c>
      <c r="V96" s="138">
        <f t="shared" si="14"/>
        <v>524.59311782316161</v>
      </c>
      <c r="W96" s="138">
        <f t="shared" si="14"/>
        <v>569.14658705431475</v>
      </c>
      <c r="X96" s="138">
        <f t="shared" si="14"/>
        <v>613.17405202624707</v>
      </c>
      <c r="Y96" s="138">
        <f t="shared" si="14"/>
        <v>666.10054818651543</v>
      </c>
      <c r="Z96" s="138">
        <f t="shared" si="14"/>
        <v>732.87709170069843</v>
      </c>
      <c r="AA96" s="138">
        <f t="shared" si="14"/>
        <v>795.92983198695265</v>
      </c>
      <c r="AB96" s="138">
        <f t="shared" si="14"/>
        <v>864.81513841778667</v>
      </c>
      <c r="AC96" s="138">
        <f t="shared" si="13"/>
        <v>940.11477397364081</v>
      </c>
      <c r="AG96" s="130"/>
      <c r="AH96" s="130"/>
      <c r="AI96" s="130"/>
    </row>
    <row r="97" spans="3:35" hidden="1" x14ac:dyDescent="0.4">
      <c r="C97" s="126" t="s">
        <v>559</v>
      </c>
      <c r="D97" s="209">
        <v>4.4220581954973765E-3</v>
      </c>
      <c r="E97" s="138"/>
      <c r="F97" s="138"/>
      <c r="G97" s="138">
        <v>963.6</v>
      </c>
      <c r="H97" s="138"/>
      <c r="I97" s="138"/>
      <c r="J97" s="138"/>
      <c r="K97" s="138">
        <v>222.05559799250679</v>
      </c>
      <c r="L97" s="138">
        <f t="shared" si="14"/>
        <v>139.26830080899438</v>
      </c>
      <c r="M97" s="138">
        <f t="shared" si="14"/>
        <v>147.68347755502589</v>
      </c>
      <c r="N97" s="138">
        <f t="shared" si="14"/>
        <v>233.50236095504346</v>
      </c>
      <c r="O97" s="138">
        <f t="shared" si="14"/>
        <v>299.66279449847502</v>
      </c>
      <c r="P97" s="138">
        <f t="shared" si="14"/>
        <v>213.22722412868799</v>
      </c>
      <c r="Q97" s="138">
        <f t="shared" si="14"/>
        <v>2218.9997559387339</v>
      </c>
      <c r="R97" s="138">
        <f t="shared" si="14"/>
        <v>303.10647186076437</v>
      </c>
      <c r="S97" s="138">
        <f t="shared" si="14"/>
        <v>408.59817726395761</v>
      </c>
      <c r="T97" s="138">
        <f t="shared" si="14"/>
        <v>404.61832488800997</v>
      </c>
      <c r="U97" s="138">
        <f t="shared" si="14"/>
        <v>473.84564593852139</v>
      </c>
      <c r="V97" s="138">
        <f t="shared" si="14"/>
        <v>513.94199531746449</v>
      </c>
      <c r="W97" s="138">
        <f t="shared" si="14"/>
        <v>557.59086926760449</v>
      </c>
      <c r="X97" s="138">
        <f t="shared" si="14"/>
        <v>600.72441873226285</v>
      </c>
      <c r="Y97" s="138">
        <f t="shared" si="14"/>
        <v>652.57631712285479</v>
      </c>
      <c r="Z97" s="138">
        <f t="shared" si="14"/>
        <v>717.9970572127994</v>
      </c>
      <c r="AA97" s="138">
        <f t="shared" si="14"/>
        <v>779.76960064116201</v>
      </c>
      <c r="AB97" s="138">
        <f t="shared" si="14"/>
        <v>847.25628819441363</v>
      </c>
      <c r="AC97" s="138">
        <f t="shared" si="13"/>
        <v>921.02707097715506</v>
      </c>
      <c r="AG97" s="130"/>
      <c r="AH97" s="130"/>
      <c r="AI97" s="130"/>
    </row>
    <row r="98" spans="3:35" hidden="1" x14ac:dyDescent="0.4">
      <c r="C98" s="126" t="s">
        <v>560</v>
      </c>
      <c r="D98" s="209">
        <v>4.3009059161686816E-3</v>
      </c>
      <c r="E98" s="138">
        <v>937.2</v>
      </c>
      <c r="F98" s="138"/>
      <c r="G98" s="138"/>
      <c r="H98" s="138"/>
      <c r="I98" s="138"/>
      <c r="J98" s="138"/>
      <c r="K98" s="138">
        <v>215.97188297901346</v>
      </c>
      <c r="L98" s="138">
        <f t="shared" si="14"/>
        <v>135.45273092381646</v>
      </c>
      <c r="M98" s="138">
        <f t="shared" si="14"/>
        <v>143.63735488228545</v>
      </c>
      <c r="N98" s="138">
        <f t="shared" si="14"/>
        <v>227.10503599737106</v>
      </c>
      <c r="O98" s="138">
        <f t="shared" si="14"/>
        <v>291.45285492317436</v>
      </c>
      <c r="P98" s="138">
        <f t="shared" si="14"/>
        <v>207.38538237173765</v>
      </c>
      <c r="Q98" s="138">
        <f t="shared" si="14"/>
        <v>2158.2052420773989</v>
      </c>
      <c r="R98" s="138">
        <f t="shared" si="14"/>
        <v>294.80218496046945</v>
      </c>
      <c r="S98" s="138">
        <f t="shared" si="14"/>
        <v>397.40370665398615</v>
      </c>
      <c r="T98" s="138">
        <f t="shared" si="14"/>
        <v>393.53289132943434</v>
      </c>
      <c r="U98" s="138">
        <f t="shared" si="14"/>
        <v>460.86357344705505</v>
      </c>
      <c r="V98" s="138">
        <f t="shared" si="14"/>
        <v>499.86139270602717</v>
      </c>
      <c r="W98" s="138">
        <f t="shared" si="14"/>
        <v>542.31440709588935</v>
      </c>
      <c r="X98" s="138">
        <f t="shared" si="14"/>
        <v>584.26621547932416</v>
      </c>
      <c r="Y98" s="138">
        <f t="shared" si="14"/>
        <v>634.69751391400951</v>
      </c>
      <c r="Z98" s="138">
        <f t="shared" si="14"/>
        <v>698.32590496039393</v>
      </c>
      <c r="AA98" s="138">
        <f t="shared" si="14"/>
        <v>758.40604993866441</v>
      </c>
      <c r="AB98" s="138">
        <f t="shared" si="14"/>
        <v>824.04378714799134</v>
      </c>
      <c r="AC98" s="138">
        <f t="shared" si="13"/>
        <v>895.79345259421939</v>
      </c>
      <c r="AG98" s="130"/>
      <c r="AH98" s="130"/>
      <c r="AI98" s="130"/>
    </row>
    <row r="99" spans="3:35" hidden="1" x14ac:dyDescent="0.4">
      <c r="C99" s="126" t="s">
        <v>561</v>
      </c>
      <c r="D99" s="209">
        <v>4.0013293709195439E-3</v>
      </c>
      <c r="E99" s="138">
        <v>871.92</v>
      </c>
      <c r="F99" s="138"/>
      <c r="G99" s="138"/>
      <c r="H99" s="138"/>
      <c r="I99" s="138"/>
      <c r="J99" s="138"/>
      <c r="K99" s="138">
        <v>200.92851494564812</v>
      </c>
      <c r="L99" s="138">
        <f t="shared" si="14"/>
        <v>126.01786720774011</v>
      </c>
      <c r="M99" s="138">
        <f t="shared" si="14"/>
        <v>133.63239700060001</v>
      </c>
      <c r="N99" s="138">
        <f t="shared" si="14"/>
        <v>211.2861961020356</v>
      </c>
      <c r="O99" s="138">
        <f t="shared" si="14"/>
        <v>271.1519134278854</v>
      </c>
      <c r="P99" s="138">
        <f t="shared" si="14"/>
        <v>192.94010093636948</v>
      </c>
      <c r="Q99" s="138">
        <f t="shared" si="14"/>
        <v>2007.8769896202789</v>
      </c>
      <c r="R99" s="138">
        <f t="shared" si="14"/>
        <v>274.26794826155839</v>
      </c>
      <c r="S99" s="138">
        <f t="shared" si="14"/>
        <v>369.72283387296585</v>
      </c>
      <c r="T99" s="138">
        <f t="shared" si="14"/>
        <v>366.12163743913828</v>
      </c>
      <c r="U99" s="138">
        <f t="shared" si="14"/>
        <v>428.76244874088371</v>
      </c>
      <c r="V99" s="138">
        <f t="shared" si="14"/>
        <v>465.04390261229105</v>
      </c>
      <c r="W99" s="138">
        <f t="shared" si="14"/>
        <v>504.53988245310262</v>
      </c>
      <c r="X99" s="138">
        <f t="shared" si="14"/>
        <v>543.5695674356939</v>
      </c>
      <c r="Y99" s="138">
        <f t="shared" si="14"/>
        <v>590.48810961577374</v>
      </c>
      <c r="Z99" s="138">
        <f t="shared" si="14"/>
        <v>649.68451029990035</v>
      </c>
      <c r="AA99" s="138">
        <f t="shared" si="14"/>
        <v>705.57981547430666</v>
      </c>
      <c r="AB99" s="138">
        <f t="shared" si="14"/>
        <v>766.64560274229257</v>
      </c>
      <c r="AC99" s="138">
        <f t="shared" si="13"/>
        <v>833.39759622914187</v>
      </c>
      <c r="AG99" s="130"/>
      <c r="AH99" s="130"/>
      <c r="AI99" s="130"/>
    </row>
    <row r="100" spans="3:35" hidden="1" x14ac:dyDescent="0.4">
      <c r="C100" s="126" t="s">
        <v>562</v>
      </c>
      <c r="D100" s="209">
        <v>3.7071679654282798E-3</v>
      </c>
      <c r="E100" s="138">
        <v>109.94</v>
      </c>
      <c r="F100" s="138">
        <v>167.3</v>
      </c>
      <c r="G100" s="138"/>
      <c r="H100" s="138">
        <v>301.14</v>
      </c>
      <c r="I100" s="138">
        <v>66.92</v>
      </c>
      <c r="J100" s="138">
        <v>162.52000000000001</v>
      </c>
      <c r="K100" s="138">
        <v>186.15707053788586</v>
      </c>
      <c r="L100" s="138">
        <f t="shared" si="14"/>
        <v>116.75354790319824</v>
      </c>
      <c r="M100" s="138">
        <f t="shared" si="14"/>
        <v>123.80828854140826</v>
      </c>
      <c r="N100" s="138">
        <f t="shared" si="14"/>
        <v>195.75329724647489</v>
      </c>
      <c r="O100" s="138">
        <f t="shared" si="14"/>
        <v>251.21793135300757</v>
      </c>
      <c r="P100" s="138">
        <f t="shared" si="14"/>
        <v>178.75593212498623</v>
      </c>
      <c r="Q100" s="138">
        <f t="shared" si="14"/>
        <v>1860.2660677069612</v>
      </c>
      <c r="R100" s="138">
        <f t="shared" si="14"/>
        <v>254.10488802258473</v>
      </c>
      <c r="S100" s="138">
        <f t="shared" si="14"/>
        <v>342.54232000557306</v>
      </c>
      <c r="T100" s="138">
        <f t="shared" si="14"/>
        <v>339.20586883668761</v>
      </c>
      <c r="U100" s="138">
        <f t="shared" si="14"/>
        <v>397.24158333546734</v>
      </c>
      <c r="V100" s="138">
        <f t="shared" si="14"/>
        <v>430.85577278679347</v>
      </c>
      <c r="W100" s="138">
        <f t="shared" si="14"/>
        <v>467.44816937708197</v>
      </c>
      <c r="X100" s="138">
        <f t="shared" si="14"/>
        <v>503.60855120412674</v>
      </c>
      <c r="Y100" s="138">
        <f t="shared" si="14"/>
        <v>547.0778336427818</v>
      </c>
      <c r="Z100" s="138">
        <f t="shared" si="14"/>
        <v>601.92235653553712</v>
      </c>
      <c r="AA100" s="138">
        <f t="shared" si="14"/>
        <v>653.70846698831815</v>
      </c>
      <c r="AB100" s="138">
        <f t="shared" si="14"/>
        <v>710.28494679245648</v>
      </c>
      <c r="AC100" s="138">
        <f t="shared" si="13"/>
        <v>772.12960614027122</v>
      </c>
      <c r="AG100" s="130"/>
      <c r="AH100" s="130"/>
      <c r="AI100" s="130"/>
    </row>
    <row r="101" spans="3:35" hidden="1" x14ac:dyDescent="0.4">
      <c r="C101" s="126" t="s">
        <v>563</v>
      </c>
      <c r="D101" s="209">
        <v>3.5499453483903596E-3</v>
      </c>
      <c r="E101" s="138">
        <v>159.15</v>
      </c>
      <c r="F101" s="138">
        <v>236.79000000000002</v>
      </c>
      <c r="G101" s="138">
        <v>43.019999999999996</v>
      </c>
      <c r="H101" s="138">
        <v>76.47999999999999</v>
      </c>
      <c r="I101" s="138">
        <v>114.72</v>
      </c>
      <c r="J101" s="138">
        <v>143.4</v>
      </c>
      <c r="K101" s="138">
        <v>178.2620676453752</v>
      </c>
      <c r="L101" s="138">
        <f t="shared" si="14"/>
        <v>111.80197880220598</v>
      </c>
      <c r="M101" s="138">
        <f t="shared" si="14"/>
        <v>118.55752480019284</v>
      </c>
      <c r="N101" s="138">
        <f t="shared" si="14"/>
        <v>187.45131417640454</v>
      </c>
      <c r="O101" s="138">
        <f t="shared" si="14"/>
        <v>240.56366885869693</v>
      </c>
      <c r="P101" s="138">
        <f t="shared" si="14"/>
        <v>171.17481475403474</v>
      </c>
      <c r="Q101" s="138">
        <f t="shared" si="14"/>
        <v>1781.3713690369104</v>
      </c>
      <c r="R101" s="138">
        <f t="shared" si="14"/>
        <v>243.3281884315202</v>
      </c>
      <c r="S101" s="138">
        <f t="shared" si="14"/>
        <v>328.01495019126924</v>
      </c>
      <c r="T101" s="138">
        <f t="shared" si="14"/>
        <v>324.81999937771792</v>
      </c>
      <c r="U101" s="138">
        <f t="shared" si="14"/>
        <v>380.39439380676896</v>
      </c>
      <c r="V101" s="138">
        <f t="shared" si="14"/>
        <v>412.58299076149632</v>
      </c>
      <c r="W101" s="138">
        <f t="shared" si="14"/>
        <v>447.62348778606071</v>
      </c>
      <c r="X101" s="138">
        <f t="shared" si="14"/>
        <v>482.25029198269948</v>
      </c>
      <c r="Y101" s="138">
        <f t="shared" si="14"/>
        <v>523.87602311493936</v>
      </c>
      <c r="Z101" s="138">
        <f t="shared" si="14"/>
        <v>576.39456577162002</v>
      </c>
      <c r="AA101" s="138">
        <f t="shared" si="14"/>
        <v>625.98440459939525</v>
      </c>
      <c r="AB101" s="138">
        <f t="shared" si="14"/>
        <v>680.16145111630408</v>
      </c>
      <c r="AC101" s="138">
        <f t="shared" si="13"/>
        <v>739.38325137514335</v>
      </c>
      <c r="AG101" s="130"/>
      <c r="AH101" s="130"/>
      <c r="AI101" s="130"/>
    </row>
    <row r="102" spans="3:35" hidden="1" x14ac:dyDescent="0.4">
      <c r="C102" s="126" t="s">
        <v>564</v>
      </c>
      <c r="D102" s="209">
        <v>3.535443787682834E-3</v>
      </c>
      <c r="E102" s="138">
        <v>385.2</v>
      </c>
      <c r="F102" s="138"/>
      <c r="G102" s="138"/>
      <c r="H102" s="138"/>
      <c r="I102" s="138">
        <v>385.2</v>
      </c>
      <c r="J102" s="138"/>
      <c r="K102" s="138">
        <v>177.5338653937601</v>
      </c>
      <c r="L102" s="138">
        <f t="shared" si="14"/>
        <v>111.34526664928318</v>
      </c>
      <c r="M102" s="138">
        <f t="shared" si="14"/>
        <v>118.07321617724361</v>
      </c>
      <c r="N102" s="138">
        <f t="shared" si="14"/>
        <v>186.68557376480436</v>
      </c>
      <c r="O102" s="138">
        <f t="shared" si="14"/>
        <v>239.58096397013819</v>
      </c>
      <c r="P102" s="138">
        <f t="shared" si="14"/>
        <v>170.47556399827857</v>
      </c>
      <c r="Q102" s="138">
        <f t="shared" si="14"/>
        <v>1774.0944499535083</v>
      </c>
      <c r="R102" s="138">
        <f t="shared" si="14"/>
        <v>242.33419045406066</v>
      </c>
      <c r="S102" s="138">
        <f t="shared" si="14"/>
        <v>326.67500598189383</v>
      </c>
      <c r="T102" s="138">
        <f t="shared" si="14"/>
        <v>323.49310657297929</v>
      </c>
      <c r="U102" s="138">
        <f t="shared" si="14"/>
        <v>378.84047906915407</v>
      </c>
      <c r="V102" s="138">
        <f t="shared" si="14"/>
        <v>410.89758529740004</v>
      </c>
      <c r="W102" s="138">
        <f t="shared" si="14"/>
        <v>445.79494155641601</v>
      </c>
      <c r="X102" s="138">
        <f t="shared" si="14"/>
        <v>480.28029492666593</v>
      </c>
      <c r="Y102" s="138">
        <f t="shared" si="14"/>
        <v>521.73598454903208</v>
      </c>
      <c r="Z102" s="138">
        <f t="shared" si="14"/>
        <v>574.0399884565594</v>
      </c>
      <c r="AA102" s="138">
        <f t="shared" si="14"/>
        <v>623.42725231833867</v>
      </c>
      <c r="AB102" s="138">
        <f t="shared" si="14"/>
        <v>677.38298508195953</v>
      </c>
      <c r="AC102" s="138">
        <f t="shared" si="13"/>
        <v>736.36286372021618</v>
      </c>
      <c r="AG102" s="130"/>
      <c r="AH102" s="130"/>
      <c r="AI102" s="130"/>
    </row>
    <row r="103" spans="3:35" hidden="1" x14ac:dyDescent="0.4">
      <c r="C103" s="126" t="s">
        <v>565</v>
      </c>
      <c r="D103" s="209">
        <v>3.5083680888934664E-3</v>
      </c>
      <c r="E103" s="138"/>
      <c r="F103" s="138"/>
      <c r="G103" s="138">
        <v>764.5</v>
      </c>
      <c r="H103" s="138"/>
      <c r="I103" s="138"/>
      <c r="J103" s="138"/>
      <c r="K103" s="138">
        <v>176.17424726574453</v>
      </c>
      <c r="L103" s="138">
        <f t="shared" si="14"/>
        <v>110.49254459161082</v>
      </c>
      <c r="M103" s="138">
        <f t="shared" si="14"/>
        <v>117.1689690647751</v>
      </c>
      <c r="N103" s="138">
        <f t="shared" si="14"/>
        <v>185.2558685659306</v>
      </c>
      <c r="O103" s="138">
        <f t="shared" si="14"/>
        <v>237.74616686808235</v>
      </c>
      <c r="P103" s="138">
        <f t="shared" si="14"/>
        <v>169.17000087835405</v>
      </c>
      <c r="Q103" s="138">
        <f t="shared" si="14"/>
        <v>1760.5077972344977</v>
      </c>
      <c r="R103" s="138">
        <f t="shared" si="14"/>
        <v>240.47830815437354</v>
      </c>
      <c r="S103" s="138">
        <f t="shared" si="14"/>
        <v>324.17321141375629</v>
      </c>
      <c r="T103" s="138">
        <f t="shared" si="14"/>
        <v>321.0156801337522</v>
      </c>
      <c r="U103" s="138">
        <f t="shared" si="14"/>
        <v>375.93918256537938</v>
      </c>
      <c r="V103" s="138">
        <f t="shared" si="14"/>
        <v>407.75078395620756</v>
      </c>
      <c r="W103" s="138">
        <f t="shared" si="14"/>
        <v>442.38088372258574</v>
      </c>
      <c r="X103" s="138">
        <f t="shared" si="14"/>
        <v>476.60213586635007</v>
      </c>
      <c r="Y103" s="138">
        <f t="shared" si="14"/>
        <v>517.74034292281283</v>
      </c>
      <c r="Z103" s="138">
        <f t="shared" si="14"/>
        <v>569.64378397590815</v>
      </c>
      <c r="AA103" s="138">
        <f t="shared" si="14"/>
        <v>618.65282242649266</v>
      </c>
      <c r="AB103" s="138">
        <f t="shared" si="14"/>
        <v>672.19534280264543</v>
      </c>
      <c r="AC103" s="138">
        <f t="shared" si="13"/>
        <v>730.72353233918125</v>
      </c>
      <c r="AG103" s="130"/>
      <c r="AH103" s="130"/>
      <c r="AI103" s="130"/>
    </row>
    <row r="104" spans="3:35" hidden="1" x14ac:dyDescent="0.4">
      <c r="C104" s="126" t="s">
        <v>566</v>
      </c>
      <c r="D104" s="209">
        <v>3.2646867997891587E-3</v>
      </c>
      <c r="E104" s="138"/>
      <c r="F104" s="138"/>
      <c r="G104" s="138"/>
      <c r="H104" s="138">
        <v>236.85</v>
      </c>
      <c r="I104" s="138"/>
      <c r="J104" s="138">
        <v>474.54999999999995</v>
      </c>
      <c r="K104" s="138">
        <v>163.93768411360452</v>
      </c>
      <c r="L104" s="138">
        <f t="shared" si="14"/>
        <v>102.81804607255977</v>
      </c>
      <c r="M104" s="138">
        <f t="shared" si="14"/>
        <v>109.03074505255853</v>
      </c>
      <c r="N104" s="138">
        <f t="shared" si="14"/>
        <v>172.38852177606674</v>
      </c>
      <c r="O104" s="138">
        <f t="shared" si="14"/>
        <v>221.23299294957982</v>
      </c>
      <c r="P104" s="138">
        <f t="shared" si="14"/>
        <v>157.41993279903343</v>
      </c>
      <c r="Q104" s="138">
        <f t="shared" si="14"/>
        <v>1638.2279227634028</v>
      </c>
      <c r="R104" s="138">
        <f t="shared" si="14"/>
        <v>223.77536745718942</v>
      </c>
      <c r="S104" s="138">
        <f t="shared" si="14"/>
        <v>301.65706030051825</v>
      </c>
      <c r="T104" s="138">
        <f t="shared" si="14"/>
        <v>298.71884218070801</v>
      </c>
      <c r="U104" s="138">
        <f t="shared" si="14"/>
        <v>349.8275140314073</v>
      </c>
      <c r="V104" s="138">
        <f t="shared" si="14"/>
        <v>379.42957188547553</v>
      </c>
      <c r="W104" s="138">
        <f t="shared" si="14"/>
        <v>411.65436321811308</v>
      </c>
      <c r="X104" s="138">
        <f t="shared" si="14"/>
        <v>443.49870432350741</v>
      </c>
      <c r="Y104" s="138">
        <f t="shared" si="14"/>
        <v>481.77956828683983</v>
      </c>
      <c r="Z104" s="138">
        <f t="shared" si="14"/>
        <v>530.07794365004713</v>
      </c>
      <c r="AA104" s="138">
        <f t="shared" si="14"/>
        <v>575.6829533998781</v>
      </c>
      <c r="AB104" s="138">
        <f t="shared" si="14"/>
        <v>625.50656228881871</v>
      </c>
      <c r="AC104" s="138">
        <f t="shared" si="13"/>
        <v>679.96954990986717</v>
      </c>
      <c r="AG104" s="130"/>
      <c r="AH104" s="130"/>
      <c r="AI104" s="130"/>
    </row>
    <row r="105" spans="3:35" hidden="1" x14ac:dyDescent="0.4">
      <c r="C105" s="126" t="s">
        <v>567</v>
      </c>
      <c r="D105" s="209">
        <v>3.1818994089145504E-3</v>
      </c>
      <c r="E105" s="138"/>
      <c r="F105" s="138"/>
      <c r="G105" s="138"/>
      <c r="H105" s="138"/>
      <c r="I105" s="138">
        <v>693.36</v>
      </c>
      <c r="J105" s="138"/>
      <c r="K105" s="138">
        <v>159.78047885438409</v>
      </c>
      <c r="L105" s="138">
        <f t="shared" ref="L105:AB119" si="15">+L$58*$D105</f>
        <v>100.21073998435484</v>
      </c>
      <c r="M105" s="138">
        <f t="shared" si="15"/>
        <v>106.26589455951924</v>
      </c>
      <c r="N105" s="138">
        <f t="shared" si="15"/>
        <v>168.01701638832392</v>
      </c>
      <c r="O105" s="138">
        <f t="shared" si="15"/>
        <v>215.62286757312435</v>
      </c>
      <c r="P105" s="138">
        <f t="shared" si="15"/>
        <v>153.42800759845071</v>
      </c>
      <c r="Q105" s="138">
        <f t="shared" si="15"/>
        <v>1596.6850049581574</v>
      </c>
      <c r="R105" s="138">
        <f t="shared" si="15"/>
        <v>218.10077140865459</v>
      </c>
      <c r="S105" s="138">
        <f t="shared" si="15"/>
        <v>294.00750538370448</v>
      </c>
      <c r="T105" s="138">
        <f t="shared" si="15"/>
        <v>291.14379591568138</v>
      </c>
      <c r="U105" s="138">
        <f t="shared" si="15"/>
        <v>340.95643116223863</v>
      </c>
      <c r="V105" s="138">
        <f t="shared" si="15"/>
        <v>369.80782676766</v>
      </c>
      <c r="W105" s="138">
        <f t="shared" si="15"/>
        <v>401.21544740077439</v>
      </c>
      <c r="X105" s="138">
        <f t="shared" si="15"/>
        <v>432.2522654339993</v>
      </c>
      <c r="Y105" s="138">
        <f t="shared" si="15"/>
        <v>469.5623860941289</v>
      </c>
      <c r="Z105" s="138">
        <f t="shared" si="15"/>
        <v>516.63598961090338</v>
      </c>
      <c r="AA105" s="138">
        <f t="shared" si="15"/>
        <v>561.08452708650475</v>
      </c>
      <c r="AB105" s="138">
        <f t="shared" si="15"/>
        <v>609.64468657376358</v>
      </c>
      <c r="AC105" s="138">
        <f t="shared" ref="AC105:AC120" si="16">+AC$58*$D105</f>
        <v>662.7265773481945</v>
      </c>
      <c r="AG105" s="130"/>
      <c r="AH105" s="130"/>
      <c r="AI105" s="130"/>
    </row>
    <row r="106" spans="3:35" hidden="1" x14ac:dyDescent="0.4">
      <c r="C106" s="126" t="s">
        <v>568</v>
      </c>
      <c r="D106" s="209">
        <v>3.1360083940173175E-3</v>
      </c>
      <c r="E106" s="138">
        <v>169.23999999999998</v>
      </c>
      <c r="F106" s="138">
        <v>64.66</v>
      </c>
      <c r="G106" s="138">
        <v>107.34</v>
      </c>
      <c r="H106" s="138">
        <v>116.76</v>
      </c>
      <c r="I106" s="138">
        <v>40.799999999999997</v>
      </c>
      <c r="J106" s="138">
        <v>184.56</v>
      </c>
      <c r="K106" s="138">
        <v>157.47604134927298</v>
      </c>
      <c r="L106" s="138">
        <f t="shared" si="15"/>
        <v>98.765448361181399</v>
      </c>
      <c r="M106" s="138">
        <f t="shared" si="15"/>
        <v>104.73327233499636</v>
      </c>
      <c r="N106" s="138">
        <f t="shared" si="15"/>
        <v>165.59378723769044</v>
      </c>
      <c r="O106" s="138">
        <f t="shared" si="15"/>
        <v>212.51304197641957</v>
      </c>
      <c r="P106" s="138">
        <f t="shared" si="15"/>
        <v>151.21518875112102</v>
      </c>
      <c r="Q106" s="138">
        <f t="shared" si="15"/>
        <v>1573.656780010682</v>
      </c>
      <c r="R106" s="138">
        <f t="shared" si="15"/>
        <v>214.95520818884592</v>
      </c>
      <c r="S106" s="138">
        <f t="shared" si="15"/>
        <v>289.76717560720016</v>
      </c>
      <c r="T106" s="138">
        <f t="shared" si="15"/>
        <v>286.94476805258455</v>
      </c>
      <c r="U106" s="138">
        <f t="shared" si="15"/>
        <v>336.03897946092565</v>
      </c>
      <c r="V106" s="138">
        <f t="shared" si="15"/>
        <v>364.4742651724186</v>
      </c>
      <c r="W106" s="138">
        <f t="shared" si="15"/>
        <v>395.42890869936713</v>
      </c>
      <c r="X106" s="138">
        <f t="shared" si="15"/>
        <v>426.01809753515892</v>
      </c>
      <c r="Y106" s="138">
        <f t="shared" si="15"/>
        <v>462.79011215138445</v>
      </c>
      <c r="Z106" s="138">
        <f t="shared" si="15"/>
        <v>509.18479557590138</v>
      </c>
      <c r="AA106" s="138">
        <f t="shared" si="15"/>
        <v>552.99227303252849</v>
      </c>
      <c r="AB106" s="138">
        <f t="shared" si="15"/>
        <v>600.85207254102784</v>
      </c>
      <c r="AC106" s="138">
        <f t="shared" si="16"/>
        <v>653.16838856677941</v>
      </c>
      <c r="AG106" s="130"/>
      <c r="AH106" s="130"/>
      <c r="AI106" s="130"/>
    </row>
    <row r="107" spans="3:35" hidden="1" x14ac:dyDescent="0.4">
      <c r="C107" s="126" t="s">
        <v>569</v>
      </c>
      <c r="D107" s="209">
        <v>2.9920941712995946E-3</v>
      </c>
      <c r="E107" s="138"/>
      <c r="F107" s="138"/>
      <c r="G107" s="138"/>
      <c r="H107" s="138"/>
      <c r="I107" s="138"/>
      <c r="J107" s="138">
        <v>652</v>
      </c>
      <c r="K107" s="138">
        <v>150.24932533324451</v>
      </c>
      <c r="L107" s="138">
        <f t="shared" si="15"/>
        <v>94.233013830909428</v>
      </c>
      <c r="M107" s="138">
        <f t="shared" si="15"/>
        <v>99.926969038892565</v>
      </c>
      <c r="N107" s="138">
        <f t="shared" si="15"/>
        <v>157.9945406213038</v>
      </c>
      <c r="O107" s="138">
        <f t="shared" si="15"/>
        <v>202.76062890515328</v>
      </c>
      <c r="P107" s="138">
        <f t="shared" si="15"/>
        <v>144.27578884589516</v>
      </c>
      <c r="Q107" s="138">
        <f t="shared" si="15"/>
        <v>1501.4402665753989</v>
      </c>
      <c r="R107" s="138">
        <f t="shared" si="15"/>
        <v>205.09072193152588</v>
      </c>
      <c r="S107" s="138">
        <f t="shared" si="15"/>
        <v>276.46950142808254</v>
      </c>
      <c r="T107" s="138">
        <f t="shared" si="15"/>
        <v>273.77661667391288</v>
      </c>
      <c r="U107" s="138">
        <f t="shared" si="15"/>
        <v>320.61785092560808</v>
      </c>
      <c r="V107" s="138">
        <f t="shared" si="15"/>
        <v>347.74821600974144</v>
      </c>
      <c r="W107" s="138">
        <f t="shared" si="15"/>
        <v>377.28232333175396</v>
      </c>
      <c r="X107" s="138">
        <f t="shared" si="15"/>
        <v>406.46774700439533</v>
      </c>
      <c r="Y107" s="138">
        <f t="shared" si="15"/>
        <v>441.55226106693783</v>
      </c>
      <c r="Z107" s="138">
        <f t="shared" si="15"/>
        <v>485.81785108213489</v>
      </c>
      <c r="AA107" s="138">
        <f t="shared" si="15"/>
        <v>527.61496431925855</v>
      </c>
      <c r="AB107" s="138">
        <f t="shared" si="15"/>
        <v>573.27843493436865</v>
      </c>
      <c r="AC107" s="138">
        <f t="shared" si="16"/>
        <v>623.19390854826179</v>
      </c>
      <c r="AG107" s="130"/>
      <c r="AH107" s="130"/>
      <c r="AI107" s="130"/>
    </row>
    <row r="108" spans="3:35" hidden="1" x14ac:dyDescent="0.4">
      <c r="C108" s="126" t="s">
        <v>570</v>
      </c>
      <c r="D108" s="209">
        <v>2.5674646104554976E-3</v>
      </c>
      <c r="E108" s="138">
        <v>226.61</v>
      </c>
      <c r="F108" s="138">
        <v>52.2</v>
      </c>
      <c r="G108" s="138">
        <v>70</v>
      </c>
      <c r="H108" s="138">
        <v>63.44</v>
      </c>
      <c r="I108" s="138"/>
      <c r="J108" s="138">
        <v>147.22</v>
      </c>
      <c r="K108" s="138">
        <v>128.92636509845141</v>
      </c>
      <c r="L108" s="138">
        <f t="shared" si="15"/>
        <v>80.859730441685443</v>
      </c>
      <c r="M108" s="138">
        <f t="shared" si="15"/>
        <v>85.745615595382247</v>
      </c>
      <c r="N108" s="138">
        <f t="shared" si="15"/>
        <v>135.57240129049208</v>
      </c>
      <c r="O108" s="138">
        <f t="shared" si="15"/>
        <v>173.98541265884376</v>
      </c>
      <c r="P108" s="138">
        <f t="shared" si="15"/>
        <v>123.80057605155363</v>
      </c>
      <c r="Q108" s="138">
        <f t="shared" si="15"/>
        <v>1288.3601011364087</v>
      </c>
      <c r="R108" s="138">
        <f t="shared" si="15"/>
        <v>175.98482545863621</v>
      </c>
      <c r="S108" s="138">
        <f t="shared" si="15"/>
        <v>237.23373000608797</v>
      </c>
      <c r="T108" s="138">
        <f t="shared" si="15"/>
        <v>234.92301185667802</v>
      </c>
      <c r="U108" s="138">
        <f t="shared" si="15"/>
        <v>275.11667033335885</v>
      </c>
      <c r="V108" s="138">
        <f t="shared" si="15"/>
        <v>298.3967705689725</v>
      </c>
      <c r="W108" s="138">
        <f t="shared" si="15"/>
        <v>323.7394807276325</v>
      </c>
      <c r="X108" s="138">
        <f t="shared" si="15"/>
        <v>348.78299143642499</v>
      </c>
      <c r="Y108" s="138">
        <f t="shared" si="15"/>
        <v>378.88841027472353</v>
      </c>
      <c r="Z108" s="138">
        <f t="shared" si="15"/>
        <v>416.87195267626078</v>
      </c>
      <c r="AA108" s="138">
        <f t="shared" si="15"/>
        <v>452.73733755781541</v>
      </c>
      <c r="AB108" s="138">
        <f t="shared" si="15"/>
        <v>491.92037728946514</v>
      </c>
      <c r="AC108" s="138">
        <f t="shared" si="16"/>
        <v>534.7519877538283</v>
      </c>
      <c r="AG108" s="130"/>
      <c r="AH108" s="130"/>
      <c r="AI108" s="130"/>
    </row>
    <row r="109" spans="3:35" hidden="1" x14ac:dyDescent="0.4">
      <c r="C109" s="126" t="s">
        <v>571</v>
      </c>
      <c r="D109" s="209">
        <v>2.2746799354111504E-3</v>
      </c>
      <c r="E109" s="138">
        <v>15</v>
      </c>
      <c r="F109" s="138">
        <v>78.78</v>
      </c>
      <c r="G109" s="138">
        <v>-44.7</v>
      </c>
      <c r="H109" s="138">
        <v>115.2</v>
      </c>
      <c r="I109" s="138">
        <v>148.69</v>
      </c>
      <c r="J109" s="138">
        <v>182.7</v>
      </c>
      <c r="K109" s="138">
        <v>114.22405381584251</v>
      </c>
      <c r="L109" s="138">
        <f t="shared" si="15"/>
        <v>71.638769885838769</v>
      </c>
      <c r="M109" s="138">
        <f t="shared" si="15"/>
        <v>75.967485802926191</v>
      </c>
      <c r="N109" s="138">
        <f t="shared" si="15"/>
        <v>120.11219930945039</v>
      </c>
      <c r="O109" s="138">
        <f t="shared" si="15"/>
        <v>154.14472535186707</v>
      </c>
      <c r="P109" s="138">
        <f t="shared" si="15"/>
        <v>109.68279180559026</v>
      </c>
      <c r="Q109" s="138">
        <f t="shared" si="15"/>
        <v>1141.4400259715153</v>
      </c>
      <c r="R109" s="138">
        <f t="shared" si="15"/>
        <v>155.91613211625682</v>
      </c>
      <c r="S109" s="138">
        <f t="shared" si="15"/>
        <v>210.18042603199029</v>
      </c>
      <c r="T109" s="138">
        <f t="shared" si="15"/>
        <v>208.13321409012025</v>
      </c>
      <c r="U109" s="138">
        <f t="shared" si="15"/>
        <v>243.74332847898182</v>
      </c>
      <c r="V109" s="138">
        <f t="shared" si="15"/>
        <v>264.36864759133215</v>
      </c>
      <c r="W109" s="138">
        <f t="shared" si="15"/>
        <v>286.82136381265411</v>
      </c>
      <c r="X109" s="138">
        <f t="shared" si="15"/>
        <v>309.00900024182306</v>
      </c>
      <c r="Y109" s="138">
        <f t="shared" si="15"/>
        <v>335.68130252001396</v>
      </c>
      <c r="Z109" s="138">
        <f t="shared" si="15"/>
        <v>369.33333473294755</v>
      </c>
      <c r="AA109" s="138">
        <f t="shared" si="15"/>
        <v>401.1087566934462</v>
      </c>
      <c r="AB109" s="138">
        <f t="shared" si="15"/>
        <v>435.82349976061118</v>
      </c>
      <c r="AC109" s="138">
        <f t="shared" si="16"/>
        <v>473.77074332840021</v>
      </c>
      <c r="AG109" s="130"/>
      <c r="AH109" s="130"/>
      <c r="AI109" s="130"/>
    </row>
    <row r="110" spans="3:35" hidden="1" x14ac:dyDescent="0.4">
      <c r="C110" s="126" t="s">
        <v>572</v>
      </c>
      <c r="D110" s="209">
        <v>2.174912869024566E-3</v>
      </c>
      <c r="E110" s="138">
        <v>69.63</v>
      </c>
      <c r="F110" s="138">
        <v>106.75999999999999</v>
      </c>
      <c r="G110" s="138">
        <v>105.69</v>
      </c>
      <c r="H110" s="138">
        <v>100.54</v>
      </c>
      <c r="I110" s="138">
        <v>72.960000000000008</v>
      </c>
      <c r="J110" s="138">
        <v>18.350000000000001</v>
      </c>
      <c r="K110" s="138">
        <v>109.21420667973096</v>
      </c>
      <c r="L110" s="138">
        <f t="shared" si="15"/>
        <v>68.496705897059684</v>
      </c>
      <c r="M110" s="138">
        <f t="shared" si="15"/>
        <v>72.635565086813429</v>
      </c>
      <c r="N110" s="138">
        <f t="shared" si="15"/>
        <v>114.84409913597318</v>
      </c>
      <c r="O110" s="138">
        <f t="shared" si="15"/>
        <v>147.38396450463085</v>
      </c>
      <c r="P110" s="138">
        <f t="shared" si="15"/>
        <v>104.87212363149555</v>
      </c>
      <c r="Q110" s="138">
        <f t="shared" si="15"/>
        <v>1091.376664935704</v>
      </c>
      <c r="R110" s="138">
        <f t="shared" si="15"/>
        <v>149.07767767639277</v>
      </c>
      <c r="S110" s="138">
        <f t="shared" si="15"/>
        <v>200.9619490978699</v>
      </c>
      <c r="T110" s="138">
        <f t="shared" si="15"/>
        <v>199.00452751574778</v>
      </c>
      <c r="U110" s="138">
        <f t="shared" si="15"/>
        <v>233.05278848032737</v>
      </c>
      <c r="V110" s="138">
        <f t="shared" si="15"/>
        <v>252.77348468327727</v>
      </c>
      <c r="W110" s="138">
        <f t="shared" si="15"/>
        <v>274.24142867579474</v>
      </c>
      <c r="X110" s="138">
        <f t="shared" si="15"/>
        <v>295.45591922974404</v>
      </c>
      <c r="Y110" s="138">
        <f t="shared" si="15"/>
        <v>320.95837896848758</v>
      </c>
      <c r="Z110" s="138">
        <f t="shared" si="15"/>
        <v>353.13443890085307</v>
      </c>
      <c r="AA110" s="138">
        <f t="shared" si="15"/>
        <v>383.51619638010163</v>
      </c>
      <c r="AB110" s="138">
        <f t="shared" si="15"/>
        <v>416.70835685344383</v>
      </c>
      <c r="AC110" s="138">
        <f t="shared" si="16"/>
        <v>452.99124091760393</v>
      </c>
      <c r="AG110" s="130"/>
      <c r="AH110" s="130"/>
      <c r="AI110" s="130"/>
    </row>
    <row r="111" spans="3:35" hidden="1" x14ac:dyDescent="0.4">
      <c r="C111" s="126" t="s">
        <v>573</v>
      </c>
      <c r="D111" s="209">
        <v>2.0127799133926416E-3</v>
      </c>
      <c r="E111" s="138">
        <v>162.52000000000001</v>
      </c>
      <c r="F111" s="138">
        <v>32.299999999999997</v>
      </c>
      <c r="G111" s="138">
        <v>14.34</v>
      </c>
      <c r="H111" s="138"/>
      <c r="I111" s="138">
        <v>95.6</v>
      </c>
      <c r="J111" s="138">
        <v>133.84</v>
      </c>
      <c r="K111" s="138">
        <v>101.0726289741734</v>
      </c>
      <c r="L111" s="138">
        <f t="shared" si="15"/>
        <v>63.390490592387856</v>
      </c>
      <c r="M111" s="138">
        <f t="shared" si="15"/>
        <v>67.220810767574051</v>
      </c>
      <c r="N111" s="138">
        <f t="shared" si="15"/>
        <v>106.28283054678505</v>
      </c>
      <c r="O111" s="138">
        <f t="shared" si="15"/>
        <v>136.39695067147278</v>
      </c>
      <c r="P111" s="138">
        <f t="shared" si="15"/>
        <v>97.054234643879781</v>
      </c>
      <c r="Q111" s="138">
        <f t="shared" si="15"/>
        <v>1010.0179461962731</v>
      </c>
      <c r="R111" s="138">
        <f t="shared" si="15"/>
        <v>137.96440282080869</v>
      </c>
      <c r="S111" s="138">
        <f t="shared" si="15"/>
        <v>185.98086399748007</v>
      </c>
      <c r="T111" s="138">
        <f t="shared" si="15"/>
        <v>184.1693620754267</v>
      </c>
      <c r="U111" s="138">
        <f t="shared" si="15"/>
        <v>215.67943161958851</v>
      </c>
      <c r="V111" s="138">
        <f t="shared" si="15"/>
        <v>233.93001156728928</v>
      </c>
      <c r="W111" s="138">
        <f t="shared" si="15"/>
        <v>253.79758744372285</v>
      </c>
      <c r="X111" s="138">
        <f t="shared" si="15"/>
        <v>273.43060404314082</v>
      </c>
      <c r="Y111" s="138">
        <f t="shared" si="15"/>
        <v>297.03193512877141</v>
      </c>
      <c r="Z111" s="138">
        <f t="shared" si="15"/>
        <v>326.80937037519078</v>
      </c>
      <c r="AA111" s="138">
        <f t="shared" si="15"/>
        <v>354.92626280740313</v>
      </c>
      <c r="AB111" s="138">
        <f t="shared" si="15"/>
        <v>385.6440514757885</v>
      </c>
      <c r="AC111" s="138">
        <f t="shared" si="16"/>
        <v>419.2221599528645</v>
      </c>
      <c r="AG111" s="130"/>
      <c r="AH111" s="130"/>
      <c r="AI111" s="130"/>
    </row>
    <row r="112" spans="3:35" hidden="1" x14ac:dyDescent="0.4">
      <c r="C112" s="126" t="s">
        <v>574</v>
      </c>
      <c r="D112" s="209">
        <v>1.9329295474714559E-3</v>
      </c>
      <c r="E112" s="138"/>
      <c r="F112" s="138"/>
      <c r="G112" s="138"/>
      <c r="H112" s="138">
        <v>421.2</v>
      </c>
      <c r="I112" s="138"/>
      <c r="J112" s="138"/>
      <c r="K112" s="138">
        <v>97.062907715280048</v>
      </c>
      <c r="L112" s="138">
        <f t="shared" si="15"/>
        <v>60.875683168066033</v>
      </c>
      <c r="M112" s="138">
        <f t="shared" si="15"/>
        <v>64.554048096904211</v>
      </c>
      <c r="N112" s="138">
        <f t="shared" si="15"/>
        <v>102.06641182468276</v>
      </c>
      <c r="O112" s="138">
        <f t="shared" si="15"/>
        <v>130.9858541332064</v>
      </c>
      <c r="P112" s="138">
        <f t="shared" si="15"/>
        <v>93.203929849526133</v>
      </c>
      <c r="Q112" s="138">
        <f t="shared" si="15"/>
        <v>969.94883478766565</v>
      </c>
      <c r="R112" s="138">
        <f t="shared" si="15"/>
        <v>132.49112281834158</v>
      </c>
      <c r="S112" s="138">
        <f t="shared" si="15"/>
        <v>178.60269018636251</v>
      </c>
      <c r="T112" s="138">
        <f t="shared" si="15"/>
        <v>176.8630535936382</v>
      </c>
      <c r="U112" s="138">
        <f t="shared" si="15"/>
        <v>207.12306565930385</v>
      </c>
      <c r="V112" s="138">
        <f t="shared" si="15"/>
        <v>224.64961439156917</v>
      </c>
      <c r="W112" s="138">
        <f t="shared" si="15"/>
        <v>243.72901010327416</v>
      </c>
      <c r="X112" s="138">
        <f t="shared" si="15"/>
        <v>262.58315189915845</v>
      </c>
      <c r="Y112" s="138">
        <f t="shared" si="15"/>
        <v>285.24817846839602</v>
      </c>
      <c r="Z112" s="138">
        <f t="shared" si="15"/>
        <v>313.84429275428715</v>
      </c>
      <c r="AA112" s="138">
        <f t="shared" si="15"/>
        <v>340.84574075348422</v>
      </c>
      <c r="AB112" s="138">
        <f t="shared" si="15"/>
        <v>370.34490305882832</v>
      </c>
      <c r="AC112" s="138">
        <f t="shared" si="16"/>
        <v>402.59091147320225</v>
      </c>
      <c r="AG112" s="130"/>
      <c r="AH112" s="130"/>
      <c r="AI112" s="130"/>
    </row>
    <row r="113" spans="2:35" hidden="1" x14ac:dyDescent="0.4">
      <c r="C113" s="126" t="s">
        <v>575</v>
      </c>
      <c r="D113" s="209">
        <v>1.8084731150701599E-3</v>
      </c>
      <c r="E113" s="138"/>
      <c r="F113" s="138"/>
      <c r="G113" s="138"/>
      <c r="H113" s="138"/>
      <c r="I113" s="138">
        <v>197.04</v>
      </c>
      <c r="J113" s="138">
        <v>197.04</v>
      </c>
      <c r="K113" s="138">
        <v>90.81327320141871</v>
      </c>
      <c r="L113" s="138">
        <f t="shared" si="15"/>
        <v>56.956052286019613</v>
      </c>
      <c r="M113" s="138">
        <f t="shared" si="15"/>
        <v>60.397576623998127</v>
      </c>
      <c r="N113" s="138">
        <f t="shared" si="15"/>
        <v>95.494614368164719</v>
      </c>
      <c r="O113" s="138">
        <f t="shared" si="15"/>
        <v>122.55200711494297</v>
      </c>
      <c r="P113" s="138">
        <f t="shared" si="15"/>
        <v>87.202765135568043</v>
      </c>
      <c r="Q113" s="138">
        <f t="shared" si="15"/>
        <v>907.49628873011227</v>
      </c>
      <c r="R113" s="138">
        <f t="shared" si="15"/>
        <v>123.96035536622044</v>
      </c>
      <c r="S113" s="138">
        <f t="shared" si="15"/>
        <v>167.10291583248278</v>
      </c>
      <c r="T113" s="138">
        <f t="shared" si="15"/>
        <v>165.47529002891963</v>
      </c>
      <c r="U113" s="138">
        <f t="shared" si="15"/>
        <v>193.78693664534299</v>
      </c>
      <c r="V113" s="138">
        <f t="shared" si="15"/>
        <v>210.18499534527442</v>
      </c>
      <c r="W113" s="138">
        <f t="shared" si="15"/>
        <v>228.03591714505765</v>
      </c>
      <c r="X113" s="138">
        <f t="shared" si="15"/>
        <v>245.67608855750325</v>
      </c>
      <c r="Y113" s="138">
        <f t="shared" si="15"/>
        <v>266.88177153567312</v>
      </c>
      <c r="Z113" s="138">
        <f t="shared" si="15"/>
        <v>293.6366545313615</v>
      </c>
      <c r="AA113" s="138">
        <f t="shared" si="15"/>
        <v>318.89954775910036</v>
      </c>
      <c r="AB113" s="138">
        <f t="shared" si="15"/>
        <v>346.49933380204908</v>
      </c>
      <c r="AC113" s="138">
        <f t="shared" si="16"/>
        <v>376.66910349800463</v>
      </c>
      <c r="AG113" s="130"/>
      <c r="AH113" s="130"/>
      <c r="AI113" s="130"/>
    </row>
    <row r="114" spans="2:35" hidden="1" x14ac:dyDescent="0.4">
      <c r="C114" s="126" t="s">
        <v>576</v>
      </c>
      <c r="D114" s="209">
        <v>1.7710260469140176E-3</v>
      </c>
      <c r="E114" s="138"/>
      <c r="F114" s="138"/>
      <c r="G114" s="138"/>
      <c r="H114" s="138">
        <v>128.63999999999999</v>
      </c>
      <c r="I114" s="138"/>
      <c r="J114" s="138">
        <v>257.27999999999997</v>
      </c>
      <c r="K114" s="138">
        <v>88.932852197248039</v>
      </c>
      <c r="L114" s="138">
        <f t="shared" si="15"/>
        <v>55.776694321510071</v>
      </c>
      <c r="M114" s="138">
        <f t="shared" si="15"/>
        <v>59.146956888787443</v>
      </c>
      <c r="N114" s="138">
        <f t="shared" si="15"/>
        <v>93.517259381247783</v>
      </c>
      <c r="O114" s="138">
        <f t="shared" si="15"/>
        <v>120.01438942803183</v>
      </c>
      <c r="P114" s="138">
        <f t="shared" si="15"/>
        <v>85.397104956147018</v>
      </c>
      <c r="Q114" s="138">
        <f t="shared" si="15"/>
        <v>888.70525717297221</v>
      </c>
      <c r="R114" s="138">
        <f t="shared" si="15"/>
        <v>121.39357577885654</v>
      </c>
      <c r="S114" s="138">
        <f t="shared" si="15"/>
        <v>163.64280673485521</v>
      </c>
      <c r="T114" s="138">
        <f t="shared" si="15"/>
        <v>162.04888329263261</v>
      </c>
      <c r="U114" s="138">
        <f t="shared" si="15"/>
        <v>189.77429605707155</v>
      </c>
      <c r="V114" s="138">
        <f t="shared" si="15"/>
        <v>205.83280908355738</v>
      </c>
      <c r="W114" s="138">
        <f t="shared" si="15"/>
        <v>223.31410156470932</v>
      </c>
      <c r="X114" s="138">
        <f t="shared" si="15"/>
        <v>240.58900755204945</v>
      </c>
      <c r="Y114" s="138">
        <f t="shared" si="15"/>
        <v>261.35559599839365</v>
      </c>
      <c r="Z114" s="138">
        <f t="shared" si="15"/>
        <v>287.55648019879982</v>
      </c>
      <c r="AA114" s="138">
        <f t="shared" si="15"/>
        <v>312.2962684510556</v>
      </c>
      <c r="AB114" s="138">
        <f t="shared" si="15"/>
        <v>339.32456075133672</v>
      </c>
      <c r="AC114" s="138">
        <f t="shared" si="16"/>
        <v>368.86962145236993</v>
      </c>
      <c r="AG114" s="130"/>
      <c r="AH114" s="130"/>
      <c r="AI114" s="130"/>
    </row>
    <row r="115" spans="2:35" hidden="1" x14ac:dyDescent="0.4">
      <c r="C115" s="126" t="s">
        <v>577</v>
      </c>
      <c r="D115" s="209">
        <v>1.6509751519428561E-3</v>
      </c>
      <c r="E115" s="138"/>
      <c r="F115" s="138"/>
      <c r="G115" s="138"/>
      <c r="H115" s="138">
        <v>205.68</v>
      </c>
      <c r="I115" s="138">
        <v>154.08000000000001</v>
      </c>
      <c r="J115" s="138"/>
      <c r="K115" s="138">
        <v>82.904443683877375</v>
      </c>
      <c r="L115" s="138">
        <f t="shared" si="15"/>
        <v>51.99581143528831</v>
      </c>
      <c r="M115" s="138">
        <f t="shared" si="15"/>
        <v>55.137617149435563</v>
      </c>
      <c r="N115" s="138">
        <f t="shared" si="15"/>
        <v>87.178091923190578</v>
      </c>
      <c r="O115" s="138">
        <f t="shared" si="15"/>
        <v>111.87908566705208</v>
      </c>
      <c r="P115" s="138">
        <f t="shared" si="15"/>
        <v>79.608370851532584</v>
      </c>
      <c r="Q115" s="138">
        <f t="shared" si="15"/>
        <v>828.46342071037657</v>
      </c>
      <c r="R115" s="138">
        <f t="shared" si="15"/>
        <v>113.16478239583705</v>
      </c>
      <c r="S115" s="138">
        <f t="shared" si="15"/>
        <v>152.55010403951991</v>
      </c>
      <c r="T115" s="138">
        <f t="shared" si="15"/>
        <v>151.06422640277134</v>
      </c>
      <c r="U115" s="138">
        <f t="shared" si="15"/>
        <v>176.91024240643674</v>
      </c>
      <c r="V115" s="138">
        <f t="shared" si="15"/>
        <v>191.88021195040582</v>
      </c>
      <c r="W115" s="138">
        <f t="shared" si="15"/>
        <v>208.17651632182793</v>
      </c>
      <c r="X115" s="138">
        <f t="shared" si="15"/>
        <v>224.28042432868293</v>
      </c>
      <c r="Y115" s="138">
        <f t="shared" si="15"/>
        <v>243.63932736417419</v>
      </c>
      <c r="Z115" s="138">
        <f t="shared" si="15"/>
        <v>268.06415660323444</v>
      </c>
      <c r="AA115" s="138">
        <f t="shared" si="15"/>
        <v>291.12693184585351</v>
      </c>
      <c r="AB115" s="138">
        <f t="shared" si="15"/>
        <v>316.32308244170014</v>
      </c>
      <c r="AC115" s="138">
        <f t="shared" si="16"/>
        <v>343.86539960018814</v>
      </c>
      <c r="AG115" s="130"/>
      <c r="AH115" s="130"/>
      <c r="AI115" s="130"/>
    </row>
    <row r="116" spans="2:35" hidden="1" x14ac:dyDescent="0.4">
      <c r="C116" s="126" t="s">
        <v>578</v>
      </c>
      <c r="D116" s="209">
        <v>1.6445045188423462E-3</v>
      </c>
      <c r="E116" s="138">
        <v>31.2</v>
      </c>
      <c r="F116" s="138">
        <v>31.2</v>
      </c>
      <c r="G116" s="138">
        <v>47.03</v>
      </c>
      <c r="H116" s="138">
        <v>85.789999999999992</v>
      </c>
      <c r="I116" s="138"/>
      <c r="J116" s="138">
        <v>163.13</v>
      </c>
      <c r="K116" s="138">
        <v>82.579517995656715</v>
      </c>
      <c r="L116" s="138">
        <f t="shared" si="15"/>
        <v>51.792025316420855</v>
      </c>
      <c r="M116" s="138">
        <f t="shared" si="15"/>
        <v>54.921517415777835</v>
      </c>
      <c r="N116" s="138">
        <f t="shared" si="15"/>
        <v>86.836416612951254</v>
      </c>
      <c r="O116" s="138">
        <f t="shared" si="15"/>
        <v>111.4406002579167</v>
      </c>
      <c r="P116" s="138">
        <f t="shared" si="15"/>
        <v>79.2963633940591</v>
      </c>
      <c r="Q116" s="138">
        <f t="shared" si="15"/>
        <v>825.21644099278251</v>
      </c>
      <c r="R116" s="138">
        <f t="shared" si="15"/>
        <v>112.72125798184402</v>
      </c>
      <c r="S116" s="138">
        <f t="shared" si="15"/>
        <v>151.95221754103278</v>
      </c>
      <c r="T116" s="138">
        <f t="shared" si="15"/>
        <v>150.47216347407468</v>
      </c>
      <c r="U116" s="138">
        <f t="shared" si="15"/>
        <v>176.2168817165516</v>
      </c>
      <c r="V116" s="138">
        <f t="shared" si="15"/>
        <v>191.12817976547677</v>
      </c>
      <c r="W116" s="138">
        <f t="shared" si="15"/>
        <v>207.36061436492949</v>
      </c>
      <c r="X116" s="138">
        <f t="shared" si="15"/>
        <v>223.40140665494644</v>
      </c>
      <c r="Y116" s="138">
        <f t="shared" si="15"/>
        <v>242.68443673824723</v>
      </c>
      <c r="Z116" s="138">
        <f t="shared" si="15"/>
        <v>267.01353824429913</v>
      </c>
      <c r="AA116" s="138">
        <f t="shared" si="15"/>
        <v>289.98592402424282</v>
      </c>
      <c r="AB116" s="138">
        <f t="shared" si="15"/>
        <v>315.08332386308439</v>
      </c>
      <c r="AC116" s="138">
        <f t="shared" si="16"/>
        <v>342.51769498200861</v>
      </c>
      <c r="AG116" s="130"/>
      <c r="AH116" s="130"/>
      <c r="AI116" s="130"/>
    </row>
    <row r="117" spans="2:35" hidden="1" x14ac:dyDescent="0.4">
      <c r="C117" s="126" t="s">
        <v>579</v>
      </c>
      <c r="D117" s="209">
        <v>1.5573574815525007E-3</v>
      </c>
      <c r="E117" s="138"/>
      <c r="F117" s="138">
        <v>193.92</v>
      </c>
      <c r="G117" s="138"/>
      <c r="H117" s="138"/>
      <c r="I117" s="138"/>
      <c r="J117" s="138">
        <v>145.44</v>
      </c>
      <c r="K117" s="138">
        <v>78.203391173450711</v>
      </c>
      <c r="L117" s="138">
        <f t="shared" si="15"/>
        <v>49.047416524014459</v>
      </c>
      <c r="M117" s="138">
        <f t="shared" si="15"/>
        <v>52.011067811408864</v>
      </c>
      <c r="N117" s="138">
        <f t="shared" si="15"/>
        <v>82.234704455898239</v>
      </c>
      <c r="O117" s="138">
        <f t="shared" si="15"/>
        <v>105.53504144977427</v>
      </c>
      <c r="P117" s="138">
        <f t="shared" si="15"/>
        <v>75.094220402980028</v>
      </c>
      <c r="Q117" s="138">
        <f t="shared" si="15"/>
        <v>781.48584181752665</v>
      </c>
      <c r="R117" s="138">
        <f t="shared" si="15"/>
        <v>106.74783342742734</v>
      </c>
      <c r="S117" s="138">
        <f t="shared" si="15"/>
        <v>143.89983129545107</v>
      </c>
      <c r="T117" s="138">
        <f t="shared" si="15"/>
        <v>142.4982095620538</v>
      </c>
      <c r="U117" s="138">
        <f t="shared" si="15"/>
        <v>166.8786409357582</v>
      </c>
      <c r="V117" s="138">
        <f t="shared" si="15"/>
        <v>180.99974629611327</v>
      </c>
      <c r="W117" s="138">
        <f t="shared" si="15"/>
        <v>196.3719773709571</v>
      </c>
      <c r="X117" s="138">
        <f t="shared" si="15"/>
        <v>211.56272181504846</v>
      </c>
      <c r="Y117" s="138">
        <f t="shared" si="15"/>
        <v>229.82388852097552</v>
      </c>
      <c r="Z117" s="138">
        <f t="shared" si="15"/>
        <v>252.8637207718302</v>
      </c>
      <c r="AA117" s="138">
        <f t="shared" si="15"/>
        <v>274.61873357574171</v>
      </c>
      <c r="AB117" s="138">
        <f t="shared" si="15"/>
        <v>298.38614981491924</v>
      </c>
      <c r="AC117" s="138">
        <f t="shared" si="16"/>
        <v>324.36669448610144</v>
      </c>
      <c r="AG117" s="130"/>
      <c r="AH117" s="130"/>
      <c r="AI117" s="130"/>
    </row>
    <row r="118" spans="2:35" hidden="1" x14ac:dyDescent="0.4">
      <c r="C118" s="126" t="s">
        <v>580</v>
      </c>
      <c r="D118" s="209">
        <v>1.5353297944018288E-3</v>
      </c>
      <c r="E118" s="138"/>
      <c r="F118" s="138"/>
      <c r="G118" s="138">
        <v>167.28</v>
      </c>
      <c r="H118" s="138">
        <v>167.28</v>
      </c>
      <c r="I118" s="138"/>
      <c r="J118" s="138"/>
      <c r="K118" s="138">
        <v>77.097261170997371</v>
      </c>
      <c r="L118" s="138">
        <f t="shared" si="15"/>
        <v>48.353676544891194</v>
      </c>
      <c r="M118" s="138">
        <f t="shared" si="15"/>
        <v>51.27540914363788</v>
      </c>
      <c r="N118" s="138">
        <f t="shared" si="15"/>
        <v>81.071554463594168</v>
      </c>
      <c r="O118" s="138">
        <f t="shared" si="15"/>
        <v>104.04232516335597</v>
      </c>
      <c r="P118" s="138">
        <f t="shared" si="15"/>
        <v>74.032067356261777</v>
      </c>
      <c r="Q118" s="138">
        <f t="shared" si="15"/>
        <v>770.43229384273843</v>
      </c>
      <c r="R118" s="138">
        <f t="shared" si="15"/>
        <v>105.23796308191918</v>
      </c>
      <c r="S118" s="138">
        <f t="shared" si="15"/>
        <v>141.86447300272897</v>
      </c>
      <c r="T118" s="138">
        <f t="shared" si="15"/>
        <v>140.48267618776734</v>
      </c>
      <c r="U118" s="138">
        <f t="shared" si="15"/>
        <v>164.51826411912796</v>
      </c>
      <c r="V118" s="138">
        <f t="shared" si="15"/>
        <v>178.43963673039741</v>
      </c>
      <c r="W118" s="138">
        <f t="shared" si="15"/>
        <v>193.59443879428159</v>
      </c>
      <c r="X118" s="138">
        <f t="shared" si="15"/>
        <v>208.57032122360508</v>
      </c>
      <c r="Y118" s="138">
        <f t="shared" si="15"/>
        <v>226.57319702845817</v>
      </c>
      <c r="Z118" s="138">
        <f t="shared" si="15"/>
        <v>249.28714763502921</v>
      </c>
      <c r="AA118" s="138">
        <f t="shared" si="15"/>
        <v>270.73445162983307</v>
      </c>
      <c r="AB118" s="138">
        <f t="shared" si="15"/>
        <v>294.1656950792061</v>
      </c>
      <c r="AC118" s="138">
        <f t="shared" si="16"/>
        <v>319.77876387102219</v>
      </c>
      <c r="AG118" s="130"/>
      <c r="AH118" s="130"/>
      <c r="AI118" s="130"/>
    </row>
    <row r="119" spans="2:35" hidden="1" x14ac:dyDescent="0.4">
      <c r="C119" s="126" t="s">
        <v>581</v>
      </c>
      <c r="D119" s="209">
        <v>8.1208418725039325E-2</v>
      </c>
      <c r="E119" s="138">
        <v>2306.9099999999994</v>
      </c>
      <c r="F119" s="138">
        <v>1499.4999999999995</v>
      </c>
      <c r="G119" s="138">
        <v>2023.68</v>
      </c>
      <c r="H119" s="138">
        <v>5369.72</v>
      </c>
      <c r="I119" s="138">
        <v>1703.0999999999995</v>
      </c>
      <c r="J119" s="138">
        <v>4793.0200000000004</v>
      </c>
      <c r="K119" s="138">
        <v>4077.916477982089</v>
      </c>
      <c r="L119" s="138">
        <f t="shared" si="15"/>
        <v>2557.5779393263883</v>
      </c>
      <c r="M119" s="138">
        <f t="shared" si="15"/>
        <v>2712.1175601601385</v>
      </c>
      <c r="N119" s="138">
        <f t="shared" si="15"/>
        <v>4288.1293423569768</v>
      </c>
      <c r="O119" s="138">
        <f t="shared" si="15"/>
        <v>5503.1256071496464</v>
      </c>
      <c r="P119" s="138">
        <f t="shared" si="15"/>
        <v>3915.7887425026711</v>
      </c>
      <c r="Q119" s="138">
        <f t="shared" si="15"/>
        <v>40750.585669477914</v>
      </c>
      <c r="R119" s="138">
        <f t="shared" si="15"/>
        <v>5566.3666548309011</v>
      </c>
      <c r="S119" s="138">
        <f t="shared" si="15"/>
        <v>7503.6578901936336</v>
      </c>
      <c r="T119" s="138">
        <f t="shared" si="15"/>
        <v>7430.570313341098</v>
      </c>
      <c r="U119" s="138">
        <f t="shared" si="15"/>
        <v>8701.8881084815894</v>
      </c>
      <c r="V119" s="138">
        <f t="shared" si="15"/>
        <v>9438.2332640080749</v>
      </c>
      <c r="W119" s="138">
        <f t="shared" si="15"/>
        <v>10239.818380239394</v>
      </c>
      <c r="X119" s="138">
        <f t="shared" si="15"/>
        <v>11031.939874612715</v>
      </c>
      <c r="Y119" s="138">
        <f t="shared" si="15"/>
        <v>11984.168563162973</v>
      </c>
      <c r="Z119" s="138">
        <f t="shared" si="15"/>
        <v>13185.580805981417</v>
      </c>
      <c r="AA119" s="138">
        <f t="shared" si="15"/>
        <v>14319.996128138187</v>
      </c>
      <c r="AB119" s="138">
        <f t="shared" si="15"/>
        <v>15559.348244030894</v>
      </c>
      <c r="AC119" s="138">
        <f t="shared" si="16"/>
        <v>16914.103960270619</v>
      </c>
      <c r="AG119" s="130"/>
      <c r="AH119" s="130"/>
      <c r="AI119" s="130"/>
    </row>
    <row r="120" spans="2:35" hidden="1" x14ac:dyDescent="0.4">
      <c r="C120" s="126" t="s">
        <v>582</v>
      </c>
      <c r="D120" s="209">
        <v>-2.8268865176695555E-3</v>
      </c>
      <c r="E120" s="138"/>
      <c r="F120" s="138"/>
      <c r="G120" s="138"/>
      <c r="H120" s="138"/>
      <c r="I120" s="138"/>
      <c r="J120" s="138">
        <v>-616</v>
      </c>
      <c r="K120" s="138">
        <v>-141.9533503148445</v>
      </c>
      <c r="L120" s="138">
        <f t="shared" ref="L120:AB120" si="17">+L$58*$D120</f>
        <v>-89.029963987484976</v>
      </c>
      <c r="M120" s="138">
        <f t="shared" si="17"/>
        <v>-94.409529030610145</v>
      </c>
      <c r="N120" s="138">
        <f t="shared" si="17"/>
        <v>-149.2709156790232</v>
      </c>
      <c r="O120" s="138">
        <f t="shared" si="17"/>
        <v>-191.56525675701599</v>
      </c>
      <c r="P120" s="138">
        <f t="shared" si="17"/>
        <v>-136.30964099550829</v>
      </c>
      <c r="Q120" s="138">
        <f t="shared" si="17"/>
        <v>-1418.5386567644873</v>
      </c>
      <c r="R120" s="138">
        <f t="shared" si="17"/>
        <v>-193.76669434021463</v>
      </c>
      <c r="S120" s="138">
        <f t="shared" si="17"/>
        <v>-261.20431423266695</v>
      </c>
      <c r="T120" s="138">
        <f t="shared" si="17"/>
        <v>-258.66011636676433</v>
      </c>
      <c r="U120" s="138">
        <f t="shared" si="17"/>
        <v>-302.91502480088121</v>
      </c>
      <c r="V120" s="138">
        <f t="shared" si="17"/>
        <v>-328.54739426687229</v>
      </c>
      <c r="W120" s="138">
        <f t="shared" si="17"/>
        <v>-356.45078400668774</v>
      </c>
      <c r="X120" s="138">
        <f t="shared" si="17"/>
        <v>-384.02474256856982</v>
      </c>
      <c r="Y120" s="138">
        <f t="shared" si="17"/>
        <v>-417.17207487305785</v>
      </c>
      <c r="Z120" s="138">
        <f t="shared" si="17"/>
        <v>-458.99355255612738</v>
      </c>
      <c r="AA120" s="138">
        <f t="shared" si="17"/>
        <v>-498.48284972494366</v>
      </c>
      <c r="AB120" s="138">
        <f t="shared" si="17"/>
        <v>-541.62502441652009</v>
      </c>
      <c r="AC120" s="138">
        <f t="shared" si="16"/>
        <v>-588.78442893516763</v>
      </c>
      <c r="AG120" s="130"/>
      <c r="AH120" s="130"/>
      <c r="AI120" s="130"/>
    </row>
    <row r="121" spans="2:35" hidden="1" x14ac:dyDescent="0.4">
      <c r="C121" s="126"/>
      <c r="D121" s="209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86"/>
      <c r="P121" s="210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G121" s="130"/>
      <c r="AH121" s="130"/>
      <c r="AI121" s="130"/>
    </row>
    <row r="122" spans="2:35" x14ac:dyDescent="0.4">
      <c r="C122" s="126"/>
      <c r="D122" s="209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86"/>
      <c r="P122" s="175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G122" s="130"/>
      <c r="AH122" s="130"/>
      <c r="AI122" s="130"/>
    </row>
    <row r="123" spans="2:35" x14ac:dyDescent="0.4">
      <c r="B123" s="112"/>
      <c r="C123" s="211" t="s">
        <v>583</v>
      </c>
      <c r="D123" s="212"/>
      <c r="E123" s="213">
        <f>SUM(E124:E192)</f>
        <v>16504.849999999999</v>
      </c>
      <c r="F123" s="213">
        <f t="shared" ref="F123:J123" si="18">SUM(F124:F192)</f>
        <v>9712.8499999999967</v>
      </c>
      <c r="G123" s="213">
        <f t="shared" si="18"/>
        <v>8262.6400000000012</v>
      </c>
      <c r="H123" s="213">
        <f t="shared" si="18"/>
        <v>17198.100000000002</v>
      </c>
      <c r="I123" s="213">
        <f t="shared" si="18"/>
        <v>14070.650000000003</v>
      </c>
      <c r="J123" s="213">
        <f t="shared" si="18"/>
        <v>25821.639999999996</v>
      </c>
      <c r="K123" s="213">
        <f>SUM(K124:K192)</f>
        <v>18291.321619775685</v>
      </c>
      <c r="L123" s="213">
        <f>SUM(L124:L192)</f>
        <v>9141.0257891900801</v>
      </c>
      <c r="M123" s="213">
        <v>4909</v>
      </c>
      <c r="N123" s="213">
        <f>SUM(N124:N192)</f>
        <v>27263.119999999999</v>
      </c>
      <c r="O123" s="213">
        <v>23611</v>
      </c>
      <c r="P123" s="213">
        <v>16315.97</v>
      </c>
      <c r="Q123" s="213">
        <f>+SUM(E123:P123)</f>
        <v>191102.16740896579</v>
      </c>
      <c r="R123" s="213">
        <f t="shared" ref="R123:AC123" si="19">+R12*$A$12+R13*$A$13+R14*$A$14+R15*$A$15+R16*$A$16</f>
        <v>35357.878137931039</v>
      </c>
      <c r="S123" s="213">
        <f t="shared" si="19"/>
        <v>57775.66</v>
      </c>
      <c r="T123" s="213">
        <f t="shared" si="19"/>
        <v>54314.3</v>
      </c>
      <c r="U123" s="213">
        <f t="shared" si="19"/>
        <v>66411.61</v>
      </c>
      <c r="V123" s="213">
        <f t="shared" si="19"/>
        <v>72569.511000000013</v>
      </c>
      <c r="W123" s="213">
        <f t="shared" si="19"/>
        <v>79312.853900000016</v>
      </c>
      <c r="X123" s="213">
        <f t="shared" si="19"/>
        <v>86410.088516000033</v>
      </c>
      <c r="Y123" s="213">
        <f t="shared" si="19"/>
        <v>94505.503039420044</v>
      </c>
      <c r="Z123" s="213">
        <f t="shared" si="19"/>
        <v>103959.80741220945</v>
      </c>
      <c r="AA123" s="213">
        <f t="shared" si="19"/>
        <v>113690.77500709714</v>
      </c>
      <c r="AB123" s="213">
        <f t="shared" si="19"/>
        <v>124363.94844123024</v>
      </c>
      <c r="AC123" s="214">
        <f t="shared" si="19"/>
        <v>136073.41593411632</v>
      </c>
      <c r="AD123" s="215">
        <f>+AD58*42%</f>
        <v>91851.558786471505</v>
      </c>
      <c r="AE123" s="215">
        <f>+AE58*42%</f>
        <v>96444.136725795091</v>
      </c>
      <c r="AF123" s="130"/>
      <c r="AG123" s="130"/>
      <c r="AH123" s="130"/>
      <c r="AI123" s="130"/>
    </row>
    <row r="124" spans="2:35" hidden="1" x14ac:dyDescent="0.4">
      <c r="C124" s="216" t="s">
        <v>521</v>
      </c>
      <c r="D124" s="217">
        <v>0.320965589103893</v>
      </c>
      <c r="E124" s="218">
        <v>1381.68</v>
      </c>
      <c r="F124" s="218">
        <v>1306.4399999999998</v>
      </c>
      <c r="G124" s="218">
        <v>1227.7799999999997</v>
      </c>
      <c r="H124" s="218">
        <v>1374.8400000000006</v>
      </c>
      <c r="I124" s="218">
        <v>3228.4799999999996</v>
      </c>
      <c r="J124" s="218">
        <v>3573.9000000000005</v>
      </c>
      <c r="K124" s="218">
        <v>2786.7839281809329</v>
      </c>
      <c r="L124" s="218">
        <f t="shared" ref="L124:M139" si="20">+L59*$D124</f>
        <v>1747.8085034031426</v>
      </c>
      <c r="M124" s="218">
        <f t="shared" si="20"/>
        <v>1853.4184475822301</v>
      </c>
      <c r="N124" s="218"/>
      <c r="O124" s="218">
        <f t="shared" ref="O124:AC139" si="21">+O59*$D124</f>
        <v>3760.7494120022866</v>
      </c>
      <c r="P124" s="218">
        <f t="shared" si="21"/>
        <v>2675.9883859019533</v>
      </c>
      <c r="Q124" s="218">
        <f t="shared" si="21"/>
        <v>27848.308767681461</v>
      </c>
      <c r="R124" s="218">
        <f t="shared" si="21"/>
        <v>3803.9673484732784</v>
      </c>
      <c r="S124" s="218">
        <f t="shared" si="21"/>
        <v>5127.8816826840157</v>
      </c>
      <c r="T124" s="218">
        <f t="shared" si="21"/>
        <v>5077.934783177353</v>
      </c>
      <c r="U124" s="218">
        <f t="shared" si="21"/>
        <v>5946.7333518182431</v>
      </c>
      <c r="V124" s="218">
        <f t="shared" si="21"/>
        <v>6449.9400398646167</v>
      </c>
      <c r="W124" s="218">
        <f t="shared" si="21"/>
        <v>6997.730690076236</v>
      </c>
      <c r="X124" s="218">
        <f t="shared" si="21"/>
        <v>7539.0540500825155</v>
      </c>
      <c r="Y124" s="218">
        <f t="shared" si="21"/>
        <v>8189.7921462481818</v>
      </c>
      <c r="Z124" s="218">
        <f t="shared" si="21"/>
        <v>9010.8183608564323</v>
      </c>
      <c r="AA124" s="218">
        <f t="shared" si="21"/>
        <v>9786.0599345222709</v>
      </c>
      <c r="AB124" s="218">
        <f t="shared" si="21"/>
        <v>10633.013661155708</v>
      </c>
      <c r="AC124" s="219">
        <f t="shared" si="21"/>
        <v>11558.832391630622</v>
      </c>
      <c r="AG124" s="130"/>
      <c r="AH124" s="130"/>
      <c r="AI124" s="130"/>
    </row>
    <row r="125" spans="2:35" hidden="1" x14ac:dyDescent="0.4">
      <c r="C125" s="216" t="s">
        <v>522</v>
      </c>
      <c r="D125" s="217">
        <v>0.28925432914216453</v>
      </c>
      <c r="E125" s="218">
        <v>1104.6599999999999</v>
      </c>
      <c r="F125" s="218">
        <v>961.01999999999987</v>
      </c>
      <c r="G125" s="218">
        <v>981.54</v>
      </c>
      <c r="H125" s="218">
        <v>1251.72</v>
      </c>
      <c r="I125" s="218">
        <v>1583.46</v>
      </c>
      <c r="J125" s="218">
        <v>2021.2200000000003</v>
      </c>
      <c r="K125" s="218">
        <v>1821.3398354146289</v>
      </c>
      <c r="L125" s="218">
        <f t="shared" si="20"/>
        <v>1142.3035778746203</v>
      </c>
      <c r="M125" s="218">
        <f t="shared" si="20"/>
        <v>1211.326366618362</v>
      </c>
      <c r="N125" s="218"/>
      <c r="O125" s="218">
        <f t="shared" si="21"/>
        <v>2457.8879782628032</v>
      </c>
      <c r="P125" s="218">
        <f t="shared" si="21"/>
        <v>1748.9279298131808</v>
      </c>
      <c r="Q125" s="218">
        <f t="shared" si="21"/>
        <v>18200.633925936589</v>
      </c>
      <c r="R125" s="218">
        <f t="shared" si="21"/>
        <v>2486.1336375344276</v>
      </c>
      <c r="S125" s="218">
        <f t="shared" si="21"/>
        <v>3351.3955228175182</v>
      </c>
      <c r="T125" s="218">
        <f t="shared" si="21"/>
        <v>3318.7520599329323</v>
      </c>
      <c r="U125" s="218">
        <f t="shared" si="21"/>
        <v>3886.5669615531506</v>
      </c>
      <c r="V125" s="218">
        <f t="shared" si="21"/>
        <v>4215.4444095382096</v>
      </c>
      <c r="W125" s="218">
        <f t="shared" si="21"/>
        <v>4573.4603011216523</v>
      </c>
      <c r="X125" s="218">
        <f t="shared" si="21"/>
        <v>4927.2494088633121</v>
      </c>
      <c r="Y125" s="218">
        <f t="shared" si="21"/>
        <v>5352.5479779353855</v>
      </c>
      <c r="Z125" s="218">
        <f t="shared" si="21"/>
        <v>5889.1406198923059</v>
      </c>
      <c r="AA125" s="218">
        <f t="shared" si="21"/>
        <v>6395.8100986088639</v>
      </c>
      <c r="AB125" s="218">
        <f t="shared" si="21"/>
        <v>6949.3480121410666</v>
      </c>
      <c r="AC125" s="219">
        <f t="shared" si="21"/>
        <v>7554.4292016567688</v>
      </c>
      <c r="AG125" s="130"/>
      <c r="AH125" s="130"/>
      <c r="AI125" s="130"/>
    </row>
    <row r="126" spans="2:35" hidden="1" x14ac:dyDescent="0.4">
      <c r="C126" s="216" t="s">
        <v>523</v>
      </c>
      <c r="D126" s="217">
        <v>0.32888546406476887</v>
      </c>
      <c r="E126" s="218">
        <v>632.04</v>
      </c>
      <c r="F126" s="218">
        <v>590.82000000000005</v>
      </c>
      <c r="G126" s="218">
        <v>270.22000000000003</v>
      </c>
      <c r="H126" s="218">
        <v>393.88000000000005</v>
      </c>
      <c r="I126" s="218">
        <v>675.55000000000007</v>
      </c>
      <c r="J126" s="218">
        <v>757.99000000000012</v>
      </c>
      <c r="K126" s="218">
        <v>765.18847357214486</v>
      </c>
      <c r="L126" s="218">
        <f t="shared" si="20"/>
        <v>479.90908347474664</v>
      </c>
      <c r="M126" s="218">
        <f t="shared" si="20"/>
        <v>508.90720965282634</v>
      </c>
      <c r="N126" s="218"/>
      <c r="O126" s="218">
        <f t="shared" si="21"/>
        <v>1032.6175893858306</v>
      </c>
      <c r="P126" s="218">
        <f t="shared" si="21"/>
        <v>734.76649825582047</v>
      </c>
      <c r="Q126" s="218">
        <f t="shared" si="21"/>
        <v>7646.5220938092216</v>
      </c>
      <c r="R126" s="218">
        <f t="shared" si="21"/>
        <v>1044.484267137472</v>
      </c>
      <c r="S126" s="218">
        <f t="shared" si="21"/>
        <v>1408.001502288264</v>
      </c>
      <c r="T126" s="218">
        <f t="shared" si="21"/>
        <v>1394.2872019413005</v>
      </c>
      <c r="U126" s="218">
        <f t="shared" si="21"/>
        <v>1632.8398374209842</v>
      </c>
      <c r="V126" s="218">
        <f t="shared" si="21"/>
        <v>1771.0091276999181</v>
      </c>
      <c r="W126" s="218">
        <f t="shared" si="21"/>
        <v>1921.4201758022839</v>
      </c>
      <c r="X126" s="218">
        <f t="shared" si="21"/>
        <v>2070.0554508099613</v>
      </c>
      <c r="Y126" s="218">
        <f t="shared" si="21"/>
        <v>2248.7335626882932</v>
      </c>
      <c r="Z126" s="218">
        <f t="shared" si="21"/>
        <v>2474.1689793224373</v>
      </c>
      <c r="AA126" s="218">
        <f t="shared" si="21"/>
        <v>2687.0329586228504</v>
      </c>
      <c r="AB126" s="218">
        <f t="shared" si="21"/>
        <v>2919.5874895698944</v>
      </c>
      <c r="AC126" s="219">
        <f t="shared" si="21"/>
        <v>3173.7965848688705</v>
      </c>
      <c r="AG126" s="130"/>
      <c r="AH126" s="130"/>
      <c r="AI126" s="130"/>
    </row>
    <row r="127" spans="2:35" hidden="1" x14ac:dyDescent="0.4">
      <c r="C127" s="216" t="s">
        <v>524</v>
      </c>
      <c r="D127" s="217">
        <v>0.24217004552253588</v>
      </c>
      <c r="E127" s="218">
        <v>268.32</v>
      </c>
      <c r="F127" s="218">
        <v>304.44000000000011</v>
      </c>
      <c r="G127" s="218">
        <v>288.96000000000004</v>
      </c>
      <c r="H127" s="218">
        <v>426.99000000000007</v>
      </c>
      <c r="I127" s="218">
        <v>601.14</v>
      </c>
      <c r="J127" s="218">
        <v>274.77</v>
      </c>
      <c r="K127" s="218">
        <v>498.82315123136169</v>
      </c>
      <c r="L127" s="218">
        <f t="shared" si="20"/>
        <v>312.85071533537308</v>
      </c>
      <c r="M127" s="218">
        <f t="shared" si="20"/>
        <v>331.75447196467434</v>
      </c>
      <c r="N127" s="218"/>
      <c r="O127" s="218">
        <f t="shared" si="21"/>
        <v>673.15906831391567</v>
      </c>
      <c r="P127" s="218">
        <f t="shared" si="21"/>
        <v>478.99119333067739</v>
      </c>
      <c r="Q127" s="218">
        <f t="shared" si="21"/>
        <v>4984.7356285804308</v>
      </c>
      <c r="R127" s="218">
        <f t="shared" si="21"/>
        <v>680.89490568622648</v>
      </c>
      <c r="S127" s="218">
        <f t="shared" si="21"/>
        <v>917.87026408168128</v>
      </c>
      <c r="T127" s="218">
        <f t="shared" si="21"/>
        <v>908.92996930166487</v>
      </c>
      <c r="U127" s="218">
        <f t="shared" si="21"/>
        <v>1064.4414301696163</v>
      </c>
      <c r="V127" s="218">
        <f t="shared" si="21"/>
        <v>1154.5134100291514</v>
      </c>
      <c r="W127" s="218">
        <f t="shared" si="21"/>
        <v>1252.5657403840205</v>
      </c>
      <c r="X127" s="218">
        <f t="shared" si="21"/>
        <v>1349.4604517187952</v>
      </c>
      <c r="Y127" s="218">
        <f t="shared" si="21"/>
        <v>1465.9399621943487</v>
      </c>
      <c r="Z127" s="218">
        <f t="shared" si="21"/>
        <v>1612.9003632046181</v>
      </c>
      <c r="AA127" s="218">
        <f t="shared" si="21"/>
        <v>1751.6654970318311</v>
      </c>
      <c r="AB127" s="218">
        <f t="shared" si="21"/>
        <v>1903.2668187540389</v>
      </c>
      <c r="AC127" s="219">
        <f t="shared" si="21"/>
        <v>2068.9846600026667</v>
      </c>
      <c r="AG127" s="130"/>
      <c r="AH127" s="130"/>
      <c r="AI127" s="130"/>
    </row>
    <row r="128" spans="2:35" hidden="1" x14ac:dyDescent="0.4">
      <c r="C128" s="216" t="s">
        <v>525</v>
      </c>
      <c r="D128" s="217">
        <v>0.30006580885348444</v>
      </c>
      <c r="E128" s="218">
        <v>292.5</v>
      </c>
      <c r="F128" s="218">
        <v>421.20000000000005</v>
      </c>
      <c r="G128" s="218">
        <v>353.34</v>
      </c>
      <c r="H128" s="218">
        <v>226.98000000000002</v>
      </c>
      <c r="I128" s="218">
        <v>432.9</v>
      </c>
      <c r="J128" s="218">
        <v>666.9</v>
      </c>
      <c r="K128" s="218">
        <v>551.64085884850829</v>
      </c>
      <c r="L128" s="218">
        <f t="shared" si="20"/>
        <v>345.97679933850867</v>
      </c>
      <c r="M128" s="218">
        <f t="shared" si="20"/>
        <v>366.88217335073898</v>
      </c>
      <c r="N128" s="218"/>
      <c r="O128" s="218">
        <f t="shared" si="21"/>
        <v>744.43627099038974</v>
      </c>
      <c r="P128" s="218">
        <f t="shared" si="21"/>
        <v>529.70900131147357</v>
      </c>
      <c r="Q128" s="218">
        <f t="shared" si="21"/>
        <v>5512.5425443765671</v>
      </c>
      <c r="R128" s="218">
        <f t="shared" si="21"/>
        <v>752.99121468424141</v>
      </c>
      <c r="S128" s="218">
        <f t="shared" si="21"/>
        <v>1015.0586225591603</v>
      </c>
      <c r="T128" s="218">
        <f t="shared" si="21"/>
        <v>1005.1716879238438</v>
      </c>
      <c r="U128" s="218">
        <f t="shared" si="21"/>
        <v>1177.1494231637103</v>
      </c>
      <c r="V128" s="218">
        <f t="shared" si="21"/>
        <v>1276.758641792085</v>
      </c>
      <c r="W128" s="218">
        <f t="shared" si="21"/>
        <v>1385.193207420275</v>
      </c>
      <c r="X128" s="218">
        <f t="shared" si="21"/>
        <v>1492.3475799602174</v>
      </c>
      <c r="Y128" s="218">
        <f t="shared" si="21"/>
        <v>1621.160480962051</v>
      </c>
      <c r="Z128" s="218">
        <f t="shared" si="21"/>
        <v>1783.6817304868655</v>
      </c>
      <c r="AA128" s="218">
        <f t="shared" si="21"/>
        <v>1937.1399599489689</v>
      </c>
      <c r="AB128" s="218">
        <f t="shared" si="21"/>
        <v>2104.7935323843412</v>
      </c>
      <c r="AC128" s="219">
        <f t="shared" si="21"/>
        <v>2288.0583468726995</v>
      </c>
      <c r="AG128" s="130"/>
      <c r="AH128" s="130"/>
      <c r="AI128" s="130"/>
    </row>
    <row r="129" spans="3:35" hidden="1" x14ac:dyDescent="0.4">
      <c r="C129" s="216" t="s">
        <v>526</v>
      </c>
      <c r="D129" s="217">
        <v>0.21662680761450709</v>
      </c>
      <c r="E129" s="218">
        <v>341.25</v>
      </c>
      <c r="F129" s="218">
        <v>379.92999999999995</v>
      </c>
      <c r="G129" s="218">
        <v>190.97</v>
      </c>
      <c r="H129" s="218">
        <v>510.32999999999987</v>
      </c>
      <c r="I129" s="218">
        <v>189.61</v>
      </c>
      <c r="J129" s="218">
        <v>56.4</v>
      </c>
      <c r="K129" s="218">
        <v>384.49309329028392</v>
      </c>
      <c r="L129" s="218">
        <f t="shared" si="20"/>
        <v>241.14546203486819</v>
      </c>
      <c r="M129" s="218">
        <f t="shared" si="20"/>
        <v>255.71648553941995</v>
      </c>
      <c r="N129" s="218"/>
      <c r="O129" s="218">
        <f t="shared" si="21"/>
        <v>518.87129098459991</v>
      </c>
      <c r="P129" s="218">
        <f t="shared" si="21"/>
        <v>369.20661185810974</v>
      </c>
      <c r="Q129" s="218">
        <f t="shared" si="21"/>
        <v>3842.2363042613292</v>
      </c>
      <c r="R129" s="218">
        <f t="shared" si="21"/>
        <v>524.83407766185815</v>
      </c>
      <c r="S129" s="218">
        <f t="shared" si="21"/>
        <v>707.49478287997135</v>
      </c>
      <c r="T129" s="218">
        <f t="shared" si="21"/>
        <v>700.60359992984172</v>
      </c>
      <c r="U129" s="218">
        <f t="shared" si="21"/>
        <v>820.47189891237372</v>
      </c>
      <c r="V129" s="218">
        <f t="shared" si="21"/>
        <v>889.89941860443776</v>
      </c>
      <c r="W129" s="218">
        <f t="shared" si="21"/>
        <v>965.47819579110126</v>
      </c>
      <c r="X129" s="218">
        <f t="shared" si="21"/>
        <v>1040.1646797536248</v>
      </c>
      <c r="Y129" s="218">
        <f t="shared" si="21"/>
        <v>1129.9471350729677</v>
      </c>
      <c r="Z129" s="218">
        <f t="shared" si="21"/>
        <v>1243.22427354606</v>
      </c>
      <c r="AA129" s="218">
        <f t="shared" si="21"/>
        <v>1350.1844966519011</v>
      </c>
      <c r="AB129" s="218">
        <f t="shared" si="21"/>
        <v>1467.038858747921</v>
      </c>
      <c r="AC129" s="219">
        <f t="shared" si="21"/>
        <v>1594.7742399903207</v>
      </c>
      <c r="AG129" s="130"/>
      <c r="AH129" s="130"/>
      <c r="AI129" s="130"/>
    </row>
    <row r="130" spans="3:35" hidden="1" x14ac:dyDescent="0.4">
      <c r="C130" s="216" t="s">
        <v>527</v>
      </c>
      <c r="D130" s="217">
        <v>0.45015576323987544</v>
      </c>
      <c r="E130" s="218">
        <v>0</v>
      </c>
      <c r="F130" s="218">
        <v>0</v>
      </c>
      <c r="G130" s="218">
        <v>0</v>
      </c>
      <c r="H130" s="218">
        <v>0</v>
      </c>
      <c r="I130" s="218">
        <v>0</v>
      </c>
      <c r="J130" s="218">
        <v>2774.4</v>
      </c>
      <c r="K130" s="218">
        <v>639.34314141802713</v>
      </c>
      <c r="L130" s="218">
        <f t="shared" si="20"/>
        <v>400.98170793324414</v>
      </c>
      <c r="M130" s="218">
        <f t="shared" si="20"/>
        <v>425.21070997163122</v>
      </c>
      <c r="N130" s="218"/>
      <c r="O130" s="218">
        <f t="shared" si="21"/>
        <v>862.79001354978118</v>
      </c>
      <c r="P130" s="218">
        <f t="shared" si="21"/>
        <v>613.92446100314658</v>
      </c>
      <c r="Q130" s="218">
        <f t="shared" si="21"/>
        <v>6388.9507294275882</v>
      </c>
      <c r="R130" s="218">
        <f t="shared" si="21"/>
        <v>872.70505970372005</v>
      </c>
      <c r="S130" s="218">
        <f t="shared" si="21"/>
        <v>1176.4370931933624</v>
      </c>
      <c r="T130" s="218">
        <f t="shared" si="21"/>
        <v>1164.9782903375828</v>
      </c>
      <c r="U130" s="218">
        <f t="shared" si="21"/>
        <v>1364.297800012281</v>
      </c>
      <c r="V130" s="218">
        <f t="shared" si="21"/>
        <v>1479.7433289837834</v>
      </c>
      <c r="W130" s="218">
        <f t="shared" si="21"/>
        <v>1605.4172973184329</v>
      </c>
      <c r="X130" s="218">
        <f t="shared" si="21"/>
        <v>1729.6075418542862</v>
      </c>
      <c r="Y130" s="218">
        <f t="shared" si="21"/>
        <v>1878.8996826750192</v>
      </c>
      <c r="Z130" s="218">
        <f t="shared" si="21"/>
        <v>2067.2592730709744</v>
      </c>
      <c r="AA130" s="218">
        <f t="shared" si="21"/>
        <v>2245.1149647352013</v>
      </c>
      <c r="AB130" s="218">
        <f t="shared" si="21"/>
        <v>2439.4228372421971</v>
      </c>
      <c r="AC130" s="219">
        <f t="shared" si="21"/>
        <v>2651.8238955157944</v>
      </c>
      <c r="AG130" s="130"/>
      <c r="AH130" s="130"/>
      <c r="AI130" s="130"/>
    </row>
    <row r="131" spans="3:35" hidden="1" x14ac:dyDescent="0.4">
      <c r="C131" s="216" t="s">
        <v>528</v>
      </c>
      <c r="D131" s="217">
        <v>0.21327257484073711</v>
      </c>
      <c r="E131" s="218">
        <v>155.10999999999999</v>
      </c>
      <c r="F131" s="218">
        <v>175.49999999999997</v>
      </c>
      <c r="G131" s="218">
        <v>206.08</v>
      </c>
      <c r="H131" s="218">
        <v>302.39999999999992</v>
      </c>
      <c r="I131" s="218">
        <v>132.6</v>
      </c>
      <c r="J131" s="218">
        <v>150.16</v>
      </c>
      <c r="K131" s="218">
        <v>258.52332151089013</v>
      </c>
      <c r="L131" s="218">
        <f t="shared" si="20"/>
        <v>162.14004074571434</v>
      </c>
      <c r="M131" s="218">
        <f t="shared" si="20"/>
        <v>171.93722425810063</v>
      </c>
      <c r="N131" s="218"/>
      <c r="O131" s="218">
        <f t="shared" si="21"/>
        <v>348.87578456632855</v>
      </c>
      <c r="P131" s="218">
        <f t="shared" si="21"/>
        <v>248.24508238768016</v>
      </c>
      <c r="Q131" s="218">
        <f t="shared" si="21"/>
        <v>2583.4214157325328</v>
      </c>
      <c r="R131" s="218">
        <f t="shared" si="21"/>
        <v>352.88500981423664</v>
      </c>
      <c r="S131" s="218">
        <f t="shared" si="21"/>
        <v>475.70139597713859</v>
      </c>
      <c r="T131" s="218">
        <f t="shared" si="21"/>
        <v>471.06794082151714</v>
      </c>
      <c r="U131" s="218">
        <f t="shared" si="21"/>
        <v>551.66431911179961</v>
      </c>
      <c r="V131" s="218">
        <f t="shared" si="21"/>
        <v>598.34560756216013</v>
      </c>
      <c r="W131" s="218">
        <f t="shared" si="21"/>
        <v>649.16284421737441</v>
      </c>
      <c r="X131" s="218">
        <f t="shared" si="21"/>
        <v>699.38012573141236</v>
      </c>
      <c r="Y131" s="218">
        <f t="shared" si="21"/>
        <v>759.74755226678553</v>
      </c>
      <c r="Z131" s="218">
        <f t="shared" si="21"/>
        <v>835.91220281670701</v>
      </c>
      <c r="AA131" s="218">
        <f t="shared" si="21"/>
        <v>907.82952104533774</v>
      </c>
      <c r="AB131" s="218">
        <f t="shared" si="21"/>
        <v>986.39940526245607</v>
      </c>
      <c r="AC131" s="219">
        <f t="shared" si="21"/>
        <v>1072.2854084430483</v>
      </c>
      <c r="AG131" s="130"/>
      <c r="AH131" s="130"/>
      <c r="AI131" s="130"/>
    </row>
    <row r="132" spans="3:35" hidden="1" x14ac:dyDescent="0.4">
      <c r="C132" s="216" t="s">
        <v>529</v>
      </c>
      <c r="D132" s="217">
        <v>0.34684029953956547</v>
      </c>
      <c r="E132" s="218">
        <v>173.4</v>
      </c>
      <c r="F132" s="218">
        <v>245.65</v>
      </c>
      <c r="G132" s="218">
        <v>173.4</v>
      </c>
      <c r="H132" s="218">
        <v>187.85000000000002</v>
      </c>
      <c r="I132" s="218">
        <v>473.96</v>
      </c>
      <c r="J132" s="218">
        <v>566.43999999999994</v>
      </c>
      <c r="K132" s="218">
        <v>419.56893655558014</v>
      </c>
      <c r="L132" s="218">
        <f t="shared" si="20"/>
        <v>263.14424583119137</v>
      </c>
      <c r="M132" s="218">
        <f t="shared" si="20"/>
        <v>279.04452841888292</v>
      </c>
      <c r="N132" s="218"/>
      <c r="O132" s="218">
        <f t="shared" si="21"/>
        <v>566.20594639204376</v>
      </c>
      <c r="P132" s="218">
        <f t="shared" si="21"/>
        <v>402.88792753331478</v>
      </c>
      <c r="Q132" s="218">
        <f t="shared" si="21"/>
        <v>4192.7489161868534</v>
      </c>
      <c r="R132" s="218">
        <f t="shared" si="21"/>
        <v>572.7126954305661</v>
      </c>
      <c r="S132" s="218">
        <f t="shared" si="21"/>
        <v>772.0368424081438</v>
      </c>
      <c r="T132" s="218">
        <f t="shared" si="21"/>
        <v>764.51700303403857</v>
      </c>
      <c r="U132" s="218">
        <f t="shared" si="21"/>
        <v>895.3204312580591</v>
      </c>
      <c r="V132" s="218">
        <f t="shared" si="21"/>
        <v>971.08155964560751</v>
      </c>
      <c r="W132" s="218">
        <f t="shared" si="21"/>
        <v>1053.5551013652212</v>
      </c>
      <c r="X132" s="218">
        <f t="shared" si="21"/>
        <v>1135.054949341875</v>
      </c>
      <c r="Y132" s="218">
        <f t="shared" si="21"/>
        <v>1233.0279167554809</v>
      </c>
      <c r="Z132" s="218">
        <f t="shared" si="21"/>
        <v>1356.6388979528263</v>
      </c>
      <c r="AA132" s="218">
        <f t="shared" si="21"/>
        <v>1473.3566956074756</v>
      </c>
      <c r="AB132" s="218">
        <f t="shared" si="21"/>
        <v>1600.8712369401915</v>
      </c>
      <c r="AC132" s="219">
        <f t="shared" si="21"/>
        <v>1740.2594314322394</v>
      </c>
      <c r="AG132" s="130"/>
      <c r="AH132" s="130"/>
      <c r="AI132" s="130"/>
    </row>
    <row r="133" spans="3:35" hidden="1" x14ac:dyDescent="0.4">
      <c r="C133" s="216" t="s">
        <v>530</v>
      </c>
      <c r="D133" s="217">
        <v>0.36007668510503693</v>
      </c>
      <c r="E133" s="218">
        <v>231.20000000000002</v>
      </c>
      <c r="F133" s="218">
        <v>170.51000000000002</v>
      </c>
      <c r="G133" s="218">
        <v>31.79</v>
      </c>
      <c r="H133" s="218">
        <v>372.80999999999995</v>
      </c>
      <c r="I133" s="218">
        <v>551.98999999999978</v>
      </c>
      <c r="J133" s="218">
        <v>508.64000000000004</v>
      </c>
      <c r="K133" s="218">
        <v>430.2246555792139</v>
      </c>
      <c r="L133" s="218">
        <f t="shared" si="20"/>
        <v>269.82727429674543</v>
      </c>
      <c r="M133" s="218">
        <f t="shared" si="20"/>
        <v>286.13137358507674</v>
      </c>
      <c r="N133" s="218"/>
      <c r="O133" s="218">
        <f t="shared" si="21"/>
        <v>580.58577995120686</v>
      </c>
      <c r="P133" s="218">
        <f t="shared" si="21"/>
        <v>413.12000188336731</v>
      </c>
      <c r="Q133" s="218">
        <f t="shared" si="21"/>
        <v>4299.23142834398</v>
      </c>
      <c r="R133" s="218">
        <f t="shared" si="21"/>
        <v>587.25777975896153</v>
      </c>
      <c r="S133" s="218">
        <f t="shared" si="21"/>
        <v>791.64412729469984</v>
      </c>
      <c r="T133" s="218">
        <f t="shared" si="21"/>
        <v>783.9333078729984</v>
      </c>
      <c r="U133" s="218">
        <f t="shared" si="21"/>
        <v>918.05872792493051</v>
      </c>
      <c r="V133" s="218">
        <f t="shared" si="21"/>
        <v>995.74394846200391</v>
      </c>
      <c r="W133" s="218">
        <f t="shared" si="21"/>
        <v>1080.3120563205287</v>
      </c>
      <c r="X133" s="218">
        <f t="shared" si="21"/>
        <v>1163.881741706113</v>
      </c>
      <c r="Y133" s="218">
        <f t="shared" si="21"/>
        <v>1264.3429114667315</v>
      </c>
      <c r="Z133" s="218">
        <f t="shared" si="21"/>
        <v>1391.0932191706761</v>
      </c>
      <c r="AA133" s="218">
        <f t="shared" si="21"/>
        <v>1510.775278353062</v>
      </c>
      <c r="AB133" s="218">
        <f t="shared" si="21"/>
        <v>1641.5282842275612</v>
      </c>
      <c r="AC133" s="219">
        <f t="shared" si="21"/>
        <v>1784.4564963575028</v>
      </c>
      <c r="AG133" s="130"/>
      <c r="AH133" s="130"/>
      <c r="AI133" s="130"/>
    </row>
    <row r="134" spans="3:35" hidden="1" x14ac:dyDescent="0.4">
      <c r="C134" s="216" t="s">
        <v>531</v>
      </c>
      <c r="D134" s="217">
        <v>0.24536964209765846</v>
      </c>
      <c r="E134" s="218">
        <v>101.76</v>
      </c>
      <c r="F134" s="218">
        <v>293.34000000000003</v>
      </c>
      <c r="G134" s="218">
        <v>214.8</v>
      </c>
      <c r="H134" s="218">
        <v>173.67</v>
      </c>
      <c r="I134" s="218">
        <v>387.54</v>
      </c>
      <c r="J134" s="218">
        <v>92.340000000000018</v>
      </c>
      <c r="K134" s="218">
        <v>291.1541565832635</v>
      </c>
      <c r="L134" s="218">
        <f t="shared" si="20"/>
        <v>182.60537012985051</v>
      </c>
      <c r="M134" s="218">
        <f t="shared" si="20"/>
        <v>193.63915495734483</v>
      </c>
      <c r="N134" s="218"/>
      <c r="O134" s="218">
        <f t="shared" si="21"/>
        <v>392.91091501566859</v>
      </c>
      <c r="P134" s="218">
        <f t="shared" si="21"/>
        <v>279.5785972658685</v>
      </c>
      <c r="Q134" s="218">
        <f t="shared" si="21"/>
        <v>2909.5010809887849</v>
      </c>
      <c r="R134" s="218">
        <f t="shared" si="21"/>
        <v>397.42618500672762</v>
      </c>
      <c r="S134" s="218">
        <f t="shared" si="21"/>
        <v>535.74446561244008</v>
      </c>
      <c r="T134" s="218">
        <f t="shared" si="21"/>
        <v>530.52617536296827</v>
      </c>
      <c r="U134" s="218">
        <f t="shared" si="21"/>
        <v>621.2954352023919</v>
      </c>
      <c r="V134" s="218">
        <f t="shared" si="21"/>
        <v>673.86883975077899</v>
      </c>
      <c r="W134" s="218">
        <f t="shared" si="21"/>
        <v>731.10023222930147</v>
      </c>
      <c r="X134" s="218">
        <f t="shared" si="21"/>
        <v>787.65594317899286</v>
      </c>
      <c r="Y134" s="218">
        <f t="shared" si="21"/>
        <v>855.64295129604704</v>
      </c>
      <c r="Z134" s="218">
        <f t="shared" si="21"/>
        <v>941.42111035233643</v>
      </c>
      <c r="AA134" s="218">
        <f t="shared" si="21"/>
        <v>1022.4158384496432</v>
      </c>
      <c r="AB134" s="218">
        <f t="shared" si="21"/>
        <v>1110.902819965994</v>
      </c>
      <c r="AC134" s="219">
        <f t="shared" si="21"/>
        <v>1207.6293615878858</v>
      </c>
      <c r="AG134" s="130"/>
      <c r="AH134" s="130"/>
      <c r="AI134" s="130"/>
    </row>
    <row r="135" spans="3:35" hidden="1" x14ac:dyDescent="0.4">
      <c r="C135" s="216" t="s">
        <v>532</v>
      </c>
      <c r="D135" s="217">
        <v>0.29967728356952433</v>
      </c>
      <c r="E135" s="218">
        <v>307.59999999999997</v>
      </c>
      <c r="F135" s="218">
        <v>414.19999999999993</v>
      </c>
      <c r="G135" s="218">
        <v>224.83999999999997</v>
      </c>
      <c r="H135" s="218">
        <v>224.67999999999998</v>
      </c>
      <c r="I135" s="218">
        <v>90.36</v>
      </c>
      <c r="J135" s="218">
        <v>19.8</v>
      </c>
      <c r="K135" s="218">
        <v>295.30905740497877</v>
      </c>
      <c r="L135" s="218">
        <f t="shared" si="20"/>
        <v>185.21123092643222</v>
      </c>
      <c r="M135" s="218">
        <f t="shared" si="20"/>
        <v>196.40247282815955</v>
      </c>
      <c r="N135" s="218"/>
      <c r="O135" s="218">
        <f t="shared" si="21"/>
        <v>398.5179305665273</v>
      </c>
      <c r="P135" s="218">
        <f t="shared" si="21"/>
        <v>283.56830964760383</v>
      </c>
      <c r="Q135" s="218">
        <f t="shared" si="21"/>
        <v>2951.0209705690831</v>
      </c>
      <c r="R135" s="218">
        <f t="shared" si="21"/>
        <v>403.09763549204263</v>
      </c>
      <c r="S135" s="218">
        <f t="shared" si="21"/>
        <v>543.38978019947729</v>
      </c>
      <c r="T135" s="218">
        <f t="shared" si="21"/>
        <v>538.09702260013171</v>
      </c>
      <c r="U135" s="218">
        <f t="shared" si="21"/>
        <v>630.1616006198592</v>
      </c>
      <c r="V135" s="218">
        <f t="shared" si="21"/>
        <v>683.48525130699909</v>
      </c>
      <c r="W135" s="218">
        <f t="shared" si="21"/>
        <v>741.53336150793859</v>
      </c>
      <c r="X135" s="218">
        <f t="shared" si="21"/>
        <v>798.89614790060193</v>
      </c>
      <c r="Y135" s="218">
        <f t="shared" si="21"/>
        <v>867.85336121481521</v>
      </c>
      <c r="Z135" s="218">
        <f t="shared" si="21"/>
        <v>954.85561319744511</v>
      </c>
      <c r="AA135" s="218">
        <f t="shared" si="21"/>
        <v>1037.0061725089624</v>
      </c>
      <c r="AB135" s="218">
        <f t="shared" si="21"/>
        <v>1126.7559030670163</v>
      </c>
      <c r="AC135" s="219">
        <f t="shared" si="21"/>
        <v>1224.8627759607768</v>
      </c>
      <c r="AG135" s="130"/>
      <c r="AH135" s="130"/>
      <c r="AI135" s="130"/>
    </row>
    <row r="136" spans="3:35" hidden="1" x14ac:dyDescent="0.4">
      <c r="C136" s="216" t="s">
        <v>533</v>
      </c>
      <c r="D136" s="217">
        <v>0.31550802139037432</v>
      </c>
      <c r="E136" s="218">
        <v>179.36</v>
      </c>
      <c r="F136" s="218">
        <v>174.64</v>
      </c>
      <c r="G136" s="218">
        <v>234.82</v>
      </c>
      <c r="H136" s="218">
        <v>122.72</v>
      </c>
      <c r="I136" s="218">
        <v>260.77999999999997</v>
      </c>
      <c r="J136" s="218">
        <v>336.30000000000007</v>
      </c>
      <c r="K136" s="218">
        <v>301.56330079385032</v>
      </c>
      <c r="L136" s="218">
        <f t="shared" si="20"/>
        <v>189.13375239172498</v>
      </c>
      <c r="M136" s="218">
        <f t="shared" si="20"/>
        <v>200.56200954551468</v>
      </c>
      <c r="N136" s="218"/>
      <c r="O136" s="218">
        <f t="shared" si="21"/>
        <v>406.95799723598418</v>
      </c>
      <c r="P136" s="218">
        <f t="shared" si="21"/>
        <v>289.57389999925658</v>
      </c>
      <c r="Q136" s="218">
        <f t="shared" si="21"/>
        <v>3013.5195730765308</v>
      </c>
      <c r="R136" s="218">
        <f t="shared" si="21"/>
        <v>411.63469407060336</v>
      </c>
      <c r="S136" s="218">
        <f t="shared" si="21"/>
        <v>554.89803521291003</v>
      </c>
      <c r="T136" s="218">
        <f t="shared" si="21"/>
        <v>549.4931842205765</v>
      </c>
      <c r="U136" s="218">
        <f t="shared" si="21"/>
        <v>643.50756453722261</v>
      </c>
      <c r="V136" s="218">
        <f t="shared" si="21"/>
        <v>697.96053747648443</v>
      </c>
      <c r="W136" s="218">
        <f t="shared" si="21"/>
        <v>757.23802754355802</v>
      </c>
      <c r="X136" s="218">
        <f t="shared" si="21"/>
        <v>815.81567957805487</v>
      </c>
      <c r="Y136" s="218">
        <f t="shared" si="21"/>
        <v>886.23331269542359</v>
      </c>
      <c r="Z136" s="218">
        <f t="shared" si="21"/>
        <v>975.07815380844067</v>
      </c>
      <c r="AA136" s="218">
        <f t="shared" si="21"/>
        <v>1058.9685500114542</v>
      </c>
      <c r="AB136" s="218">
        <f t="shared" si="21"/>
        <v>1150.619057551861</v>
      </c>
      <c r="AC136" s="219">
        <f t="shared" si="21"/>
        <v>1250.8037003135373</v>
      </c>
      <c r="AG136" s="130"/>
      <c r="AH136" s="130"/>
      <c r="AI136" s="130"/>
    </row>
    <row r="137" spans="3:35" hidden="1" x14ac:dyDescent="0.4">
      <c r="C137" s="216" t="s">
        <v>534</v>
      </c>
      <c r="D137" s="217">
        <v>0.27997683509483134</v>
      </c>
      <c r="E137" s="218">
        <v>300.95999999999998</v>
      </c>
      <c r="F137" s="218">
        <v>356.40000000000003</v>
      </c>
      <c r="G137" s="218">
        <v>241.56</v>
      </c>
      <c r="H137" s="218">
        <v>186.12000000000003</v>
      </c>
      <c r="I137" s="218">
        <v>59.400000000000006</v>
      </c>
      <c r="J137" s="218">
        <v>15.84</v>
      </c>
      <c r="K137" s="218">
        <v>267.37927484303219</v>
      </c>
      <c r="L137" s="218">
        <f t="shared" si="20"/>
        <v>167.69429645356999</v>
      </c>
      <c r="M137" s="218">
        <f t="shared" si="20"/>
        <v>177.82709146694216</v>
      </c>
      <c r="N137" s="218"/>
      <c r="O137" s="218">
        <f t="shared" si="21"/>
        <v>360.82684433446525</v>
      </c>
      <c r="P137" s="218">
        <f t="shared" si="21"/>
        <v>256.74894521796818</v>
      </c>
      <c r="Q137" s="218">
        <f t="shared" si="21"/>
        <v>2671.9188842056815</v>
      </c>
      <c r="R137" s="218">
        <f t="shared" si="21"/>
        <v>364.97340926796153</v>
      </c>
      <c r="S137" s="218">
        <f t="shared" si="21"/>
        <v>491.99698330824498</v>
      </c>
      <c r="T137" s="218">
        <f t="shared" si="21"/>
        <v>487.20480489939837</v>
      </c>
      <c r="U137" s="218">
        <f t="shared" si="21"/>
        <v>570.56208599994579</v>
      </c>
      <c r="V137" s="218">
        <f t="shared" si="21"/>
        <v>618.84248477267317</v>
      </c>
      <c r="W137" s="218">
        <f t="shared" si="21"/>
        <v>671.40051244688277</v>
      </c>
      <c r="X137" s="218">
        <f t="shared" si="21"/>
        <v>723.33803296665644</v>
      </c>
      <c r="Y137" s="218">
        <f t="shared" si="21"/>
        <v>785.77340102875269</v>
      </c>
      <c r="Z137" s="218">
        <f t="shared" si="21"/>
        <v>864.54714149322024</v>
      </c>
      <c r="AA137" s="218">
        <f t="shared" si="21"/>
        <v>938.92805337476921</v>
      </c>
      <c r="AB137" s="218">
        <f t="shared" si="21"/>
        <v>1020.1894209902598</v>
      </c>
      <c r="AC137" s="219">
        <f t="shared" si="21"/>
        <v>1109.0175279300267</v>
      </c>
      <c r="AG137" s="130"/>
      <c r="AH137" s="130"/>
      <c r="AI137" s="130"/>
    </row>
    <row r="138" spans="3:35" hidden="1" x14ac:dyDescent="0.4">
      <c r="C138" s="216" t="s">
        <v>535</v>
      </c>
      <c r="D138" s="217">
        <v>0.32468478895729846</v>
      </c>
      <c r="E138" s="218">
        <v>320.96000000000004</v>
      </c>
      <c r="F138" s="218">
        <v>316.24000000000007</v>
      </c>
      <c r="G138" s="218">
        <v>325.68000000000006</v>
      </c>
      <c r="H138" s="218">
        <v>106.19999999999999</v>
      </c>
      <c r="I138" s="218">
        <v>0</v>
      </c>
      <c r="J138" s="218">
        <v>142.78</v>
      </c>
      <c r="K138" s="218">
        <v>279.26556349439528</v>
      </c>
      <c r="L138" s="218">
        <f t="shared" si="20"/>
        <v>175.14911064589867</v>
      </c>
      <c r="M138" s="218">
        <f t="shared" si="20"/>
        <v>185.73235690103121</v>
      </c>
      <c r="N138" s="218"/>
      <c r="O138" s="218">
        <f t="shared" si="21"/>
        <v>376.86732476226859</v>
      </c>
      <c r="P138" s="218">
        <f t="shared" si="21"/>
        <v>268.16266483249467</v>
      </c>
      <c r="Q138" s="218">
        <f t="shared" si="21"/>
        <v>2790.6984684847589</v>
      </c>
      <c r="R138" s="218">
        <f t="shared" si="21"/>
        <v>381.19822435573462</v>
      </c>
      <c r="S138" s="218">
        <f t="shared" si="21"/>
        <v>513.86860429545425</v>
      </c>
      <c r="T138" s="218">
        <f t="shared" si="21"/>
        <v>508.8633906172517</v>
      </c>
      <c r="U138" s="218">
        <f t="shared" si="21"/>
        <v>595.92630187531813</v>
      </c>
      <c r="V138" s="218">
        <f t="shared" si="21"/>
        <v>646.35299548092837</v>
      </c>
      <c r="W138" s="218">
        <f t="shared" si="21"/>
        <v>701.24747906874131</v>
      </c>
      <c r="X138" s="218">
        <f t="shared" si="21"/>
        <v>755.49387098887507</v>
      </c>
      <c r="Y138" s="218">
        <f t="shared" si="21"/>
        <v>820.70479002542857</v>
      </c>
      <c r="Z138" s="218">
        <f t="shared" si="21"/>
        <v>902.9804003257608</v>
      </c>
      <c r="AA138" s="218">
        <f t="shared" si="21"/>
        <v>980.66789978517909</v>
      </c>
      <c r="AB138" s="218">
        <f t="shared" si="21"/>
        <v>1065.5417241711104</v>
      </c>
      <c r="AC138" s="219">
        <f t="shared" si="21"/>
        <v>1158.3186656645655</v>
      </c>
      <c r="AG138" s="130"/>
      <c r="AH138" s="130"/>
      <c r="AI138" s="130"/>
    </row>
    <row r="139" spans="3:35" hidden="1" x14ac:dyDescent="0.4">
      <c r="C139" s="216" t="s">
        <v>536</v>
      </c>
      <c r="D139" s="217">
        <v>0.22991788983474265</v>
      </c>
      <c r="E139" s="218">
        <v>65.16</v>
      </c>
      <c r="F139" s="218">
        <v>101.36</v>
      </c>
      <c r="G139" s="218">
        <v>162.89999999999998</v>
      </c>
      <c r="H139" s="218">
        <v>190.05999999999997</v>
      </c>
      <c r="I139" s="218">
        <v>146.61999999999998</v>
      </c>
      <c r="J139" s="218">
        <v>65.569999999999993</v>
      </c>
      <c r="K139" s="218">
        <v>168.60877893646472</v>
      </c>
      <c r="L139" s="218">
        <f t="shared" si="20"/>
        <v>105.74765219273236</v>
      </c>
      <c r="M139" s="218">
        <f t="shared" si="20"/>
        <v>112.13737030166642</v>
      </c>
      <c r="N139" s="218"/>
      <c r="O139" s="218">
        <f t="shared" si="21"/>
        <v>227.53660943410043</v>
      </c>
      <c r="P139" s="218">
        <f t="shared" si="21"/>
        <v>161.90531660257068</v>
      </c>
      <c r="Q139" s="218">
        <f t="shared" si="21"/>
        <v>1684.9061347319355</v>
      </c>
      <c r="R139" s="218">
        <f t="shared" si="21"/>
        <v>230.15142410374159</v>
      </c>
      <c r="S139" s="218">
        <f t="shared" si="21"/>
        <v>310.25220875749255</v>
      </c>
      <c r="T139" s="218">
        <f t="shared" si="21"/>
        <v>307.23027165920524</v>
      </c>
      <c r="U139" s="218">
        <f t="shared" si="21"/>
        <v>359.79518862996872</v>
      </c>
      <c r="V139" s="218">
        <f t="shared" si="21"/>
        <v>390.24070123902987</v>
      </c>
      <c r="W139" s="218">
        <f t="shared" si="21"/>
        <v>423.38367716586561</v>
      </c>
      <c r="X139" s="218">
        <f t="shared" si="21"/>
        <v>456.13536265445686</v>
      </c>
      <c r="Y139" s="218">
        <f t="shared" si="21"/>
        <v>495.50696756878273</v>
      </c>
      <c r="Z139" s="218">
        <f t="shared" si="21"/>
        <v>545.18151395899622</v>
      </c>
      <c r="AA139" s="218">
        <f t="shared" si="21"/>
        <v>592.08595236728809</v>
      </c>
      <c r="AB139" s="218">
        <f t="shared" si="21"/>
        <v>643.329190933174</v>
      </c>
      <c r="AC139" s="219">
        <f t="shared" si="21"/>
        <v>699.34399856979542</v>
      </c>
      <c r="AG139" s="130"/>
      <c r="AH139" s="130"/>
      <c r="AI139" s="130"/>
    </row>
    <row r="140" spans="3:35" hidden="1" x14ac:dyDescent="0.4">
      <c r="C140" s="216" t="s">
        <v>537</v>
      </c>
      <c r="D140" s="217">
        <v>0.2950278725140944</v>
      </c>
      <c r="E140" s="218">
        <v>174.64999999999998</v>
      </c>
      <c r="F140" s="218">
        <v>196.87</v>
      </c>
      <c r="G140" s="218">
        <v>192.57000000000002</v>
      </c>
      <c r="H140" s="218">
        <v>203.24</v>
      </c>
      <c r="I140" s="218">
        <v>78.47</v>
      </c>
      <c r="J140" s="218">
        <v>86.73</v>
      </c>
      <c r="K140" s="218">
        <v>214.89571066412657</v>
      </c>
      <c r="L140" s="218">
        <f t="shared" ref="L140:M155" si="22">+L75*$D140</f>
        <v>134.77777973579444</v>
      </c>
      <c r="M140" s="218">
        <f t="shared" si="22"/>
        <v>142.92162030343326</v>
      </c>
      <c r="N140" s="218"/>
      <c r="O140" s="218">
        <f t="shared" ref="O140:AC155" si="23">+O75*$D140</f>
        <v>290.00056636951319</v>
      </c>
      <c r="P140" s="218">
        <f t="shared" si="23"/>
        <v>206.35199597003469</v>
      </c>
      <c r="Q140" s="218">
        <f t="shared" si="23"/>
        <v>2147.4510610269276</v>
      </c>
      <c r="R140" s="218">
        <f t="shared" si="23"/>
        <v>293.33320693681878</v>
      </c>
      <c r="S140" s="218">
        <f t="shared" si="23"/>
        <v>395.42347264835865</v>
      </c>
      <c r="T140" s="218">
        <f t="shared" si="23"/>
        <v>391.57194531736815</v>
      </c>
      <c r="U140" s="218">
        <f t="shared" si="23"/>
        <v>458.56712350254185</v>
      </c>
      <c r="V140" s="218">
        <f t="shared" si="23"/>
        <v>497.37061944104943</v>
      </c>
      <c r="W140" s="218">
        <f t="shared" si="23"/>
        <v>539.61209352233209</v>
      </c>
      <c r="X140" s="218">
        <f t="shared" si="23"/>
        <v>581.35485907056568</v>
      </c>
      <c r="Y140" s="218">
        <f t="shared" si="23"/>
        <v>631.53486198274777</v>
      </c>
      <c r="Z140" s="218">
        <f t="shared" si="23"/>
        <v>694.84619734604792</v>
      </c>
      <c r="AA140" s="218">
        <f t="shared" si="23"/>
        <v>754.62696729545746</v>
      </c>
      <c r="AB140" s="218">
        <f t="shared" si="23"/>
        <v>819.93763639470365</v>
      </c>
      <c r="AC140" s="219">
        <f t="shared" si="23"/>
        <v>891.32977843329854</v>
      </c>
      <c r="AG140" s="130"/>
      <c r="AH140" s="130"/>
      <c r="AI140" s="130"/>
    </row>
    <row r="141" spans="3:35" hidden="1" x14ac:dyDescent="0.4">
      <c r="C141" s="216" t="s">
        <v>538</v>
      </c>
      <c r="D141" s="217">
        <v>0.41995681876772367</v>
      </c>
      <c r="E141" s="218">
        <v>0</v>
      </c>
      <c r="F141" s="218">
        <v>0</v>
      </c>
      <c r="G141" s="218">
        <v>0</v>
      </c>
      <c r="H141" s="218">
        <v>1303.21</v>
      </c>
      <c r="I141" s="218">
        <v>0</v>
      </c>
      <c r="J141" s="218">
        <v>0</v>
      </c>
      <c r="K141" s="218">
        <v>300.3166001035853</v>
      </c>
      <c r="L141" s="218">
        <f t="shared" si="22"/>
        <v>188.35184962358818</v>
      </c>
      <c r="M141" s="218">
        <f t="shared" si="22"/>
        <v>199.73286092204782</v>
      </c>
      <c r="N141" s="218"/>
      <c r="O141" s="218">
        <f t="shared" si="23"/>
        <v>405.27558158816692</v>
      </c>
      <c r="P141" s="218">
        <f t="shared" si="23"/>
        <v>288.3767650028513</v>
      </c>
      <c r="Q141" s="218">
        <f t="shared" si="23"/>
        <v>3001.0613033799473</v>
      </c>
      <c r="R141" s="218">
        <f t="shared" si="23"/>
        <v>409.93294436868695</v>
      </c>
      <c r="S141" s="218">
        <f t="shared" si="23"/>
        <v>552.6040168038212</v>
      </c>
      <c r="T141" s="218">
        <f t="shared" si="23"/>
        <v>547.22151014664109</v>
      </c>
      <c r="U141" s="218">
        <f t="shared" si="23"/>
        <v>640.84722316681246</v>
      </c>
      <c r="V141" s="218">
        <f t="shared" si="23"/>
        <v>695.07508065345894</v>
      </c>
      <c r="W141" s="218">
        <f t="shared" si="23"/>
        <v>754.10751010609681</v>
      </c>
      <c r="X141" s="218">
        <f t="shared" si="23"/>
        <v>812.44299474478237</v>
      </c>
      <c r="Y141" s="218">
        <f t="shared" si="23"/>
        <v>882.56951249239899</v>
      </c>
      <c r="Z141" s="218">
        <f t="shared" si="23"/>
        <v>971.04705783550457</v>
      </c>
      <c r="AA141" s="218">
        <f t="shared" si="23"/>
        <v>1054.5906405682531</v>
      </c>
      <c r="AB141" s="218">
        <f t="shared" si="23"/>
        <v>1145.8622533601513</v>
      </c>
      <c r="AC141" s="219">
        <f t="shared" si="23"/>
        <v>1245.6327201827919</v>
      </c>
      <c r="AG141" s="130"/>
      <c r="AH141" s="130"/>
      <c r="AI141" s="130"/>
    </row>
    <row r="142" spans="3:35" hidden="1" x14ac:dyDescent="0.4">
      <c r="C142" s="216" t="s">
        <v>539</v>
      </c>
      <c r="D142" s="217">
        <v>0.38773501498846508</v>
      </c>
      <c r="E142" s="218">
        <v>150.28</v>
      </c>
      <c r="F142" s="218">
        <v>172.38</v>
      </c>
      <c r="G142" s="218">
        <v>243.1</v>
      </c>
      <c r="H142" s="218">
        <v>167.95999999999998</v>
      </c>
      <c r="I142" s="218">
        <v>141.44000000000003</v>
      </c>
      <c r="J142" s="218">
        <v>247.55</v>
      </c>
      <c r="K142" s="218">
        <v>258.72150313632972</v>
      </c>
      <c r="L142" s="218">
        <f t="shared" si="22"/>
        <v>162.26433582530726</v>
      </c>
      <c r="M142" s="218">
        <f t="shared" si="22"/>
        <v>172.06902976940961</v>
      </c>
      <c r="N142" s="218"/>
      <c r="O142" s="218">
        <f t="shared" si="23"/>
        <v>349.14322956764522</v>
      </c>
      <c r="P142" s="218">
        <f t="shared" si="23"/>
        <v>248.43538480855057</v>
      </c>
      <c r="Q142" s="218">
        <f t="shared" si="23"/>
        <v>2585.4018430780156</v>
      </c>
      <c r="R142" s="218">
        <f t="shared" si="23"/>
        <v>353.15552825114025</v>
      </c>
      <c r="S142" s="218">
        <f t="shared" si="23"/>
        <v>476.06606433791808</v>
      </c>
      <c r="T142" s="218">
        <f t="shared" si="23"/>
        <v>471.42905721774349</v>
      </c>
      <c r="U142" s="218">
        <f t="shared" si="23"/>
        <v>552.08721995811266</v>
      </c>
      <c r="V142" s="218">
        <f t="shared" si="23"/>
        <v>598.80429385935099</v>
      </c>
      <c r="W142" s="218">
        <f t="shared" si="23"/>
        <v>649.66048654569556</v>
      </c>
      <c r="X142" s="218">
        <f t="shared" si="23"/>
        <v>699.91626417071279</v>
      </c>
      <c r="Y142" s="218">
        <f t="shared" si="23"/>
        <v>760.32996782586167</v>
      </c>
      <c r="Z142" s="218">
        <f t="shared" si="23"/>
        <v>836.55300550371737</v>
      </c>
      <c r="AA142" s="218">
        <f t="shared" si="23"/>
        <v>908.52545489397983</v>
      </c>
      <c r="AB142" s="218">
        <f t="shared" si="23"/>
        <v>987.15557006927168</v>
      </c>
      <c r="AC142" s="219">
        <f t="shared" si="23"/>
        <v>1073.1074126782501</v>
      </c>
      <c r="AG142" s="130"/>
      <c r="AH142" s="130"/>
      <c r="AI142" s="130"/>
    </row>
    <row r="143" spans="3:35" hidden="1" x14ac:dyDescent="0.4">
      <c r="C143" s="216" t="s">
        <v>540</v>
      </c>
      <c r="D143" s="217">
        <v>0.27055202091236835</v>
      </c>
      <c r="E143" s="218">
        <v>114.24000000000001</v>
      </c>
      <c r="F143" s="218">
        <v>108.79999999999997</v>
      </c>
      <c r="G143" s="218">
        <v>116.96000000000001</v>
      </c>
      <c r="H143" s="218">
        <v>137.36000000000001</v>
      </c>
      <c r="I143" s="218">
        <v>96.559999999999988</v>
      </c>
      <c r="J143" s="218">
        <v>201.28999999999996</v>
      </c>
      <c r="K143" s="218">
        <v>178.64229983371851</v>
      </c>
      <c r="L143" s="218">
        <f t="shared" si="22"/>
        <v>112.04045192002958</v>
      </c>
      <c r="M143" s="218">
        <f t="shared" si="22"/>
        <v>118.81040746723909</v>
      </c>
      <c r="N143" s="218"/>
      <c r="O143" s="218">
        <f t="shared" si="23"/>
        <v>241.07679008215317</v>
      </c>
      <c r="P143" s="218">
        <f t="shared" si="23"/>
        <v>171.53992986384412</v>
      </c>
      <c r="Q143" s="218">
        <f t="shared" si="23"/>
        <v>1785.1710261532435</v>
      </c>
      <c r="R143" s="218">
        <f t="shared" si="23"/>
        <v>243.84720636278857</v>
      </c>
      <c r="S143" s="218">
        <f t="shared" si="23"/>
        <v>328.71460460439238</v>
      </c>
      <c r="T143" s="218">
        <f t="shared" si="23"/>
        <v>325.51283897512883</v>
      </c>
      <c r="U143" s="218">
        <f t="shared" si="23"/>
        <v>381.20577333748554</v>
      </c>
      <c r="V143" s="218">
        <f t="shared" si="23"/>
        <v>413.46302842471107</v>
      </c>
      <c r="W143" s="218">
        <f t="shared" si="23"/>
        <v>448.57826667179285</v>
      </c>
      <c r="X143" s="218">
        <f t="shared" si="23"/>
        <v>483.27892968600804</v>
      </c>
      <c r="Y143" s="218">
        <f t="shared" si="23"/>
        <v>524.99344831549206</v>
      </c>
      <c r="Z143" s="218">
        <f t="shared" si="23"/>
        <v>577.62401278739526</v>
      </c>
      <c r="AA143" s="218">
        <f t="shared" si="23"/>
        <v>627.31962651830122</v>
      </c>
      <c r="AB143" s="218">
        <f t="shared" si="23"/>
        <v>681.61223243170525</v>
      </c>
      <c r="AC143" s="219">
        <f t="shared" si="23"/>
        <v>740.96035252407671</v>
      </c>
      <c r="AG143" s="130"/>
      <c r="AH143" s="130"/>
      <c r="AI143" s="130"/>
    </row>
    <row r="144" spans="3:35" hidden="1" x14ac:dyDescent="0.4">
      <c r="C144" s="216" t="s">
        <v>541</v>
      </c>
      <c r="D144" s="217">
        <v>0.42446043165467628</v>
      </c>
      <c r="E144" s="218">
        <v>0</v>
      </c>
      <c r="F144" s="218">
        <v>0</v>
      </c>
      <c r="G144" s="218">
        <v>0</v>
      </c>
      <c r="H144" s="218">
        <v>0</v>
      </c>
      <c r="I144" s="218">
        <v>0</v>
      </c>
      <c r="J144" s="218">
        <v>1180</v>
      </c>
      <c r="K144" s="218">
        <v>271.92362560311125</v>
      </c>
      <c r="L144" s="218">
        <f t="shared" si="22"/>
        <v>170.544411534468</v>
      </c>
      <c r="M144" s="218">
        <f t="shared" si="22"/>
        <v>180.84942249370127</v>
      </c>
      <c r="N144" s="218"/>
      <c r="O144" s="218">
        <f t="shared" si="23"/>
        <v>366.95942041116706</v>
      </c>
      <c r="P144" s="218">
        <f t="shared" si="23"/>
        <v>261.11262398490226</v>
      </c>
      <c r="Q144" s="218">
        <f t="shared" si="23"/>
        <v>2717.3305438021025</v>
      </c>
      <c r="R144" s="218">
        <f t="shared" si="23"/>
        <v>371.17645993742417</v>
      </c>
      <c r="S144" s="218">
        <f t="shared" si="23"/>
        <v>500.35891362751136</v>
      </c>
      <c r="T144" s="218">
        <f t="shared" si="23"/>
        <v>495.48528784542526</v>
      </c>
      <c r="U144" s="218">
        <f t="shared" si="23"/>
        <v>580.25930075493488</v>
      </c>
      <c r="V144" s="218">
        <f t="shared" si="23"/>
        <v>629.3602682384892</v>
      </c>
      <c r="W144" s="218">
        <f t="shared" si="23"/>
        <v>682.81156676605781</v>
      </c>
      <c r="X144" s="218">
        <f t="shared" si="23"/>
        <v>735.63181206316949</v>
      </c>
      <c r="Y144" s="218">
        <f t="shared" si="23"/>
        <v>799.12832524384453</v>
      </c>
      <c r="Z144" s="218">
        <f t="shared" si="23"/>
        <v>879.24089613024421</v>
      </c>
      <c r="AA144" s="218">
        <f t="shared" si="23"/>
        <v>954.88597836921031</v>
      </c>
      <c r="AB144" s="218">
        <f t="shared" si="23"/>
        <v>1037.5284558628143</v>
      </c>
      <c r="AC144" s="219">
        <f t="shared" si="23"/>
        <v>1127.8662762069771</v>
      </c>
      <c r="AG144" s="130"/>
      <c r="AH144" s="130"/>
      <c r="AI144" s="130"/>
    </row>
    <row r="145" spans="3:35" hidden="1" x14ac:dyDescent="0.4">
      <c r="C145" s="216" t="s">
        <v>542</v>
      </c>
      <c r="D145" s="217">
        <v>0.39746901670972168</v>
      </c>
      <c r="E145" s="218">
        <v>145.85999999999999</v>
      </c>
      <c r="F145" s="218">
        <v>35.36</v>
      </c>
      <c r="G145" s="218">
        <v>70.72</v>
      </c>
      <c r="H145" s="218">
        <v>97.24</v>
      </c>
      <c r="I145" s="218">
        <v>419.90000000000003</v>
      </c>
      <c r="J145" s="218">
        <v>203.32</v>
      </c>
      <c r="K145" s="218">
        <v>224.08350299700453</v>
      </c>
      <c r="L145" s="218">
        <f t="shared" si="22"/>
        <v>140.54015743738699</v>
      </c>
      <c r="M145" s="218">
        <f t="shared" si="22"/>
        <v>149.03218511260602</v>
      </c>
      <c r="N145" s="218"/>
      <c r="O145" s="218">
        <f t="shared" si="23"/>
        <v>302.39944102357526</v>
      </c>
      <c r="P145" s="218">
        <f t="shared" si="23"/>
        <v>215.1745047143381</v>
      </c>
      <c r="Q145" s="218">
        <f t="shared" si="23"/>
        <v>2239.264593892512</v>
      </c>
      <c r="R145" s="218">
        <f t="shared" si="23"/>
        <v>305.87456749419596</v>
      </c>
      <c r="S145" s="218">
        <f t="shared" si="23"/>
        <v>412.32966746728135</v>
      </c>
      <c r="T145" s="218">
        <f t="shared" si="23"/>
        <v>408.31346940753508</v>
      </c>
      <c r="U145" s="218">
        <f t="shared" si="23"/>
        <v>478.17300343567678</v>
      </c>
      <c r="V145" s="218">
        <f t="shared" si="23"/>
        <v>518.63552952127702</v>
      </c>
      <c r="W145" s="218">
        <f t="shared" si="23"/>
        <v>562.68302332484279</v>
      </c>
      <c r="X145" s="218">
        <f t="shared" si="23"/>
        <v>606.21048648324233</v>
      </c>
      <c r="Y145" s="218">
        <f t="shared" si="23"/>
        <v>658.53591819246992</v>
      </c>
      <c r="Z145" s="218">
        <f t="shared" si="23"/>
        <v>724.55410796360104</v>
      </c>
      <c r="AA145" s="218">
        <f t="shared" si="23"/>
        <v>786.8907842086611</v>
      </c>
      <c r="AB145" s="218">
        <f t="shared" si="23"/>
        <v>854.99378854322083</v>
      </c>
      <c r="AC145" s="219">
        <f t="shared" si="23"/>
        <v>929.43827710480036</v>
      </c>
      <c r="AG145" s="130"/>
      <c r="AH145" s="130"/>
      <c r="AI145" s="130"/>
    </row>
    <row r="146" spans="3:35" hidden="1" x14ac:dyDescent="0.4">
      <c r="C146" s="216" t="s">
        <v>543</v>
      </c>
      <c r="D146" s="217">
        <v>0.23758278854969025</v>
      </c>
      <c r="E146" s="218">
        <v>79.56</v>
      </c>
      <c r="F146" s="218">
        <v>123.24</v>
      </c>
      <c r="G146" s="218">
        <v>21.84</v>
      </c>
      <c r="H146" s="218">
        <v>92.04000000000002</v>
      </c>
      <c r="I146" s="218">
        <v>116.99999999999999</v>
      </c>
      <c r="J146" s="218">
        <v>120.9</v>
      </c>
      <c r="K146" s="218">
        <v>127.79949515845207</v>
      </c>
      <c r="L146" s="218">
        <f t="shared" si="22"/>
        <v>80.152982837953616</v>
      </c>
      <c r="M146" s="218">
        <f t="shared" si="22"/>
        <v>84.996163327590565</v>
      </c>
      <c r="N146" s="218"/>
      <c r="O146" s="218">
        <f t="shared" si="23"/>
        <v>172.4647079420551</v>
      </c>
      <c r="P146" s="218">
        <f t="shared" si="23"/>
        <v>122.71850763520941</v>
      </c>
      <c r="Q146" s="218">
        <f t="shared" si="23"/>
        <v>1277.0992991370931</v>
      </c>
      <c r="R146" s="218">
        <f t="shared" si="23"/>
        <v>174.44664504414976</v>
      </c>
      <c r="S146" s="218">
        <f t="shared" si="23"/>
        <v>235.16020874537736</v>
      </c>
      <c r="T146" s="218">
        <f t="shared" si="23"/>
        <v>232.86968723162366</v>
      </c>
      <c r="U146" s="218">
        <f t="shared" si="23"/>
        <v>272.71203645141674</v>
      </c>
      <c r="V146" s="218">
        <f t="shared" si="23"/>
        <v>295.78865894889941</v>
      </c>
      <c r="W146" s="218">
        <f t="shared" si="23"/>
        <v>320.90986330264434</v>
      </c>
      <c r="X146" s="218">
        <f t="shared" si="23"/>
        <v>345.734483333892</v>
      </c>
      <c r="Y146" s="218">
        <f t="shared" si="23"/>
        <v>375.57676831672154</v>
      </c>
      <c r="Z146" s="218">
        <f t="shared" si="23"/>
        <v>413.22831879314475</v>
      </c>
      <c r="AA146" s="218">
        <f t="shared" si="23"/>
        <v>448.78022532542093</v>
      </c>
      <c r="AB146" s="218">
        <f t="shared" si="23"/>
        <v>487.62078902745731</v>
      </c>
      <c r="AC146" s="219">
        <f t="shared" si="23"/>
        <v>530.07803343971636</v>
      </c>
      <c r="AG146" s="130"/>
      <c r="AH146" s="130"/>
      <c r="AI146" s="130"/>
    </row>
    <row r="147" spans="3:35" hidden="1" x14ac:dyDescent="0.4">
      <c r="C147" s="216" t="s">
        <v>544</v>
      </c>
      <c r="D147" s="217">
        <v>0.24368069880673304</v>
      </c>
      <c r="E147" s="218">
        <v>169.28000000000003</v>
      </c>
      <c r="F147" s="218">
        <v>30.78</v>
      </c>
      <c r="G147" s="218">
        <v>15.39</v>
      </c>
      <c r="H147" s="218">
        <v>46.17</v>
      </c>
      <c r="I147" s="218">
        <v>230.85000000000002</v>
      </c>
      <c r="J147" s="218">
        <v>61.56</v>
      </c>
      <c r="K147" s="218">
        <v>127.67275109567098</v>
      </c>
      <c r="L147" s="218">
        <f t="shared" si="22"/>
        <v>80.073491798679086</v>
      </c>
      <c r="M147" s="218">
        <f t="shared" si="22"/>
        <v>84.911869105241806</v>
      </c>
      <c r="N147" s="218"/>
      <c r="O147" s="218">
        <f t="shared" si="23"/>
        <v>172.29366753423633</v>
      </c>
      <c r="P147" s="218">
        <f t="shared" si="23"/>
        <v>122.59680259860629</v>
      </c>
      <c r="Q147" s="218">
        <f t="shared" si="23"/>
        <v>1275.8327467649822</v>
      </c>
      <c r="R147" s="218">
        <f t="shared" si="23"/>
        <v>174.27363906706029</v>
      </c>
      <c r="S147" s="218">
        <f t="shared" si="23"/>
        <v>234.92699060766964</v>
      </c>
      <c r="T147" s="218">
        <f t="shared" si="23"/>
        <v>232.63874069915337</v>
      </c>
      <c r="U147" s="218">
        <f t="shared" si="23"/>
        <v>272.44157660784458</v>
      </c>
      <c r="V147" s="218">
        <f t="shared" si="23"/>
        <v>295.4953130611612</v>
      </c>
      <c r="W147" s="218">
        <f t="shared" si="23"/>
        <v>320.59160367406696</v>
      </c>
      <c r="X147" s="218">
        <f t="shared" si="23"/>
        <v>345.39160409945578</v>
      </c>
      <c r="Y147" s="218">
        <f t="shared" si="23"/>
        <v>375.2042932498706</v>
      </c>
      <c r="Z147" s="218">
        <f t="shared" si="23"/>
        <v>412.81850312121969</v>
      </c>
      <c r="AA147" s="218">
        <f t="shared" si="23"/>
        <v>448.33515135245233</v>
      </c>
      <c r="AB147" s="218">
        <f t="shared" si="23"/>
        <v>487.13719525565693</v>
      </c>
      <c r="AC147" s="219">
        <f t="shared" si="23"/>
        <v>529.55233305673858</v>
      </c>
      <c r="AG147" s="130"/>
      <c r="AH147" s="130"/>
      <c r="AI147" s="130"/>
    </row>
    <row r="148" spans="3:35" hidden="1" x14ac:dyDescent="0.4">
      <c r="C148" s="216" t="s">
        <v>545</v>
      </c>
      <c r="D148" s="217">
        <v>0.42446522781774582</v>
      </c>
      <c r="E148" s="218">
        <v>885.01</v>
      </c>
      <c r="F148" s="218">
        <v>0</v>
      </c>
      <c r="G148" s="218">
        <v>0</v>
      </c>
      <c r="H148" s="218">
        <v>0</v>
      </c>
      <c r="I148" s="218">
        <v>0</v>
      </c>
      <c r="J148" s="218">
        <v>0</v>
      </c>
      <c r="K148" s="218">
        <v>203.94502363983855</v>
      </c>
      <c r="L148" s="218">
        <f t="shared" si="22"/>
        <v>127.90975394247417</v>
      </c>
      <c r="M148" s="218">
        <f t="shared" si="22"/>
        <v>135.63859949250045</v>
      </c>
      <c r="N148" s="218"/>
      <c r="O148" s="218">
        <f t="shared" si="23"/>
        <v>275.22267513397196</v>
      </c>
      <c r="P148" s="218">
        <f t="shared" si="23"/>
        <v>195.83668080752403</v>
      </c>
      <c r="Q148" s="218">
        <f t="shared" si="23"/>
        <v>2038.0209360765243</v>
      </c>
      <c r="R148" s="218">
        <f t="shared" si="23"/>
        <v>278.38549051628792</v>
      </c>
      <c r="S148" s="218">
        <f t="shared" si="23"/>
        <v>375.27342555041002</v>
      </c>
      <c r="T148" s="218">
        <f t="shared" si="23"/>
        <v>371.61816491193201</v>
      </c>
      <c r="U148" s="218">
        <f t="shared" si="23"/>
        <v>435.19939301790248</v>
      </c>
      <c r="V148" s="218">
        <f t="shared" si="23"/>
        <v>472.02553474046209</v>
      </c>
      <c r="W148" s="218">
        <f t="shared" si="23"/>
        <v>512.11446161324466</v>
      </c>
      <c r="X148" s="218">
        <f t="shared" si="23"/>
        <v>551.73009321527593</v>
      </c>
      <c r="Y148" s="218">
        <f t="shared" si="23"/>
        <v>599.35301620682628</v>
      </c>
      <c r="Z148" s="218">
        <f t="shared" si="23"/>
        <v>659.43812329171806</v>
      </c>
      <c r="AA148" s="218">
        <f t="shared" si="23"/>
        <v>716.17257603096175</v>
      </c>
      <c r="AB148" s="218">
        <f t="shared" si="23"/>
        <v>778.15513451114361</v>
      </c>
      <c r="AC148" s="219">
        <f t="shared" si="23"/>
        <v>845.9092653440141</v>
      </c>
      <c r="AG148" s="130"/>
      <c r="AH148" s="130"/>
      <c r="AI148" s="130"/>
    </row>
    <row r="149" spans="3:35" hidden="1" x14ac:dyDescent="0.4">
      <c r="C149" s="216" t="s">
        <v>546</v>
      </c>
      <c r="D149" s="217">
        <v>0.37517854308839876</v>
      </c>
      <c r="E149" s="218">
        <v>98.5</v>
      </c>
      <c r="F149" s="218">
        <v>130.02000000000001</v>
      </c>
      <c r="G149" s="218">
        <v>19.699999999999996</v>
      </c>
      <c r="H149" s="218">
        <v>98.5</v>
      </c>
      <c r="I149" s="218">
        <v>252.16</v>
      </c>
      <c r="J149" s="218">
        <v>110.32</v>
      </c>
      <c r="K149" s="218">
        <v>163.43070786248009</v>
      </c>
      <c r="L149" s="218">
        <f t="shared" si="22"/>
        <v>102.50008191546162</v>
      </c>
      <c r="M149" s="218">
        <f t="shared" si="22"/>
        <v>108.6935681631635</v>
      </c>
      <c r="N149" s="218"/>
      <c r="O149" s="218">
        <f t="shared" si="23"/>
        <v>220.54883131830482</v>
      </c>
      <c r="P149" s="218">
        <f t="shared" si="23"/>
        <v>156.93311265262096</v>
      </c>
      <c r="Q149" s="218">
        <f t="shared" si="23"/>
        <v>1633.1617132749589</v>
      </c>
      <c r="R149" s="218">
        <f t="shared" si="23"/>
        <v>223.08334354883155</v>
      </c>
      <c r="S149" s="218">
        <f t="shared" si="23"/>
        <v>300.72418774968736</v>
      </c>
      <c r="T149" s="218">
        <f t="shared" si="23"/>
        <v>297.79505605082676</v>
      </c>
      <c r="U149" s="218">
        <f t="shared" si="23"/>
        <v>348.74567465711846</v>
      </c>
      <c r="V149" s="218">
        <f t="shared" si="23"/>
        <v>378.25618833452251</v>
      </c>
      <c r="W149" s="218">
        <f t="shared" si="23"/>
        <v>410.38132470380361</v>
      </c>
      <c r="X149" s="218">
        <f t="shared" si="23"/>
        <v>442.12718738576257</v>
      </c>
      <c r="Y149" s="218">
        <f t="shared" si="23"/>
        <v>480.28966801943614</v>
      </c>
      <c r="Z149" s="218">
        <f t="shared" si="23"/>
        <v>528.43868096234678</v>
      </c>
      <c r="AA149" s="218">
        <f t="shared" si="23"/>
        <v>573.90265750800347</v>
      </c>
      <c r="AB149" s="218">
        <f t="shared" si="23"/>
        <v>623.572187201617</v>
      </c>
      <c r="AC149" s="219">
        <f t="shared" si="23"/>
        <v>677.86674837795601</v>
      </c>
      <c r="AG149" s="130"/>
      <c r="AH149" s="130"/>
      <c r="AI149" s="130"/>
    </row>
    <row r="150" spans="3:35" hidden="1" x14ac:dyDescent="0.4">
      <c r="C150" s="216" t="s">
        <v>547</v>
      </c>
      <c r="D150" s="217">
        <v>0.37344066226831474</v>
      </c>
      <c r="E150" s="218">
        <v>121.43999999999998</v>
      </c>
      <c r="F150" s="218">
        <v>20.240000000000002</v>
      </c>
      <c r="G150" s="218">
        <v>0</v>
      </c>
      <c r="H150" s="218">
        <v>204.24</v>
      </c>
      <c r="I150" s="218">
        <v>139.84</v>
      </c>
      <c r="J150" s="218">
        <v>167.44</v>
      </c>
      <c r="K150" s="218">
        <v>150.52585783385786</v>
      </c>
      <c r="L150" s="218">
        <f t="shared" si="22"/>
        <v>94.406448825690262</v>
      </c>
      <c r="M150" s="218">
        <f t="shared" si="22"/>
        <v>100.11088370583532</v>
      </c>
      <c r="N150" s="218"/>
      <c r="O150" s="218">
        <f t="shared" si="23"/>
        <v>203.13380797675791</v>
      </c>
      <c r="P150" s="218">
        <f t="shared" si="23"/>
        <v>144.54132710757474</v>
      </c>
      <c r="Q150" s="218">
        <f t="shared" si="23"/>
        <v>1504.2036535690961</v>
      </c>
      <c r="R150" s="218">
        <f t="shared" si="23"/>
        <v>205.46818951790291</v>
      </c>
      <c r="S150" s="218">
        <f t="shared" si="23"/>
        <v>276.97834100126306</v>
      </c>
      <c r="T150" s="218">
        <f t="shared" si="23"/>
        <v>274.28050001748454</v>
      </c>
      <c r="U150" s="218">
        <f t="shared" si="23"/>
        <v>321.20794512976562</v>
      </c>
      <c r="V150" s="218">
        <f t="shared" si="23"/>
        <v>348.38824340117048</v>
      </c>
      <c r="W150" s="218">
        <f t="shared" si="23"/>
        <v>377.97670797592286</v>
      </c>
      <c r="X150" s="218">
        <f t="shared" si="23"/>
        <v>407.21584715225617</v>
      </c>
      <c r="Y150" s="218">
        <f t="shared" si="23"/>
        <v>442.3649339400672</v>
      </c>
      <c r="Z150" s="218">
        <f t="shared" si="23"/>
        <v>486.71199436633515</v>
      </c>
      <c r="AA150" s="218">
        <f t="shared" si="23"/>
        <v>528.58603480573584</v>
      </c>
      <c r="AB150" s="218">
        <f t="shared" si="23"/>
        <v>574.33354861829696</v>
      </c>
      <c r="AC150" s="219">
        <f t="shared" si="23"/>
        <v>624.34089120203168</v>
      </c>
      <c r="AG150" s="130"/>
      <c r="AH150" s="130"/>
      <c r="AI150" s="130"/>
    </row>
    <row r="151" spans="3:35" hidden="1" x14ac:dyDescent="0.4">
      <c r="C151" s="216" t="s">
        <v>548</v>
      </c>
      <c r="D151" s="217">
        <v>0.30131574178114462</v>
      </c>
      <c r="E151" s="218">
        <v>129.24</v>
      </c>
      <c r="F151" s="218">
        <v>171.03</v>
      </c>
      <c r="G151" s="218">
        <v>59.67</v>
      </c>
      <c r="H151" s="218">
        <v>27.9</v>
      </c>
      <c r="I151" s="218">
        <v>101.63999999999999</v>
      </c>
      <c r="J151" s="218">
        <v>9.3000000000000007</v>
      </c>
      <c r="K151" s="218">
        <v>114.94073387993205</v>
      </c>
      <c r="L151" s="218">
        <f t="shared" si="22"/>
        <v>72.088255580645708</v>
      </c>
      <c r="M151" s="218">
        <f t="shared" si="22"/>
        <v>76.444131314752809</v>
      </c>
      <c r="N151" s="218"/>
      <c r="O151" s="218">
        <f t="shared" si="23"/>
        <v>155.11188111244226</v>
      </c>
      <c r="P151" s="218">
        <f t="shared" si="23"/>
        <v>110.37097846710979</v>
      </c>
      <c r="Q151" s="218">
        <f t="shared" si="23"/>
        <v>1148.6018039301803</v>
      </c>
      <c r="R151" s="218">
        <f t="shared" si="23"/>
        <v>156.8944022776173</v>
      </c>
      <c r="S151" s="218">
        <f t="shared" si="23"/>
        <v>211.49916859248313</v>
      </c>
      <c r="T151" s="218">
        <f t="shared" si="23"/>
        <v>209.43911175554337</v>
      </c>
      <c r="U151" s="218">
        <f t="shared" si="23"/>
        <v>245.27265595809013</v>
      </c>
      <c r="V151" s="218">
        <f t="shared" si="23"/>
        <v>266.02738524745217</v>
      </c>
      <c r="W151" s="218">
        <f t="shared" si="23"/>
        <v>288.62097734879177</v>
      </c>
      <c r="X151" s="218">
        <f t="shared" si="23"/>
        <v>310.94782645836244</v>
      </c>
      <c r="Y151" s="218">
        <f t="shared" si="23"/>
        <v>337.78747971620749</v>
      </c>
      <c r="Z151" s="218">
        <f t="shared" si="23"/>
        <v>371.6506560778331</v>
      </c>
      <c r="AA151" s="218">
        <f t="shared" si="23"/>
        <v>403.62544770423278</v>
      </c>
      <c r="AB151" s="218">
        <f t="shared" si="23"/>
        <v>438.558002724792</v>
      </c>
      <c r="AC151" s="219">
        <f t="shared" si="23"/>
        <v>476.74334003942027</v>
      </c>
      <c r="AG151" s="130"/>
      <c r="AH151" s="130"/>
      <c r="AI151" s="130"/>
    </row>
    <row r="152" spans="3:35" hidden="1" x14ac:dyDescent="0.4">
      <c r="C152" s="216" t="s">
        <v>549</v>
      </c>
      <c r="D152" s="217">
        <v>0.47332806385070647</v>
      </c>
      <c r="E152" s="218">
        <v>61.38000000000001</v>
      </c>
      <c r="F152" s="218">
        <v>122.75999999999999</v>
      </c>
      <c r="G152" s="218">
        <v>0</v>
      </c>
      <c r="H152" s="218">
        <v>245.52</v>
      </c>
      <c r="I152" s="218">
        <v>44.64</v>
      </c>
      <c r="J152" s="218">
        <v>262.26000000000005</v>
      </c>
      <c r="K152" s="218">
        <v>169.7356488764641</v>
      </c>
      <c r="L152" s="218">
        <f t="shared" si="22"/>
        <v>106.45439979646419</v>
      </c>
      <c r="M152" s="218">
        <f t="shared" si="22"/>
        <v>112.88682256945813</v>
      </c>
      <c r="N152" s="218"/>
      <c r="O152" s="218">
        <f t="shared" si="23"/>
        <v>229.05731415088914</v>
      </c>
      <c r="P152" s="218">
        <f t="shared" si="23"/>
        <v>162.98738501891492</v>
      </c>
      <c r="Q152" s="218">
        <f t="shared" si="23"/>
        <v>1696.1669367312513</v>
      </c>
      <c r="R152" s="218">
        <f t="shared" si="23"/>
        <v>231.68960451822807</v>
      </c>
      <c r="S152" s="218">
        <f t="shared" si="23"/>
        <v>312.32573001820316</v>
      </c>
      <c r="T152" s="218">
        <f t="shared" si="23"/>
        <v>309.28359628425966</v>
      </c>
      <c r="U152" s="218">
        <f t="shared" si="23"/>
        <v>362.19982251191084</v>
      </c>
      <c r="V152" s="218">
        <f t="shared" si="23"/>
        <v>392.84881285910296</v>
      </c>
      <c r="W152" s="218">
        <f t="shared" si="23"/>
        <v>426.21329459085382</v>
      </c>
      <c r="X152" s="218">
        <f t="shared" si="23"/>
        <v>459.1838707569899</v>
      </c>
      <c r="Y152" s="218">
        <f t="shared" si="23"/>
        <v>498.81860952678488</v>
      </c>
      <c r="Z152" s="218">
        <f t="shared" si="23"/>
        <v>548.82514784211241</v>
      </c>
      <c r="AA152" s="218">
        <f t="shared" si="23"/>
        <v>596.04306459968268</v>
      </c>
      <c r="AB152" s="218">
        <f t="shared" si="23"/>
        <v>647.62877919518178</v>
      </c>
      <c r="AC152" s="219">
        <f t="shared" si="23"/>
        <v>704.01795288390747</v>
      </c>
      <c r="AG152" s="130"/>
      <c r="AH152" s="130"/>
      <c r="AI152" s="130"/>
    </row>
    <row r="153" spans="3:35" hidden="1" x14ac:dyDescent="0.4">
      <c r="C153" s="216" t="s">
        <v>550</v>
      </c>
      <c r="D153" s="217">
        <v>0.19831231954118242</v>
      </c>
      <c r="E153" s="218">
        <v>0</v>
      </c>
      <c r="F153" s="218">
        <v>74.06</v>
      </c>
      <c r="G153" s="218">
        <v>58.19</v>
      </c>
      <c r="H153" s="218">
        <v>10.58</v>
      </c>
      <c r="I153" s="218">
        <v>158.69</v>
      </c>
      <c r="J153" s="218">
        <v>0</v>
      </c>
      <c r="K153" s="218">
        <v>69.483399654110272</v>
      </c>
      <c r="L153" s="218">
        <f t="shared" si="22"/>
        <v>43.578433021926095</v>
      </c>
      <c r="M153" s="218">
        <f t="shared" si="22"/>
        <v>46.211625313814238</v>
      </c>
      <c r="N153" s="218"/>
      <c r="O153" s="218">
        <f t="shared" si="23"/>
        <v>93.767461391843284</v>
      </c>
      <c r="P153" s="218">
        <f t="shared" si="23"/>
        <v>66.720913884684535</v>
      </c>
      <c r="Q153" s="218">
        <f t="shared" si="23"/>
        <v>694.34703861627963</v>
      </c>
      <c r="R153" s="218">
        <f t="shared" si="23"/>
        <v>94.845022203671306</v>
      </c>
      <c r="S153" s="218">
        <f t="shared" si="23"/>
        <v>127.85442342115867</v>
      </c>
      <c r="T153" s="218">
        <f t="shared" si="23"/>
        <v>126.60908812809544</v>
      </c>
      <c r="U153" s="218">
        <f t="shared" si="23"/>
        <v>148.27100369798981</v>
      </c>
      <c r="V153" s="218">
        <f t="shared" si="23"/>
        <v>160.81754921971972</v>
      </c>
      <c r="W153" s="218">
        <f t="shared" si="23"/>
        <v>174.47571492483198</v>
      </c>
      <c r="X153" s="218">
        <f t="shared" si="23"/>
        <v>187.97263048583633</v>
      </c>
      <c r="Y153" s="218">
        <f t="shared" si="23"/>
        <v>204.19760392163053</v>
      </c>
      <c r="Z153" s="218">
        <f t="shared" si="23"/>
        <v>224.66840254338237</v>
      </c>
      <c r="AA153" s="218">
        <f t="shared" si="23"/>
        <v>243.99764423549519</v>
      </c>
      <c r="AB153" s="218">
        <f t="shared" si="23"/>
        <v>265.1148983150473</v>
      </c>
      <c r="AC153" s="219">
        <f t="shared" si="23"/>
        <v>288.19850813722684</v>
      </c>
      <c r="AG153" s="130"/>
      <c r="AH153" s="130"/>
      <c r="AI153" s="130"/>
    </row>
    <row r="154" spans="3:35" hidden="1" x14ac:dyDescent="0.4">
      <c r="C154" s="216" t="s">
        <v>551</v>
      </c>
      <c r="D154" s="217">
        <v>0.42446043165467628</v>
      </c>
      <c r="E154" s="218">
        <v>0</v>
      </c>
      <c r="F154" s="218">
        <v>0</v>
      </c>
      <c r="G154" s="218">
        <v>0</v>
      </c>
      <c r="H154" s="218">
        <v>0</v>
      </c>
      <c r="I154" s="218">
        <v>0</v>
      </c>
      <c r="J154" s="218">
        <v>590</v>
      </c>
      <c r="K154" s="218">
        <v>135.96181280155562</v>
      </c>
      <c r="L154" s="218">
        <f t="shared" si="22"/>
        <v>85.272205767233999</v>
      </c>
      <c r="M154" s="218">
        <f t="shared" si="22"/>
        <v>90.424711246850634</v>
      </c>
      <c r="N154" s="218"/>
      <c r="O154" s="218">
        <f t="shared" si="23"/>
        <v>183.47971020558353</v>
      </c>
      <c r="P154" s="218">
        <f t="shared" si="23"/>
        <v>130.55631199245113</v>
      </c>
      <c r="Q154" s="218">
        <f t="shared" si="23"/>
        <v>1358.6652719010513</v>
      </c>
      <c r="R154" s="218">
        <f t="shared" si="23"/>
        <v>185.58822996871208</v>
      </c>
      <c r="S154" s="218">
        <f t="shared" si="23"/>
        <v>250.17945681375568</v>
      </c>
      <c r="T154" s="218">
        <f t="shared" si="23"/>
        <v>247.74264392271263</v>
      </c>
      <c r="U154" s="218">
        <f t="shared" si="23"/>
        <v>290.12965037746744</v>
      </c>
      <c r="V154" s="218">
        <f t="shared" si="23"/>
        <v>314.6801341192446</v>
      </c>
      <c r="W154" s="218">
        <f t="shared" si="23"/>
        <v>341.4057833830289</v>
      </c>
      <c r="X154" s="218">
        <f t="shared" si="23"/>
        <v>367.81590603158475</v>
      </c>
      <c r="Y154" s="218">
        <f t="shared" si="23"/>
        <v>399.56416262192226</v>
      </c>
      <c r="Z154" s="218">
        <f t="shared" si="23"/>
        <v>439.6204480651221</v>
      </c>
      <c r="AA154" s="218">
        <f t="shared" si="23"/>
        <v>477.44298918460515</v>
      </c>
      <c r="AB154" s="218">
        <f t="shared" si="23"/>
        <v>518.76422793140716</v>
      </c>
      <c r="AC154" s="219">
        <f t="shared" si="23"/>
        <v>563.93313810348855</v>
      </c>
      <c r="AG154" s="130"/>
      <c r="AH154" s="130"/>
      <c r="AI154" s="130"/>
    </row>
    <row r="155" spans="3:35" hidden="1" x14ac:dyDescent="0.4">
      <c r="C155" s="216" t="s">
        <v>552</v>
      </c>
      <c r="D155" s="217">
        <v>0.36372789486434109</v>
      </c>
      <c r="E155" s="218">
        <v>85.63</v>
      </c>
      <c r="F155" s="218">
        <v>44.210000000000008</v>
      </c>
      <c r="G155" s="218">
        <v>8.84</v>
      </c>
      <c r="H155" s="218">
        <v>53.04</v>
      </c>
      <c r="I155" s="218">
        <v>160.55000000000001</v>
      </c>
      <c r="J155" s="218">
        <v>128.19999999999999</v>
      </c>
      <c r="K155" s="218">
        <v>110.7213088080736</v>
      </c>
      <c r="L155" s="218">
        <f t="shared" si="22"/>
        <v>69.441926618615113</v>
      </c>
      <c r="M155" s="218">
        <f t="shared" si="22"/>
        <v>73.63790002165139</v>
      </c>
      <c r="N155" s="218"/>
      <c r="O155" s="218">
        <f t="shared" si="23"/>
        <v>149.41779044487578</v>
      </c>
      <c r="P155" s="218">
        <f t="shared" si="23"/>
        <v>106.31930715764915</v>
      </c>
      <c r="Q155" s="218">
        <f t="shared" si="23"/>
        <v>1106.4371240513526</v>
      </c>
      <c r="R155" s="218">
        <f t="shared" si="23"/>
        <v>151.13487602214761</v>
      </c>
      <c r="S155" s="218">
        <f t="shared" si="23"/>
        <v>203.73512477170371</v>
      </c>
      <c r="T155" s="218">
        <f t="shared" si="23"/>
        <v>201.75069173821311</v>
      </c>
      <c r="U155" s="218">
        <f t="shared" si="23"/>
        <v>236.26880189298606</v>
      </c>
      <c r="V155" s="218">
        <f t="shared" si="23"/>
        <v>256.26163396656517</v>
      </c>
      <c r="W155" s="218">
        <f t="shared" si="23"/>
        <v>278.02582498651503</v>
      </c>
      <c r="X155" s="218">
        <f t="shared" si="23"/>
        <v>299.53306503558559</v>
      </c>
      <c r="Y155" s="218">
        <f t="shared" si="23"/>
        <v>325.38744612704238</v>
      </c>
      <c r="Z155" s="218">
        <f t="shared" si="23"/>
        <v>358.00751979974439</v>
      </c>
      <c r="AA155" s="218">
        <f t="shared" si="23"/>
        <v>388.80853053140208</v>
      </c>
      <c r="AB155" s="218">
        <f t="shared" si="23"/>
        <v>422.45872643085295</v>
      </c>
      <c r="AC155" s="219">
        <f t="shared" si="23"/>
        <v>459.24229638064935</v>
      </c>
      <c r="AG155" s="130"/>
      <c r="AH155" s="130"/>
      <c r="AI155" s="130"/>
    </row>
    <row r="156" spans="3:35" hidden="1" x14ac:dyDescent="0.4">
      <c r="C156" s="216" t="s">
        <v>553</v>
      </c>
      <c r="D156" s="217">
        <v>0.43522536880389034</v>
      </c>
      <c r="E156" s="218">
        <v>57.88</v>
      </c>
      <c r="F156" s="218">
        <v>162.07</v>
      </c>
      <c r="G156" s="218">
        <v>104.22</v>
      </c>
      <c r="H156" s="218">
        <v>23.16</v>
      </c>
      <c r="I156" s="218">
        <v>0</v>
      </c>
      <c r="J156" s="218">
        <v>185.19</v>
      </c>
      <c r="K156" s="218">
        <v>122.71590602217695</v>
      </c>
      <c r="L156" s="218"/>
      <c r="M156" s="218">
        <f t="shared" ref="M156:M184" si="24">+M91*$D156</f>
        <v>81.61519870029305</v>
      </c>
      <c r="N156" s="218"/>
      <c r="O156" s="218">
        <f t="shared" ref="O156:AC171" si="25">+O91*$D156</f>
        <v>165.60443267572427</v>
      </c>
      <c r="P156" s="218">
        <f t="shared" si="25"/>
        <v>117.83702925800011</v>
      </c>
      <c r="Q156" s="218">
        <f t="shared" si="25"/>
        <v>1226.2990349029621</v>
      </c>
      <c r="R156" s="218">
        <f t="shared" si="25"/>
        <v>167.50753258125178</v>
      </c>
      <c r="S156" s="218">
        <f t="shared" si="25"/>
        <v>225.80604125840873</v>
      </c>
      <c r="T156" s="218">
        <f t="shared" si="25"/>
        <v>223.60663176563207</v>
      </c>
      <c r="U156" s="218">
        <f t="shared" si="25"/>
        <v>261.86413799832025</v>
      </c>
      <c r="V156" s="218">
        <f t="shared" si="25"/>
        <v>284.0228220697968</v>
      </c>
      <c r="W156" s="218">
        <f t="shared" si="25"/>
        <v>308.14475892733992</v>
      </c>
      <c r="X156" s="218">
        <f t="shared" si="25"/>
        <v>331.98190894905002</v>
      </c>
      <c r="Y156" s="218">
        <f t="shared" si="25"/>
        <v>360.63713199902725</v>
      </c>
      <c r="Z156" s="218">
        <f t="shared" si="25"/>
        <v>396.79098475193018</v>
      </c>
      <c r="AA156" s="218">
        <f t="shared" si="25"/>
        <v>430.92871288234903</v>
      </c>
      <c r="AB156" s="218">
        <f t="shared" si="25"/>
        <v>468.22428247124225</v>
      </c>
      <c r="AC156" s="219">
        <f t="shared" si="25"/>
        <v>508.99266898791473</v>
      </c>
      <c r="AG156" s="130"/>
      <c r="AH156" s="130"/>
      <c r="AI156" s="130"/>
    </row>
    <row r="157" spans="3:35" hidden="1" x14ac:dyDescent="0.4">
      <c r="C157" s="216" t="s">
        <v>554</v>
      </c>
      <c r="D157" s="217">
        <v>0.46428571428571425</v>
      </c>
      <c r="E157" s="218">
        <v>0</v>
      </c>
      <c r="F157" s="218">
        <v>0</v>
      </c>
      <c r="G157" s="218">
        <v>0</v>
      </c>
      <c r="H157" s="218">
        <v>499.2</v>
      </c>
      <c r="I157" s="218">
        <v>0</v>
      </c>
      <c r="J157" s="218">
        <v>0</v>
      </c>
      <c r="K157" s="218">
        <v>115.03752025514672</v>
      </c>
      <c r="L157" s="218"/>
      <c r="M157" s="218">
        <f t="shared" si="24"/>
        <v>76.508501448182756</v>
      </c>
      <c r="N157" s="218"/>
      <c r="O157" s="218">
        <f t="shared" si="25"/>
        <v>155.24249378750386</v>
      </c>
      <c r="P157" s="218">
        <f t="shared" si="25"/>
        <v>110.46391685869763</v>
      </c>
      <c r="Q157" s="218">
        <f t="shared" si="25"/>
        <v>1149.568989377974</v>
      </c>
      <c r="R157" s="218">
        <f t="shared" si="25"/>
        <v>157.02651593284924</v>
      </c>
      <c r="S157" s="218">
        <f t="shared" si="25"/>
        <v>211.67726244309631</v>
      </c>
      <c r="T157" s="218">
        <f t="shared" si="25"/>
        <v>209.61547092579343</v>
      </c>
      <c r="U157" s="218">
        <f t="shared" si="25"/>
        <v>245.4791889295453</v>
      </c>
      <c r="V157" s="218">
        <f t="shared" si="25"/>
        <v>266.25139483445236</v>
      </c>
      <c r="W157" s="218">
        <f t="shared" si="25"/>
        <v>288.86401197425084</v>
      </c>
      <c r="X157" s="218">
        <f t="shared" si="25"/>
        <v>311.20966151011368</v>
      </c>
      <c r="Y157" s="218">
        <f t="shared" si="25"/>
        <v>338.07191522180267</v>
      </c>
      <c r="Z157" s="218">
        <f t="shared" si="25"/>
        <v>371.96360622730327</v>
      </c>
      <c r="AA157" s="218">
        <f t="shared" si="25"/>
        <v>403.96532237449981</v>
      </c>
      <c r="AB157" s="218">
        <f t="shared" si="25"/>
        <v>438.92729251416688</v>
      </c>
      <c r="AC157" s="219">
        <f t="shared" si="25"/>
        <v>477.14478396823972</v>
      </c>
      <c r="AG157" s="130"/>
      <c r="AH157" s="130"/>
      <c r="AI157" s="130"/>
    </row>
    <row r="158" spans="3:35" hidden="1" x14ac:dyDescent="0.4">
      <c r="C158" s="216" t="s">
        <v>555</v>
      </c>
      <c r="D158" s="217">
        <v>0.38965845998541865</v>
      </c>
      <c r="E158" s="218">
        <v>69.12</v>
      </c>
      <c r="F158" s="218">
        <v>112.32000000000001</v>
      </c>
      <c r="G158" s="218">
        <v>48.600000000000009</v>
      </c>
      <c r="H158" s="218">
        <v>54.000000000000007</v>
      </c>
      <c r="I158" s="218">
        <v>75.600000000000009</v>
      </c>
      <c r="J158" s="218">
        <v>57.239999999999995</v>
      </c>
      <c r="K158" s="218">
        <v>96.067390713072072</v>
      </c>
      <c r="L158" s="218"/>
      <c r="M158" s="218">
        <f t="shared" si="24"/>
        <v>63.891955295910329</v>
      </c>
      <c r="N158" s="218"/>
      <c r="O158" s="218">
        <f t="shared" si="25"/>
        <v>129.64240947542993</v>
      </c>
      <c r="P158" s="218">
        <f t="shared" si="25"/>
        <v>92.247992107479732</v>
      </c>
      <c r="Q158" s="218">
        <f t="shared" si="25"/>
        <v>960.00064161035652</v>
      </c>
      <c r="R158" s="218">
        <f t="shared" si="25"/>
        <v>131.13223950738427</v>
      </c>
      <c r="S158" s="218">
        <f t="shared" si="25"/>
        <v>176.7708677229127</v>
      </c>
      <c r="T158" s="218">
        <f t="shared" si="25"/>
        <v>175.04907355678043</v>
      </c>
      <c r="U158" s="218">
        <f t="shared" si="25"/>
        <v>204.99872652433669</v>
      </c>
      <c r="V158" s="218">
        <f t="shared" si="25"/>
        <v>222.34551578242494</v>
      </c>
      <c r="W158" s="218">
        <f t="shared" si="25"/>
        <v>241.2292253842663</v>
      </c>
      <c r="X158" s="218">
        <f t="shared" si="25"/>
        <v>259.88999136685948</v>
      </c>
      <c r="Y158" s="218">
        <f t="shared" si="25"/>
        <v>282.32255612513052</v>
      </c>
      <c r="Z158" s="218">
        <f t="shared" si="25"/>
        <v>310.62537693116633</v>
      </c>
      <c r="AA158" s="218">
        <f t="shared" si="25"/>
        <v>337.3498870021665</v>
      </c>
      <c r="AB158" s="218">
        <f t="shared" si="25"/>
        <v>366.5464937966866</v>
      </c>
      <c r="AC158" s="219">
        <f t="shared" si="25"/>
        <v>398.46177391963107</v>
      </c>
      <c r="AG158" s="130"/>
      <c r="AH158" s="130"/>
      <c r="AI158" s="130"/>
    </row>
    <row r="159" spans="3:35" hidden="1" x14ac:dyDescent="0.4">
      <c r="C159" s="216" t="s">
        <v>556</v>
      </c>
      <c r="D159" s="217">
        <v>0.41995359628770296</v>
      </c>
      <c r="E159" s="218">
        <v>217.2</v>
      </c>
      <c r="F159" s="218">
        <v>0</v>
      </c>
      <c r="G159" s="218">
        <v>0</v>
      </c>
      <c r="H159" s="218">
        <v>0</v>
      </c>
      <c r="I159" s="218">
        <v>217.2</v>
      </c>
      <c r="J159" s="218">
        <v>0</v>
      </c>
      <c r="K159" s="218">
        <v>100.10476522202673</v>
      </c>
      <c r="L159" s="218"/>
      <c r="M159" s="218">
        <f t="shared" si="24"/>
        <v>66.57710943327443</v>
      </c>
      <c r="N159" s="218"/>
      <c r="O159" s="218">
        <f t="shared" si="25"/>
        <v>135.09082392085674</v>
      </c>
      <c r="P159" s="218">
        <f t="shared" si="25"/>
        <v>96.124850728001306</v>
      </c>
      <c r="Q159" s="218">
        <f t="shared" si="25"/>
        <v>1000.3460917183334</v>
      </c>
      <c r="R159" s="218">
        <f t="shared" si="25"/>
        <v>136.64326626848904</v>
      </c>
      <c r="S159" s="218">
        <f t="shared" si="25"/>
        <v>184.19992549134824</v>
      </c>
      <c r="T159" s="218">
        <f t="shared" si="25"/>
        <v>182.40577037292604</v>
      </c>
      <c r="U159" s="218">
        <f t="shared" si="25"/>
        <v>213.61410190503702</v>
      </c>
      <c r="V159" s="218">
        <f t="shared" si="25"/>
        <v>231.68991569728789</v>
      </c>
      <c r="W159" s="218">
        <f t="shared" si="25"/>
        <v>251.36724118913176</v>
      </c>
      <c r="X159" s="218">
        <f t="shared" si="25"/>
        <v>270.81225352562785</v>
      </c>
      <c r="Y159" s="218">
        <f t="shared" si="25"/>
        <v>294.18758007281872</v>
      </c>
      <c r="Z159" s="218">
        <f t="shared" si="25"/>
        <v>323.67986888048983</v>
      </c>
      <c r="AA159" s="218">
        <f t="shared" si="25"/>
        <v>351.52751610473302</v>
      </c>
      <c r="AB159" s="218">
        <f t="shared" si="25"/>
        <v>381.95115358203947</v>
      </c>
      <c r="AC159" s="219">
        <f t="shared" si="25"/>
        <v>415.20772066467015</v>
      </c>
      <c r="AG159" s="130"/>
      <c r="AH159" s="130"/>
      <c r="AI159" s="130"/>
    </row>
    <row r="160" spans="3:35" hidden="1" x14ac:dyDescent="0.4">
      <c r="C160" s="216" t="s">
        <v>557</v>
      </c>
      <c r="D160" s="217">
        <v>0.28688476332522178</v>
      </c>
      <c r="E160" s="218">
        <v>65.739999999999995</v>
      </c>
      <c r="F160" s="218">
        <v>105.53000000000002</v>
      </c>
      <c r="G160" s="218">
        <v>22.490000000000002</v>
      </c>
      <c r="H160" s="218">
        <v>27.68</v>
      </c>
      <c r="I160" s="218">
        <v>48.440000000000005</v>
      </c>
      <c r="J160" s="218">
        <v>22.490000000000002</v>
      </c>
      <c r="K160" s="218">
        <v>67.374839336933604</v>
      </c>
      <c r="L160" s="218"/>
      <c r="M160" s="218">
        <f t="shared" si="24"/>
        <v>44.809275978375808</v>
      </c>
      <c r="N160" s="218"/>
      <c r="O160" s="218">
        <f t="shared" si="25"/>
        <v>90.921970970858411</v>
      </c>
      <c r="P160" s="218">
        <f t="shared" si="25"/>
        <v>64.696184639377876</v>
      </c>
      <c r="Q160" s="218">
        <f t="shared" si="25"/>
        <v>673.27621278933964</v>
      </c>
      <c r="R160" s="218">
        <f t="shared" si="25"/>
        <v>91.966831857546381</v>
      </c>
      <c r="S160" s="218">
        <f t="shared" si="25"/>
        <v>123.97452167565723</v>
      </c>
      <c r="T160" s="218">
        <f t="shared" si="25"/>
        <v>122.76697763336186</v>
      </c>
      <c r="U160" s="218">
        <f t="shared" si="25"/>
        <v>143.77153539128841</v>
      </c>
      <c r="V160" s="218">
        <f t="shared" si="25"/>
        <v>155.93734036007382</v>
      </c>
      <c r="W160" s="218">
        <f t="shared" si="25"/>
        <v>169.18103201304439</v>
      </c>
      <c r="X160" s="218">
        <f t="shared" si="25"/>
        <v>182.26836685839737</v>
      </c>
      <c r="Y160" s="218">
        <f t="shared" si="25"/>
        <v>198.00097326401939</v>
      </c>
      <c r="Z160" s="218">
        <f t="shared" si="25"/>
        <v>217.85056000135555</v>
      </c>
      <c r="AA160" s="218">
        <f t="shared" si="25"/>
        <v>236.59323177610688</v>
      </c>
      <c r="AB160" s="218">
        <f t="shared" si="25"/>
        <v>257.06965647509418</v>
      </c>
      <c r="AC160" s="219">
        <f t="shared" si="25"/>
        <v>279.45276540223216</v>
      </c>
      <c r="AG160" s="130"/>
      <c r="AH160" s="130"/>
      <c r="AI160" s="130"/>
    </row>
    <row r="161" spans="3:35" hidden="1" x14ac:dyDescent="0.4">
      <c r="C161" s="216" t="s">
        <v>558</v>
      </c>
      <c r="D161" s="217">
        <v>0.27428652764927769</v>
      </c>
      <c r="E161" s="218">
        <v>26.240000000000002</v>
      </c>
      <c r="F161" s="218">
        <v>66.42</v>
      </c>
      <c r="G161" s="218">
        <v>50.02</v>
      </c>
      <c r="H161" s="218">
        <v>39.36</v>
      </c>
      <c r="I161" s="218">
        <v>13.120000000000001</v>
      </c>
      <c r="J161" s="218">
        <v>74.62</v>
      </c>
      <c r="K161" s="218">
        <v>62.169115012887595</v>
      </c>
      <c r="L161" s="218"/>
      <c r="M161" s="218">
        <f t="shared" si="24"/>
        <v>41.347082373178587</v>
      </c>
      <c r="N161" s="218"/>
      <c r="O161" s="218">
        <f t="shared" si="25"/>
        <v>83.896874947902248</v>
      </c>
      <c r="P161" s="218">
        <f t="shared" si="25"/>
        <v>59.697426863260119</v>
      </c>
      <c r="Q161" s="218">
        <f t="shared" si="25"/>
        <v>621.25545263299261</v>
      </c>
      <c r="R161" s="218">
        <f t="shared" si="25"/>
        <v>84.861004543998561</v>
      </c>
      <c r="S161" s="218">
        <f t="shared" si="25"/>
        <v>114.39561671053391</v>
      </c>
      <c r="T161" s="218">
        <f t="shared" si="25"/>
        <v>113.28137369062613</v>
      </c>
      <c r="U161" s="218">
        <f t="shared" si="25"/>
        <v>132.66301199802231</v>
      </c>
      <c r="V161" s="218">
        <f t="shared" si="25"/>
        <v>143.88882471642341</v>
      </c>
      <c r="W161" s="218">
        <f t="shared" si="25"/>
        <v>156.10924108656533</v>
      </c>
      <c r="X161" s="218">
        <f t="shared" si="25"/>
        <v>168.18538157491685</v>
      </c>
      <c r="Y161" s="218">
        <f t="shared" si="25"/>
        <v>182.70240642735968</v>
      </c>
      <c r="Z161" s="218">
        <f t="shared" si="25"/>
        <v>201.01831267628583</v>
      </c>
      <c r="AA161" s="218">
        <f t="shared" si="25"/>
        <v>218.31282986817425</v>
      </c>
      <c r="AB161" s="218">
        <f t="shared" si="25"/>
        <v>237.20714137514415</v>
      </c>
      <c r="AC161" s="219">
        <f t="shared" si="25"/>
        <v>257.86081694501547</v>
      </c>
      <c r="AG161" s="130"/>
      <c r="AH161" s="130"/>
      <c r="AI161" s="130"/>
    </row>
    <row r="162" spans="3:35" hidden="1" x14ac:dyDescent="0.4">
      <c r="C162" s="216" t="s">
        <v>559</v>
      </c>
      <c r="D162" s="217">
        <v>0.42590286425902862</v>
      </c>
      <c r="E162" s="218">
        <v>0</v>
      </c>
      <c r="F162" s="218">
        <v>0</v>
      </c>
      <c r="G162" s="218">
        <v>410.4</v>
      </c>
      <c r="H162" s="218">
        <v>0</v>
      </c>
      <c r="I162" s="218">
        <v>0</v>
      </c>
      <c r="J162" s="218">
        <v>0</v>
      </c>
      <c r="K162" s="218">
        <v>94.574115209760052</v>
      </c>
      <c r="L162" s="218"/>
      <c r="M162" s="218">
        <f t="shared" si="24"/>
        <v>62.898816094419495</v>
      </c>
      <c r="N162" s="218"/>
      <c r="O162" s="218">
        <f t="shared" si="25"/>
        <v>127.62724248876519</v>
      </c>
      <c r="P162" s="218">
        <f t="shared" si="25"/>
        <v>90.814085494410079</v>
      </c>
      <c r="Q162" s="218">
        <f t="shared" si="25"/>
        <v>945.07835184439227</v>
      </c>
      <c r="R162" s="218">
        <f t="shared" si="25"/>
        <v>129.09391454094822</v>
      </c>
      <c r="S162" s="218">
        <f t="shared" si="25"/>
        <v>174.02313402773785</v>
      </c>
      <c r="T162" s="218">
        <f t="shared" si="25"/>
        <v>172.32810350149364</v>
      </c>
      <c r="U162" s="218">
        <f t="shared" si="25"/>
        <v>201.81221782188581</v>
      </c>
      <c r="V162" s="218">
        <f t="shared" si="25"/>
        <v>218.8893678687084</v>
      </c>
      <c r="W162" s="218">
        <f t="shared" si="25"/>
        <v>237.47954830575432</v>
      </c>
      <c r="X162" s="218">
        <f t="shared" si="25"/>
        <v>255.85025056841081</v>
      </c>
      <c r="Y162" s="218">
        <f t="shared" si="25"/>
        <v>277.93412261023207</v>
      </c>
      <c r="Z162" s="218">
        <f t="shared" si="25"/>
        <v>305.79700319648492</v>
      </c>
      <c r="AA162" s="218">
        <f t="shared" si="25"/>
        <v>332.10610637518977</v>
      </c>
      <c r="AB162" s="218">
        <f t="shared" si="25"/>
        <v>360.8488799034738</v>
      </c>
      <c r="AC162" s="219">
        <f t="shared" si="25"/>
        <v>392.26806758927398</v>
      </c>
      <c r="AG162" s="130"/>
      <c r="AH162" s="130"/>
      <c r="AI162" s="130"/>
    </row>
    <row r="163" spans="3:35" hidden="1" x14ac:dyDescent="0.4">
      <c r="C163" s="216" t="s">
        <v>560</v>
      </c>
      <c r="D163" s="217">
        <v>0.50704225352112675</v>
      </c>
      <c r="E163" s="218">
        <v>475.2</v>
      </c>
      <c r="F163" s="218">
        <v>0</v>
      </c>
      <c r="G163" s="218">
        <v>0</v>
      </c>
      <c r="H163" s="218">
        <v>0</v>
      </c>
      <c r="I163" s="218">
        <v>0</v>
      </c>
      <c r="J163" s="218">
        <v>0</v>
      </c>
      <c r="K163" s="218">
        <v>109.50687024288005</v>
      </c>
      <c r="L163" s="218"/>
      <c r="M163" s="218">
        <f t="shared" si="24"/>
        <v>72.830208109327828</v>
      </c>
      <c r="N163" s="218"/>
      <c r="O163" s="218">
        <f t="shared" si="25"/>
        <v>147.77891235541236</v>
      </c>
      <c r="P163" s="218">
        <f t="shared" si="25"/>
        <v>105.15315162510642</v>
      </c>
      <c r="Q163" s="218">
        <f t="shared" si="25"/>
        <v>1094.3012495040332</v>
      </c>
      <c r="R163" s="218">
        <f t="shared" si="25"/>
        <v>149.47716420530844</v>
      </c>
      <c r="S163" s="218">
        <f t="shared" si="25"/>
        <v>201.50047097948593</v>
      </c>
      <c r="T163" s="218">
        <f t="shared" si="25"/>
        <v>199.53780405436106</v>
      </c>
      <c r="U163" s="218">
        <f t="shared" si="25"/>
        <v>233.67730484639409</v>
      </c>
      <c r="V163" s="218">
        <f t="shared" si="25"/>
        <v>253.45084700587293</v>
      </c>
      <c r="W163" s="218">
        <f t="shared" si="25"/>
        <v>274.97631909087346</v>
      </c>
      <c r="X163" s="218">
        <f t="shared" si="25"/>
        <v>296.24765855289672</v>
      </c>
      <c r="Y163" s="218">
        <f t="shared" si="25"/>
        <v>321.81845775921607</v>
      </c>
      <c r="Z163" s="218">
        <f t="shared" si="25"/>
        <v>354.0807405432983</v>
      </c>
      <c r="AA163" s="218">
        <f t="shared" si="25"/>
        <v>384.54391264495661</v>
      </c>
      <c r="AB163" s="218">
        <f t="shared" si="25"/>
        <v>417.82501883560121</v>
      </c>
      <c r="AC163" s="219">
        <f t="shared" si="25"/>
        <v>454.20513089284361</v>
      </c>
      <c r="AG163" s="130"/>
      <c r="AH163" s="130"/>
      <c r="AI163" s="130"/>
    </row>
    <row r="164" spans="3:35" hidden="1" x14ac:dyDescent="0.4">
      <c r="C164" s="216" t="s">
        <v>561</v>
      </c>
      <c r="D164" s="217">
        <v>0.44123314065510605</v>
      </c>
      <c r="E164" s="218">
        <v>384.72</v>
      </c>
      <c r="F164" s="218">
        <v>0</v>
      </c>
      <c r="G164" s="218">
        <v>0</v>
      </c>
      <c r="H164" s="218">
        <v>0</v>
      </c>
      <c r="I164" s="218">
        <v>0</v>
      </c>
      <c r="J164" s="218">
        <v>0</v>
      </c>
      <c r="K164" s="218">
        <v>88.656319696634739</v>
      </c>
      <c r="L164" s="218"/>
      <c r="M164" s="218">
        <f t="shared" si="24"/>
        <v>58.963042221844717</v>
      </c>
      <c r="N164" s="218"/>
      <c r="O164" s="218">
        <f t="shared" si="25"/>
        <v>119.64121035642729</v>
      </c>
      <c r="P164" s="218">
        <f t="shared" si="25"/>
        <v>85.131566694467466</v>
      </c>
      <c r="Q164" s="218">
        <f t="shared" si="25"/>
        <v>885.94187017927538</v>
      </c>
      <c r="R164" s="218">
        <f t="shared" si="25"/>
        <v>121.01610819247954</v>
      </c>
      <c r="S164" s="218">
        <f t="shared" si="25"/>
        <v>163.13396716167475</v>
      </c>
      <c r="T164" s="218">
        <f t="shared" si="25"/>
        <v>161.54499994906104</v>
      </c>
      <c r="U164" s="218">
        <f t="shared" si="25"/>
        <v>189.18420185291404</v>
      </c>
      <c r="V164" s="218">
        <f t="shared" si="25"/>
        <v>205.19278169212845</v>
      </c>
      <c r="W164" s="218">
        <f t="shared" si="25"/>
        <v>222.6197169205405</v>
      </c>
      <c r="X164" s="218">
        <f t="shared" si="25"/>
        <v>239.84090740418867</v>
      </c>
      <c r="Y164" s="218">
        <f t="shared" si="25"/>
        <v>260.54292312526439</v>
      </c>
      <c r="Z164" s="218">
        <f t="shared" si="25"/>
        <v>286.66233691459962</v>
      </c>
      <c r="AA164" s="218">
        <f t="shared" si="25"/>
        <v>311.32519796457854</v>
      </c>
      <c r="AB164" s="218">
        <f t="shared" si="25"/>
        <v>338.26944706740852</v>
      </c>
      <c r="AC164" s="219">
        <f t="shared" si="25"/>
        <v>367.72263879860026</v>
      </c>
      <c r="AG164" s="130"/>
      <c r="AH164" s="130"/>
      <c r="AI164" s="130"/>
    </row>
    <row r="165" spans="3:35" hidden="1" x14ac:dyDescent="0.4">
      <c r="C165" s="216" t="s">
        <v>562</v>
      </c>
      <c r="D165" s="217">
        <v>0.3933054393305439</v>
      </c>
      <c r="E165" s="218">
        <v>43.239999999999995</v>
      </c>
      <c r="F165" s="218">
        <v>65.8</v>
      </c>
      <c r="G165" s="218">
        <v>0</v>
      </c>
      <c r="H165" s="218">
        <v>118.44</v>
      </c>
      <c r="I165" s="218">
        <v>26.32</v>
      </c>
      <c r="J165" s="218">
        <v>63.92</v>
      </c>
      <c r="K165" s="218">
        <v>73.216588412390252</v>
      </c>
      <c r="L165" s="218"/>
      <c r="M165" s="218">
        <f t="shared" si="24"/>
        <v>48.694473317541323</v>
      </c>
      <c r="N165" s="218"/>
      <c r="O165" s="218">
        <f t="shared" si="25"/>
        <v>98.805378858505065</v>
      </c>
      <c r="P165" s="218">
        <f t="shared" si="25"/>
        <v>70.305680417358602</v>
      </c>
      <c r="Q165" s="218">
        <f t="shared" si="25"/>
        <v>731.65276303118969</v>
      </c>
      <c r="R165" s="218">
        <f t="shared" si="25"/>
        <v>99.940834619761347</v>
      </c>
      <c r="S165" s="218">
        <f t="shared" si="25"/>
        <v>134.72375765909567</v>
      </c>
      <c r="T165" s="218">
        <f t="shared" si="25"/>
        <v>133.41151326631228</v>
      </c>
      <c r="U165" s="218">
        <f t="shared" si="25"/>
        <v>156.23727545411685</v>
      </c>
      <c r="V165" s="218">
        <f t="shared" si="25"/>
        <v>169.45791900401082</v>
      </c>
      <c r="W165" s="218">
        <f t="shared" si="25"/>
        <v>183.84990762111173</v>
      </c>
      <c r="X165" s="218">
        <f t="shared" si="25"/>
        <v>198.07198248195778</v>
      </c>
      <c r="Y165" s="218">
        <f t="shared" si="25"/>
        <v>215.16868770887652</v>
      </c>
      <c r="Z165" s="218">
        <f t="shared" si="25"/>
        <v>236.73933688008572</v>
      </c>
      <c r="AA165" s="218">
        <f t="shared" si="25"/>
        <v>257.10709580293684</v>
      </c>
      <c r="AB165" s="218">
        <f t="shared" si="25"/>
        <v>279.35893304807911</v>
      </c>
      <c r="AC165" s="219">
        <f t="shared" si="25"/>
        <v>303.68277396311919</v>
      </c>
      <c r="AG165" s="130"/>
      <c r="AH165" s="130"/>
      <c r="AI165" s="130"/>
    </row>
    <row r="166" spans="3:35" hidden="1" x14ac:dyDescent="0.4">
      <c r="C166" s="216" t="s">
        <v>563</v>
      </c>
      <c r="D166" s="217">
        <v>0.35482703345571126</v>
      </c>
      <c r="E166" s="218">
        <v>60.16</v>
      </c>
      <c r="F166" s="218">
        <v>90.239999999999981</v>
      </c>
      <c r="G166" s="218">
        <v>16.920000000000002</v>
      </c>
      <c r="H166" s="218">
        <v>31.96</v>
      </c>
      <c r="I166" s="218">
        <v>50.76</v>
      </c>
      <c r="J166" s="218">
        <v>24.439999999999998</v>
      </c>
      <c r="K166" s="218">
        <v>63.252200640289807</v>
      </c>
      <c r="L166" s="218"/>
      <c r="M166" s="218">
        <f t="shared" si="24"/>
        <v>42.067414818704343</v>
      </c>
      <c r="N166" s="218"/>
      <c r="O166" s="218">
        <f t="shared" si="25"/>
        <v>85.358492978353496</v>
      </c>
      <c r="P166" s="218">
        <f t="shared" si="25"/>
        <v>60.73745172150506</v>
      </c>
      <c r="Q166" s="218">
        <f t="shared" si="25"/>
        <v>632.07871835830599</v>
      </c>
      <c r="R166" s="218">
        <f t="shared" si="25"/>
        <v>86.339419257308634</v>
      </c>
      <c r="S166" s="218">
        <f t="shared" si="25"/>
        <v>116.38857170549095</v>
      </c>
      <c r="T166" s="218">
        <f t="shared" si="25"/>
        <v>115.25491678628163</v>
      </c>
      <c r="U166" s="218">
        <f t="shared" si="25"/>
        <v>134.97421429763941</v>
      </c>
      <c r="V166" s="218">
        <f t="shared" si="25"/>
        <v>146.39559866618686</v>
      </c>
      <c r="W166" s="218">
        <f t="shared" si="25"/>
        <v>158.82891427622673</v>
      </c>
      <c r="X166" s="218">
        <f t="shared" si="25"/>
        <v>171.11544048737184</v>
      </c>
      <c r="Y166" s="218">
        <f t="shared" si="25"/>
        <v>185.88537518044956</v>
      </c>
      <c r="Z166" s="218">
        <f t="shared" si="25"/>
        <v>204.52037387273677</v>
      </c>
      <c r="AA166" s="218">
        <f t="shared" si="25"/>
        <v>222.11618927354311</v>
      </c>
      <c r="AB166" s="218">
        <f t="shared" si="25"/>
        <v>241.33966997052994</v>
      </c>
      <c r="AC166" s="219">
        <f t="shared" si="25"/>
        <v>262.35316567228057</v>
      </c>
      <c r="AG166" s="130"/>
      <c r="AH166" s="130"/>
      <c r="AI166" s="130"/>
    </row>
    <row r="167" spans="3:35" hidden="1" x14ac:dyDescent="0.4">
      <c r="C167" s="216" t="s">
        <v>564</v>
      </c>
      <c r="D167" s="217">
        <v>0.45015576323987544</v>
      </c>
      <c r="E167" s="218">
        <v>173.4</v>
      </c>
      <c r="F167" s="218">
        <v>0</v>
      </c>
      <c r="G167" s="218">
        <v>0</v>
      </c>
      <c r="H167" s="218">
        <v>0</v>
      </c>
      <c r="I167" s="218">
        <v>173.4</v>
      </c>
      <c r="J167" s="218">
        <v>0</v>
      </c>
      <c r="K167" s="218">
        <v>79.917892677253391</v>
      </c>
      <c r="L167" s="218"/>
      <c r="M167" s="218">
        <f t="shared" si="24"/>
        <v>53.151338746453902</v>
      </c>
      <c r="N167" s="218"/>
      <c r="O167" s="218">
        <f t="shared" si="25"/>
        <v>107.84875169372265</v>
      </c>
      <c r="P167" s="218">
        <f t="shared" si="25"/>
        <v>76.740557625393322</v>
      </c>
      <c r="Q167" s="218">
        <f t="shared" si="25"/>
        <v>798.61884117844852</v>
      </c>
      <c r="R167" s="218">
        <f t="shared" si="25"/>
        <v>109.08813246296501</v>
      </c>
      <c r="S167" s="218">
        <f t="shared" si="25"/>
        <v>147.05463664917031</v>
      </c>
      <c r="T167" s="218">
        <f t="shared" si="25"/>
        <v>145.62228629219786</v>
      </c>
      <c r="U167" s="218">
        <f t="shared" si="25"/>
        <v>170.53722500153512</v>
      </c>
      <c r="V167" s="218">
        <f t="shared" si="25"/>
        <v>184.96791612297292</v>
      </c>
      <c r="W167" s="218">
        <f t="shared" si="25"/>
        <v>200.67716216480412</v>
      </c>
      <c r="X167" s="218">
        <f t="shared" si="25"/>
        <v>216.20094273178577</v>
      </c>
      <c r="Y167" s="218">
        <f t="shared" si="25"/>
        <v>234.8624603343774</v>
      </c>
      <c r="Z167" s="218">
        <f t="shared" si="25"/>
        <v>258.40740913387179</v>
      </c>
      <c r="AA167" s="218">
        <f t="shared" si="25"/>
        <v>280.63937059190016</v>
      </c>
      <c r="AB167" s="218">
        <f t="shared" si="25"/>
        <v>304.92785465527464</v>
      </c>
      <c r="AC167" s="219">
        <f t="shared" si="25"/>
        <v>331.47798693947431</v>
      </c>
      <c r="AG167" s="130"/>
      <c r="AH167" s="130"/>
      <c r="AI167" s="130"/>
    </row>
    <row r="168" spans="3:35" hidden="1" x14ac:dyDescent="0.4">
      <c r="C168" s="216" t="s">
        <v>565</v>
      </c>
      <c r="D168" s="217">
        <v>0.42446043165467628</v>
      </c>
      <c r="E168" s="218">
        <v>0</v>
      </c>
      <c r="F168" s="218">
        <v>0</v>
      </c>
      <c r="G168" s="218">
        <v>324.5</v>
      </c>
      <c r="H168" s="218">
        <v>0</v>
      </c>
      <c r="I168" s="218">
        <v>0</v>
      </c>
      <c r="J168" s="218">
        <v>0</v>
      </c>
      <c r="K168" s="218">
        <v>74.7789970408556</v>
      </c>
      <c r="L168" s="218"/>
      <c r="M168" s="218">
        <f t="shared" si="24"/>
        <v>49.73359118576785</v>
      </c>
      <c r="N168" s="218"/>
      <c r="O168" s="218">
        <f t="shared" si="25"/>
        <v>100.91384061307093</v>
      </c>
      <c r="P168" s="218">
        <f t="shared" si="25"/>
        <v>71.805971595848121</v>
      </c>
      <c r="Q168" s="218">
        <f t="shared" si="25"/>
        <v>747.26589954557824</v>
      </c>
      <c r="R168" s="218">
        <f t="shared" si="25"/>
        <v>102.07352648279165</v>
      </c>
      <c r="S168" s="218">
        <f t="shared" si="25"/>
        <v>137.59870124756563</v>
      </c>
      <c r="T168" s="218">
        <f t="shared" si="25"/>
        <v>136.25845415749194</v>
      </c>
      <c r="U168" s="218">
        <f t="shared" si="25"/>
        <v>159.57130770760708</v>
      </c>
      <c r="V168" s="218">
        <f t="shared" si="25"/>
        <v>173.0740737655845</v>
      </c>
      <c r="W168" s="218">
        <f t="shared" si="25"/>
        <v>187.77318086066589</v>
      </c>
      <c r="X168" s="218">
        <f t="shared" si="25"/>
        <v>202.29874831737163</v>
      </c>
      <c r="Y168" s="218">
        <f t="shared" si="25"/>
        <v>219.76028944205726</v>
      </c>
      <c r="Z168" s="218">
        <f t="shared" si="25"/>
        <v>241.79124643581713</v>
      </c>
      <c r="AA168" s="218">
        <f t="shared" si="25"/>
        <v>262.59364405153286</v>
      </c>
      <c r="AB168" s="218">
        <f t="shared" si="25"/>
        <v>285.32032536227399</v>
      </c>
      <c r="AC168" s="219">
        <f t="shared" si="25"/>
        <v>310.16322595691867</v>
      </c>
      <c r="AG168" s="130"/>
      <c r="AH168" s="130"/>
      <c r="AI168" s="130"/>
    </row>
    <row r="169" spans="3:35" hidden="1" x14ac:dyDescent="0.4">
      <c r="C169" s="216" t="s">
        <v>566</v>
      </c>
      <c r="D169" s="217">
        <v>0.32450098397526012</v>
      </c>
      <c r="E169" s="218">
        <v>0</v>
      </c>
      <c r="F169" s="218">
        <v>0</v>
      </c>
      <c r="G169" s="218">
        <v>0</v>
      </c>
      <c r="H169" s="218">
        <v>76.95</v>
      </c>
      <c r="I169" s="218">
        <v>0</v>
      </c>
      <c r="J169" s="218">
        <v>153.9</v>
      </c>
      <c r="K169" s="218">
        <v>53.197939805490037</v>
      </c>
      <c r="L169" s="218"/>
      <c r="M169" s="218">
        <f t="shared" si="24"/>
        <v>35.380584053110965</v>
      </c>
      <c r="N169" s="218"/>
      <c r="O169" s="218">
        <f t="shared" si="25"/>
        <v>71.790323899930442</v>
      </c>
      <c r="P169" s="218">
        <f t="shared" si="25"/>
        <v>51.082923090605675</v>
      </c>
      <c r="Q169" s="218">
        <f t="shared" si="25"/>
        <v>531.6065729124706</v>
      </c>
      <c r="R169" s="218">
        <f t="shared" si="25"/>
        <v>72.61532692928337</v>
      </c>
      <c r="S169" s="218">
        <f t="shared" si="25"/>
        <v>97.888012890602553</v>
      </c>
      <c r="T169" s="218">
        <f t="shared" si="25"/>
        <v>96.934558219590187</v>
      </c>
      <c r="U169" s="218">
        <f t="shared" si="25"/>
        <v>113.51937252481079</v>
      </c>
      <c r="V169" s="218">
        <f t="shared" si="25"/>
        <v>123.12526942614851</v>
      </c>
      <c r="W169" s="218">
        <f t="shared" si="25"/>
        <v>133.58224592198681</v>
      </c>
      <c r="X169" s="218">
        <f t="shared" si="25"/>
        <v>143.91576594473111</v>
      </c>
      <c r="Y169" s="218">
        <f t="shared" si="25"/>
        <v>156.33794396825556</v>
      </c>
      <c r="Z169" s="218">
        <f t="shared" si="25"/>
        <v>172.01081429802278</v>
      </c>
      <c r="AA169" s="218">
        <f t="shared" si="25"/>
        <v>186.80968483604426</v>
      </c>
      <c r="AB169" s="218">
        <f t="shared" si="25"/>
        <v>202.977494945704</v>
      </c>
      <c r="AC169" s="219">
        <f t="shared" si="25"/>
        <v>220.65078801896664</v>
      </c>
      <c r="AG169" s="130"/>
      <c r="AH169" s="130"/>
      <c r="AI169" s="130"/>
    </row>
    <row r="170" spans="3:35" hidden="1" x14ac:dyDescent="0.4">
      <c r="C170" s="216" t="s">
        <v>567</v>
      </c>
      <c r="D170" s="217">
        <v>0.45015576323987538</v>
      </c>
      <c r="E170" s="218">
        <v>0</v>
      </c>
      <c r="F170" s="218">
        <v>0</v>
      </c>
      <c r="G170" s="218">
        <v>0</v>
      </c>
      <c r="H170" s="218">
        <v>0</v>
      </c>
      <c r="I170" s="218">
        <v>312.12</v>
      </c>
      <c r="J170" s="218">
        <v>0</v>
      </c>
      <c r="K170" s="218">
        <v>71.926103409528039</v>
      </c>
      <c r="L170" s="218"/>
      <c r="M170" s="218">
        <f t="shared" si="24"/>
        <v>47.836204871808505</v>
      </c>
      <c r="N170" s="218"/>
      <c r="O170" s="218">
        <f t="shared" si="25"/>
        <v>97.063876524350363</v>
      </c>
      <c r="P170" s="218">
        <f t="shared" si="25"/>
        <v>69.066501862853983</v>
      </c>
      <c r="Q170" s="218">
        <f t="shared" si="25"/>
        <v>718.75695706060355</v>
      </c>
      <c r="R170" s="218">
        <f t="shared" si="25"/>
        <v>98.179319216668503</v>
      </c>
      <c r="S170" s="218">
        <f t="shared" si="25"/>
        <v>132.34917298425327</v>
      </c>
      <c r="T170" s="218">
        <f t="shared" si="25"/>
        <v>131.06005766297807</v>
      </c>
      <c r="U170" s="218">
        <f t="shared" si="25"/>
        <v>153.48350250138157</v>
      </c>
      <c r="V170" s="218">
        <f t="shared" si="25"/>
        <v>166.47112451067559</v>
      </c>
      <c r="W170" s="218">
        <f t="shared" si="25"/>
        <v>180.60944594832367</v>
      </c>
      <c r="X170" s="218">
        <f t="shared" si="25"/>
        <v>194.58084845860716</v>
      </c>
      <c r="Y170" s="218">
        <f t="shared" si="25"/>
        <v>211.37621430093964</v>
      </c>
      <c r="Z170" s="218">
        <f t="shared" si="25"/>
        <v>232.56666822048453</v>
      </c>
      <c r="AA170" s="218">
        <f t="shared" si="25"/>
        <v>252.57543353271006</v>
      </c>
      <c r="AB170" s="218">
        <f t="shared" si="25"/>
        <v>274.43506918974714</v>
      </c>
      <c r="AC170" s="219">
        <f t="shared" si="25"/>
        <v>298.33018824552681</v>
      </c>
      <c r="AG170" s="130"/>
      <c r="AH170" s="130"/>
      <c r="AI170" s="130"/>
    </row>
    <row r="171" spans="3:35" hidden="1" x14ac:dyDescent="0.4">
      <c r="C171" s="216" t="s">
        <v>568</v>
      </c>
      <c r="D171" s="217">
        <v>0.58859166471552327</v>
      </c>
      <c r="E171" s="218">
        <v>48.62</v>
      </c>
      <c r="F171" s="218">
        <v>26.520000000000003</v>
      </c>
      <c r="G171" s="218">
        <v>53.04</v>
      </c>
      <c r="H171" s="218">
        <v>53.04</v>
      </c>
      <c r="I171" s="218">
        <v>22.1</v>
      </c>
      <c r="J171" s="218">
        <v>198.89999999999998</v>
      </c>
      <c r="K171" s="218">
        <v>92.689085330579161</v>
      </c>
      <c r="L171" s="218"/>
      <c r="M171" s="218">
        <f t="shared" si="24"/>
        <v>61.645131114759764</v>
      </c>
      <c r="N171" s="218"/>
      <c r="O171" s="218">
        <f t="shared" si="25"/>
        <v>125.08340515066067</v>
      </c>
      <c r="P171" s="218">
        <f t="shared" si="25"/>
        <v>89.003999677294388</v>
      </c>
      <c r="Q171" s="218">
        <f t="shared" si="25"/>
        <v>926.24126383735734</v>
      </c>
      <c r="R171" s="218">
        <f t="shared" si="25"/>
        <v>126.5208438271447</v>
      </c>
      <c r="S171" s="218">
        <f t="shared" si="25"/>
        <v>170.5545442705573</v>
      </c>
      <c r="T171" s="218">
        <f t="shared" si="25"/>
        <v>168.89329870948043</v>
      </c>
      <c r="U171" s="218">
        <f t="shared" si="25"/>
        <v>197.78974233021177</v>
      </c>
      <c r="V171" s="218">
        <f t="shared" si="25"/>
        <v>214.52651448380092</v>
      </c>
      <c r="W171" s="218">
        <f t="shared" si="25"/>
        <v>232.74615964800316</v>
      </c>
      <c r="X171" s="218">
        <f t="shared" si="25"/>
        <v>250.75070122715934</v>
      </c>
      <c r="Y171" s="218">
        <f t="shared" si="25"/>
        <v>272.39440252506711</v>
      </c>
      <c r="Z171" s="218">
        <f t="shared" si="25"/>
        <v>299.70192647585321</v>
      </c>
      <c r="AA171" s="218">
        <f t="shared" si="25"/>
        <v>325.48664255903708</v>
      </c>
      <c r="AB171" s="218">
        <f t="shared" si="25"/>
        <v>353.65652162469593</v>
      </c>
      <c r="AC171" s="219">
        <f t="shared" si="25"/>
        <v>384.44946916607643</v>
      </c>
      <c r="AG171" s="130"/>
      <c r="AH171" s="130"/>
      <c r="AI171" s="130"/>
    </row>
    <row r="172" spans="3:35" hidden="1" x14ac:dyDescent="0.4">
      <c r="C172" s="216" t="s">
        <v>569</v>
      </c>
      <c r="D172" s="217">
        <v>0.39570552147239263</v>
      </c>
      <c r="E172" s="218">
        <v>0</v>
      </c>
      <c r="F172" s="218">
        <v>0</v>
      </c>
      <c r="G172" s="218">
        <v>0</v>
      </c>
      <c r="H172" s="218">
        <v>0</v>
      </c>
      <c r="I172" s="218">
        <v>0</v>
      </c>
      <c r="J172" s="218">
        <v>258</v>
      </c>
      <c r="K172" s="218">
        <v>59.454487631866691</v>
      </c>
      <c r="L172" s="218"/>
      <c r="M172" s="218">
        <f t="shared" si="24"/>
        <v>39.541653392690613</v>
      </c>
      <c r="N172" s="218"/>
      <c r="O172" s="218">
        <f t="shared" ref="O172:AC184" si="26">+O107*$D172</f>
        <v>80.233500394983963</v>
      </c>
      <c r="P172" s="218">
        <f t="shared" si="26"/>
        <v>57.09072626110575</v>
      </c>
      <c r="Q172" s="218">
        <f t="shared" si="26"/>
        <v>594.1282036448664</v>
      </c>
      <c r="R172" s="218">
        <f t="shared" si="26"/>
        <v>81.155531071063919</v>
      </c>
      <c r="S172" s="218">
        <f t="shared" si="26"/>
        <v>109.40050823381181</v>
      </c>
      <c r="T172" s="218">
        <f t="shared" si="26"/>
        <v>108.33491886789804</v>
      </c>
      <c r="U172" s="218">
        <f t="shared" si="26"/>
        <v>126.87025389387559</v>
      </c>
      <c r="V172" s="218">
        <f t="shared" si="26"/>
        <v>137.60588915722897</v>
      </c>
      <c r="W172" s="218">
        <f t="shared" si="26"/>
        <v>149.29269849630754</v>
      </c>
      <c r="X172" s="218">
        <f t="shared" si="26"/>
        <v>160.84153179008283</v>
      </c>
      <c r="Y172" s="218">
        <f t="shared" si="26"/>
        <v>174.72466772280669</v>
      </c>
      <c r="Z172" s="218">
        <f t="shared" si="26"/>
        <v>192.24080610305339</v>
      </c>
      <c r="AA172" s="218">
        <f t="shared" si="26"/>
        <v>208.78015459259004</v>
      </c>
      <c r="AB172" s="218">
        <f t="shared" si="26"/>
        <v>226.84944204458145</v>
      </c>
      <c r="AC172" s="219">
        <f t="shared" si="26"/>
        <v>246.60127056050848</v>
      </c>
      <c r="AG172" s="130"/>
      <c r="AH172" s="130"/>
      <c r="AI172" s="130"/>
    </row>
    <row r="173" spans="3:35" hidden="1" x14ac:dyDescent="0.4">
      <c r="C173" s="216" t="s">
        <v>570</v>
      </c>
      <c r="D173" s="217">
        <v>0.52909003163708501</v>
      </c>
      <c r="E173" s="218">
        <v>115.83</v>
      </c>
      <c r="F173" s="218">
        <v>25.74</v>
      </c>
      <c r="G173" s="218">
        <v>25.74</v>
      </c>
      <c r="H173" s="218">
        <v>25.74</v>
      </c>
      <c r="I173" s="218">
        <v>0</v>
      </c>
      <c r="J173" s="218">
        <v>102.96</v>
      </c>
      <c r="K173" s="218">
        <v>68.213654588794029</v>
      </c>
      <c r="L173" s="218"/>
      <c r="M173" s="218">
        <f t="shared" si="24"/>
        <v>45.367150468102125</v>
      </c>
      <c r="N173" s="218"/>
      <c r="O173" s="218">
        <f t="shared" si="26"/>
        <v>92.053947488058938</v>
      </c>
      <c r="P173" s="218">
        <f t="shared" si="26"/>
        <v>65.501650699805865</v>
      </c>
      <c r="Q173" s="218">
        <f t="shared" si="26"/>
        <v>681.65848667022055</v>
      </c>
      <c r="R173" s="218">
        <f t="shared" si="26"/>
        <v>93.111816869556719</v>
      </c>
      <c r="S173" s="218">
        <f t="shared" si="26"/>
        <v>125.51800171430477</v>
      </c>
      <c r="T173" s="218">
        <f t="shared" si="26"/>
        <v>124.29542377552907</v>
      </c>
      <c r="U173" s="218">
        <f t="shared" si="26"/>
        <v>145.56148781056632</v>
      </c>
      <c r="V173" s="218">
        <f t="shared" si="26"/>
        <v>157.87875678074167</v>
      </c>
      <c r="W173" s="218">
        <f t="shared" si="26"/>
        <v>171.28733210035656</v>
      </c>
      <c r="X173" s="218">
        <f t="shared" si="26"/>
        <v>184.53760397357524</v>
      </c>
      <c r="Y173" s="218">
        <f t="shared" si="26"/>
        <v>200.46608097917832</v>
      </c>
      <c r="Z173" s="218">
        <f t="shared" si="26"/>
        <v>220.56279463009622</v>
      </c>
      <c r="AA173" s="218">
        <f t="shared" si="26"/>
        <v>239.53881225175419</v>
      </c>
      <c r="AB173" s="218">
        <f t="shared" si="26"/>
        <v>260.27016798300991</v>
      </c>
      <c r="AC173" s="219">
        <f t="shared" si="26"/>
        <v>282.9319461186671</v>
      </c>
      <c r="AG173" s="130"/>
      <c r="AH173" s="130"/>
      <c r="AI173" s="130"/>
    </row>
    <row r="174" spans="3:35" hidden="1" x14ac:dyDescent="0.4">
      <c r="C174" s="216" t="s">
        <v>571</v>
      </c>
      <c r="D174" s="217">
        <v>0.33046179918090668</v>
      </c>
      <c r="E174" s="218">
        <v>2.6</v>
      </c>
      <c r="F174" s="218">
        <v>26</v>
      </c>
      <c r="G174" s="218">
        <v>-36.4</v>
      </c>
      <c r="H174" s="218">
        <v>26</v>
      </c>
      <c r="I174" s="218">
        <v>44.2</v>
      </c>
      <c r="J174" s="218">
        <v>101.4</v>
      </c>
      <c r="K174" s="218">
        <v>37.746686333720028</v>
      </c>
      <c r="L174" s="218"/>
      <c r="M174" s="218">
        <f t="shared" si="24"/>
        <v>25.104352037684976</v>
      </c>
      <c r="N174" s="218"/>
      <c r="O174" s="218">
        <f t="shared" si="26"/>
        <v>50.938943274024709</v>
      </c>
      <c r="P174" s="218">
        <f t="shared" si="26"/>
        <v>36.245972719260166</v>
      </c>
      <c r="Q174" s="218">
        <f t="shared" si="26"/>
        <v>377.20232463964777</v>
      </c>
      <c r="R174" s="218">
        <f t="shared" si="26"/>
        <v>51.524325540466172</v>
      </c>
      <c r="S174" s="218">
        <f t="shared" si="26"/>
        <v>69.456601739140993</v>
      </c>
      <c r="T174" s="218">
        <f t="shared" si="26"/>
        <v>68.780076397525974</v>
      </c>
      <c r="U174" s="218">
        <f t="shared" si="26"/>
        <v>80.54785886750706</v>
      </c>
      <c r="V174" s="218">
        <f t="shared" si="26"/>
        <v>87.363738930054694</v>
      </c>
      <c r="W174" s="218">
        <f t="shared" si="26"/>
        <v>94.783503929051079</v>
      </c>
      <c r="X174" s="218">
        <f t="shared" si="26"/>
        <v>102.11567018300607</v>
      </c>
      <c r="Y174" s="218">
        <f t="shared" si="26"/>
        <v>110.92984718215403</v>
      </c>
      <c r="Z174" s="218">
        <f t="shared" si="26"/>
        <v>122.05055829333389</v>
      </c>
      <c r="AA174" s="218">
        <f t="shared" si="26"/>
        <v>132.55112140413277</v>
      </c>
      <c r="AB174" s="218">
        <f t="shared" si="26"/>
        <v>144.02301785621103</v>
      </c>
      <c r="AC174" s="219">
        <f t="shared" si="26"/>
        <v>156.56313223957866</v>
      </c>
      <c r="AG174" s="130"/>
      <c r="AH174" s="130"/>
      <c r="AI174" s="130"/>
    </row>
    <row r="175" spans="3:35" hidden="1" x14ac:dyDescent="0.4">
      <c r="C175" s="216" t="s">
        <v>572</v>
      </c>
      <c r="D175" s="217">
        <v>0.27480851602557338</v>
      </c>
      <c r="E175" s="218">
        <v>10.059999999999999</v>
      </c>
      <c r="F175" s="218">
        <v>19.759999999999998</v>
      </c>
      <c r="G175" s="218">
        <v>25.160000000000004</v>
      </c>
      <c r="H175" s="218">
        <v>19.98</v>
      </c>
      <c r="I175" s="218">
        <v>16.84</v>
      </c>
      <c r="J175" s="218">
        <v>38.440000000000005</v>
      </c>
      <c r="K175" s="218">
        <v>30.012994066567131</v>
      </c>
      <c r="L175" s="218"/>
      <c r="M175" s="218">
        <f t="shared" si="24"/>
        <v>19.960871852186145</v>
      </c>
      <c r="N175" s="218"/>
      <c r="O175" s="218">
        <f t="shared" si="26"/>
        <v>40.502368571483387</v>
      </c>
      <c r="P175" s="218">
        <f t="shared" si="26"/>
        <v>28.81975266762176</v>
      </c>
      <c r="Q175" s="218">
        <f t="shared" si="26"/>
        <v>299.91960171592024</v>
      </c>
      <c r="R175" s="218">
        <f t="shared" si="26"/>
        <v>40.967815374788245</v>
      </c>
      <c r="S175" s="218">
        <f t="shared" si="26"/>
        <v>55.226055009192443</v>
      </c>
      <c r="T175" s="218">
        <f t="shared" si="26"/>
        <v>54.688138888973036</v>
      </c>
      <c r="U175" s="218">
        <f t="shared" si="26"/>
        <v>64.044890957900606</v>
      </c>
      <c r="V175" s="218">
        <f t="shared" si="26"/>
        <v>69.464306216424433</v>
      </c>
      <c r="W175" s="218">
        <f t="shared" si="26"/>
        <v>75.363880047128276</v>
      </c>
      <c r="X175" s="218">
        <f t="shared" si="26"/>
        <v>81.193802714497636</v>
      </c>
      <c r="Y175" s="218">
        <f t="shared" si="26"/>
        <v>88.202095830303676</v>
      </c>
      <c r="Z175" s="218">
        <f t="shared" si="26"/>
        <v>97.044351111866945</v>
      </c>
      <c r="AA175" s="218">
        <f t="shared" si="26"/>
        <v>105.3935167989881</v>
      </c>
      <c r="AB175" s="218">
        <f t="shared" si="26"/>
        <v>114.51500516234996</v>
      </c>
      <c r="AC175" s="219">
        <f t="shared" si="26"/>
        <v>124.48585068914973</v>
      </c>
      <c r="AG175" s="130"/>
      <c r="AH175" s="130"/>
      <c r="AI175" s="130"/>
    </row>
    <row r="176" spans="3:35" hidden="1" x14ac:dyDescent="0.4">
      <c r="C176" s="216" t="s">
        <v>573</v>
      </c>
      <c r="D176" s="217">
        <v>0.45011399908800726</v>
      </c>
      <c r="E176" s="218">
        <v>63.930000000000007</v>
      </c>
      <c r="F176" s="218">
        <v>13.16</v>
      </c>
      <c r="G176" s="218">
        <v>5.64</v>
      </c>
      <c r="H176" s="218">
        <v>0</v>
      </c>
      <c r="I176" s="218">
        <v>37.599999999999994</v>
      </c>
      <c r="J176" s="218">
        <v>77.089999999999989</v>
      </c>
      <c r="K176" s="218">
        <v>45.494205225903578</v>
      </c>
      <c r="L176" s="218"/>
      <c r="M176" s="218">
        <f t="shared" si="24"/>
        <v>30.257027956530933</v>
      </c>
      <c r="N176" s="218"/>
      <c r="O176" s="218">
        <f t="shared" si="26"/>
        <v>61.394176930146273</v>
      </c>
      <c r="P176" s="218">
        <f t="shared" si="26"/>
        <v>43.685469683982546</v>
      </c>
      <c r="Q176" s="218">
        <f t="shared" si="26"/>
        <v>454.62321691306022</v>
      </c>
      <c r="R176" s="218">
        <f t="shared" si="26"/>
        <v>62.099709085462948</v>
      </c>
      <c r="S176" s="218">
        <f t="shared" si="26"/>
        <v>83.712590447748539</v>
      </c>
      <c r="T176" s="218">
        <f t="shared" si="26"/>
        <v>82.897208073257488</v>
      </c>
      <c r="U176" s="218">
        <f t="shared" si="26"/>
        <v>97.080331487321388</v>
      </c>
      <c r="V176" s="218">
        <f t="shared" si="26"/>
        <v>105.29517301325637</v>
      </c>
      <c r="W176" s="218">
        <f t="shared" si="26"/>
        <v>114.23784704318231</v>
      </c>
      <c r="X176" s="218">
        <f t="shared" si="26"/>
        <v>123.07494265890756</v>
      </c>
      <c r="Y176" s="218">
        <f t="shared" si="26"/>
        <v>133.69823217766086</v>
      </c>
      <c r="Z176" s="218">
        <f t="shared" si="26"/>
        <v>147.10147263901084</v>
      </c>
      <c r="AA176" s="218">
        <f t="shared" si="26"/>
        <v>159.75727953360129</v>
      </c>
      <c r="AB176" s="218">
        <f t="shared" si="26"/>
        <v>173.5837862342685</v>
      </c>
      <c r="AC176" s="219">
        <f t="shared" si="26"/>
        <v>188.69776292269609</v>
      </c>
      <c r="AG176" s="130"/>
      <c r="AH176" s="130"/>
      <c r="AI176" s="130"/>
    </row>
    <row r="177" spans="3:35" hidden="1" x14ac:dyDescent="0.4">
      <c r="C177" s="216" t="s">
        <v>574</v>
      </c>
      <c r="D177" s="217">
        <v>0.3444444444444445</v>
      </c>
      <c r="E177" s="218">
        <v>0</v>
      </c>
      <c r="F177" s="218">
        <v>0</v>
      </c>
      <c r="G177" s="218">
        <v>0</v>
      </c>
      <c r="H177" s="218">
        <v>145.08000000000001</v>
      </c>
      <c r="I177" s="218">
        <v>0</v>
      </c>
      <c r="J177" s="218">
        <v>0</v>
      </c>
      <c r="K177" s="218">
        <v>33.432779324152023</v>
      </c>
      <c r="L177" s="218"/>
      <c r="M177" s="218">
        <f t="shared" si="24"/>
        <v>22.235283233378119</v>
      </c>
      <c r="N177" s="218"/>
      <c r="O177" s="218">
        <f t="shared" si="26"/>
        <v>45.11734975699332</v>
      </c>
      <c r="P177" s="218">
        <f t="shared" si="26"/>
        <v>32.103575837059005</v>
      </c>
      <c r="Q177" s="218">
        <f t="shared" si="26"/>
        <v>334.09348753797377</v>
      </c>
      <c r="R177" s="218">
        <f t="shared" si="26"/>
        <v>45.635831192984327</v>
      </c>
      <c r="S177" s="218">
        <f t="shared" si="26"/>
        <v>61.518704397524871</v>
      </c>
      <c r="T177" s="218">
        <f t="shared" si="26"/>
        <v>60.919496237808723</v>
      </c>
      <c r="U177" s="218">
        <f t="shared" si="26"/>
        <v>71.342389282649108</v>
      </c>
      <c r="V177" s="218">
        <f t="shared" si="26"/>
        <v>77.379311623762732</v>
      </c>
      <c r="W177" s="218">
        <f t="shared" si="26"/>
        <v>83.95110348001667</v>
      </c>
      <c r="X177" s="218">
        <f t="shared" si="26"/>
        <v>90.445307876376816</v>
      </c>
      <c r="Y177" s="218">
        <f t="shared" si="26"/>
        <v>98.252150361336419</v>
      </c>
      <c r="Z177" s="218">
        <f t="shared" si="26"/>
        <v>108.10192305981003</v>
      </c>
      <c r="AA177" s="218">
        <f t="shared" si="26"/>
        <v>117.40242181508903</v>
      </c>
      <c r="AB177" s="218">
        <f t="shared" si="26"/>
        <v>127.56324438692978</v>
      </c>
      <c r="AC177" s="219">
        <f t="shared" si="26"/>
        <v>138.67020284076969</v>
      </c>
      <c r="AG177" s="130"/>
      <c r="AH177" s="130"/>
      <c r="AI177" s="130"/>
    </row>
    <row r="178" spans="3:35" hidden="1" x14ac:dyDescent="0.4">
      <c r="C178" s="216" t="s">
        <v>575</v>
      </c>
      <c r="D178" s="217">
        <v>0.47990255785627289</v>
      </c>
      <c r="E178" s="218">
        <v>0</v>
      </c>
      <c r="F178" s="218">
        <v>0</v>
      </c>
      <c r="G178" s="218">
        <v>0</v>
      </c>
      <c r="H178" s="218">
        <v>0</v>
      </c>
      <c r="I178" s="218">
        <v>94.56</v>
      </c>
      <c r="J178" s="218">
        <v>94.56</v>
      </c>
      <c r="K178" s="218">
        <v>43.581522096661359</v>
      </c>
      <c r="L178" s="218"/>
      <c r="M178" s="218">
        <f t="shared" si="24"/>
        <v>28.984951510176938</v>
      </c>
      <c r="N178" s="218"/>
      <c r="O178" s="218">
        <f t="shared" si="26"/>
        <v>58.813021684881285</v>
      </c>
      <c r="P178" s="218">
        <f t="shared" si="26"/>
        <v>41.848830040698921</v>
      </c>
      <c r="Q178" s="218">
        <f t="shared" si="26"/>
        <v>435.50979020665562</v>
      </c>
      <c r="R178" s="218">
        <f t="shared" si="26"/>
        <v>59.48889161302175</v>
      </c>
      <c r="S178" s="218">
        <f t="shared" si="26"/>
        <v>80.193116733249965</v>
      </c>
      <c r="T178" s="218">
        <f t="shared" si="26"/>
        <v>79.41201494688714</v>
      </c>
      <c r="U178" s="218">
        <f t="shared" si="26"/>
        <v>92.99884657523161</v>
      </c>
      <c r="V178" s="218">
        <f t="shared" si="26"/>
        <v>100.868316889206</v>
      </c>
      <c r="W178" s="218">
        <f t="shared" si="26"/>
        <v>109.43501992101429</v>
      </c>
      <c r="X178" s="218">
        <f t="shared" si="26"/>
        <v>117.90058330287003</v>
      </c>
      <c r="Y178" s="218">
        <f t="shared" si="26"/>
        <v>128.07724480518297</v>
      </c>
      <c r="Z178" s="218">
        <f t="shared" si="26"/>
        <v>140.91698158995914</v>
      </c>
      <c r="AA178" s="218">
        <f t="shared" si="26"/>
        <v>153.04070866880093</v>
      </c>
      <c r="AB178" s="218">
        <f t="shared" si="26"/>
        <v>166.28591658709786</v>
      </c>
      <c r="AC178" s="219">
        <f t="shared" si="26"/>
        <v>180.76446623412161</v>
      </c>
      <c r="AG178" s="130"/>
      <c r="AH178" s="130"/>
      <c r="AI178" s="130"/>
    </row>
    <row r="179" spans="3:35" hidden="1" x14ac:dyDescent="0.4">
      <c r="C179" s="216" t="s">
        <v>576</v>
      </c>
      <c r="D179" s="217">
        <v>0.36753731343283585</v>
      </c>
      <c r="E179" s="218">
        <v>0</v>
      </c>
      <c r="F179" s="218">
        <v>0</v>
      </c>
      <c r="G179" s="218">
        <v>0</v>
      </c>
      <c r="H179" s="218">
        <v>47.28</v>
      </c>
      <c r="I179" s="218">
        <v>0</v>
      </c>
      <c r="J179" s="218">
        <v>94.56</v>
      </c>
      <c r="K179" s="218">
        <v>32.68614157249602</v>
      </c>
      <c r="L179" s="218"/>
      <c r="M179" s="218">
        <f t="shared" si="24"/>
        <v>21.738713632632699</v>
      </c>
      <c r="N179" s="218"/>
      <c r="O179" s="218">
        <f t="shared" si="26"/>
        <v>44.109766263660958</v>
      </c>
      <c r="P179" s="218">
        <f t="shared" si="26"/>
        <v>31.386622530524185</v>
      </c>
      <c r="Q179" s="218">
        <f t="shared" si="26"/>
        <v>326.6323426549917</v>
      </c>
      <c r="R179" s="218">
        <f t="shared" si="26"/>
        <v>44.616668709766309</v>
      </c>
      <c r="S179" s="218">
        <f t="shared" si="26"/>
        <v>60.144837549937463</v>
      </c>
      <c r="T179" s="218">
        <f t="shared" si="26"/>
        <v>59.559011210165352</v>
      </c>
      <c r="U179" s="218">
        <f t="shared" si="26"/>
        <v>69.749134931423697</v>
      </c>
      <c r="V179" s="218">
        <f t="shared" si="26"/>
        <v>75.651237666904493</v>
      </c>
      <c r="W179" s="218">
        <f t="shared" si="26"/>
        <v>82.076264940760709</v>
      </c>
      <c r="X179" s="218">
        <f t="shared" si="26"/>
        <v>88.425437477152514</v>
      </c>
      <c r="Y179" s="218">
        <f t="shared" si="26"/>
        <v>96.057933603887221</v>
      </c>
      <c r="Z179" s="218">
        <f t="shared" si="26"/>
        <v>105.68773619246934</v>
      </c>
      <c r="AA179" s="218">
        <f t="shared" si="26"/>
        <v>114.78053150160066</v>
      </c>
      <c r="AB179" s="218">
        <f t="shared" si="26"/>
        <v>124.71443744032339</v>
      </c>
      <c r="AC179" s="219">
        <f t="shared" si="26"/>
        <v>135.5733496755912</v>
      </c>
      <c r="AG179" s="130"/>
      <c r="AH179" s="130"/>
      <c r="AI179" s="130"/>
    </row>
    <row r="180" spans="3:35" hidden="1" x14ac:dyDescent="0.4">
      <c r="C180" s="216" t="s">
        <v>577</v>
      </c>
      <c r="D180" s="217">
        <v>0.3855903935957305</v>
      </c>
      <c r="E180" s="218">
        <v>0</v>
      </c>
      <c r="F180" s="218">
        <v>0</v>
      </c>
      <c r="G180" s="218">
        <v>0</v>
      </c>
      <c r="H180" s="218">
        <v>69.36</v>
      </c>
      <c r="I180" s="218">
        <v>69.36</v>
      </c>
      <c r="J180" s="218">
        <v>0</v>
      </c>
      <c r="K180" s="218">
        <v>31.967157070901351</v>
      </c>
      <c r="L180" s="218"/>
      <c r="M180" s="218">
        <f t="shared" si="24"/>
        <v>21.260535498581557</v>
      </c>
      <c r="N180" s="218"/>
      <c r="O180" s="218">
        <f t="shared" si="26"/>
        <v>43.13950067748906</v>
      </c>
      <c r="P180" s="218">
        <f t="shared" si="26"/>
        <v>30.696223050157329</v>
      </c>
      <c r="Q180" s="218">
        <f t="shared" si="26"/>
        <v>319.44753647137935</v>
      </c>
      <c r="R180" s="218">
        <f t="shared" si="26"/>
        <v>43.635252985186</v>
      </c>
      <c r="S180" s="218">
        <f t="shared" si="26"/>
        <v>58.821854659668119</v>
      </c>
      <c r="T180" s="218">
        <f t="shared" si="26"/>
        <v>58.248914516879147</v>
      </c>
      <c r="U180" s="218">
        <f t="shared" si="26"/>
        <v>68.214890000614034</v>
      </c>
      <c r="V180" s="218">
        <f t="shared" si="26"/>
        <v>73.987166449189175</v>
      </c>
      <c r="W180" s="218">
        <f t="shared" si="26"/>
        <v>80.270864865921652</v>
      </c>
      <c r="X180" s="218">
        <f t="shared" si="26"/>
        <v>86.480377092714292</v>
      </c>
      <c r="Y180" s="218">
        <f t="shared" si="26"/>
        <v>93.944984133750964</v>
      </c>
      <c r="Z180" s="218">
        <f t="shared" si="26"/>
        <v>103.3629636535487</v>
      </c>
      <c r="AA180" s="218">
        <f t="shared" si="26"/>
        <v>112.25574823676006</v>
      </c>
      <c r="AB180" s="218">
        <f t="shared" si="26"/>
        <v>121.97114186210986</v>
      </c>
      <c r="AC180" s="219">
        <f t="shared" si="26"/>
        <v>132.59119477578969</v>
      </c>
      <c r="AG180" s="130"/>
      <c r="AH180" s="130"/>
      <c r="AI180" s="130"/>
    </row>
    <row r="181" spans="3:35" hidden="1" x14ac:dyDescent="0.4">
      <c r="C181" s="216" t="s">
        <v>578</v>
      </c>
      <c r="D181" s="217">
        <v>0.58936793637505225</v>
      </c>
      <c r="E181" s="218">
        <v>19.2</v>
      </c>
      <c r="F181" s="218">
        <v>19.2</v>
      </c>
      <c r="G181" s="218">
        <v>19.2</v>
      </c>
      <c r="H181" s="218">
        <v>38.4</v>
      </c>
      <c r="I181" s="218">
        <v>0</v>
      </c>
      <c r="J181" s="218">
        <v>115.19999999999999</v>
      </c>
      <c r="K181" s="218">
        <v>48.669720107946688</v>
      </c>
      <c r="L181" s="218"/>
      <c r="M181" s="218">
        <f t="shared" si="24"/>
        <v>32.368981381923476</v>
      </c>
      <c r="N181" s="218"/>
      <c r="O181" s="218">
        <f t="shared" si="26"/>
        <v>65.679516602405485</v>
      </c>
      <c r="P181" s="218">
        <f t="shared" si="26"/>
        <v>46.734734055602843</v>
      </c>
      <c r="Q181" s="218">
        <f t="shared" si="26"/>
        <v>486.35611089068129</v>
      </c>
      <c r="R181" s="218">
        <f t="shared" si="26"/>
        <v>66.434295202359294</v>
      </c>
      <c r="S181" s="218">
        <f t="shared" si="26"/>
        <v>89.555764879771502</v>
      </c>
      <c r="T181" s="218">
        <f t="shared" si="26"/>
        <v>88.6834684686049</v>
      </c>
      <c r="U181" s="218">
        <f t="shared" si="26"/>
        <v>103.85657993173069</v>
      </c>
      <c r="V181" s="218">
        <f t="shared" si="26"/>
        <v>112.64482089149907</v>
      </c>
      <c r="W181" s="218">
        <f t="shared" si="26"/>
        <v>122.21169737372151</v>
      </c>
      <c r="X181" s="218">
        <f t="shared" si="26"/>
        <v>131.66562602350965</v>
      </c>
      <c r="Y181" s="218">
        <f t="shared" si="26"/>
        <v>143.0304256707627</v>
      </c>
      <c r="Z181" s="218">
        <f t="shared" si="26"/>
        <v>157.36921801924368</v>
      </c>
      <c r="AA181" s="218">
        <f t="shared" si="26"/>
        <v>170.90840561998067</v>
      </c>
      <c r="AB181" s="218">
        <f t="shared" si="26"/>
        <v>185.70000837137829</v>
      </c>
      <c r="AC181" s="219">
        <f t="shared" si="26"/>
        <v>201.86894706348599</v>
      </c>
      <c r="AG181" s="130"/>
      <c r="AH181" s="130"/>
      <c r="AI181" s="130"/>
    </row>
    <row r="182" spans="3:35" hidden="1" x14ac:dyDescent="0.4">
      <c r="C182" s="216" t="s">
        <v>579</v>
      </c>
      <c r="D182" s="217">
        <v>0.38472418670438474</v>
      </c>
      <c r="E182" s="218">
        <v>0</v>
      </c>
      <c r="F182" s="218">
        <v>65.28</v>
      </c>
      <c r="G182" s="218">
        <v>0</v>
      </c>
      <c r="H182" s="218">
        <v>0</v>
      </c>
      <c r="I182" s="218">
        <v>0</v>
      </c>
      <c r="J182" s="218">
        <v>65.28</v>
      </c>
      <c r="K182" s="218">
        <v>30.086736066730687</v>
      </c>
      <c r="L182" s="218"/>
      <c r="M182" s="218">
        <f t="shared" si="24"/>
        <v>20.009915763370881</v>
      </c>
      <c r="N182" s="218"/>
      <c r="O182" s="218">
        <f t="shared" si="26"/>
        <v>40.601882990577941</v>
      </c>
      <c r="P182" s="218">
        <f t="shared" si="26"/>
        <v>28.890562870736307</v>
      </c>
      <c r="Q182" s="218">
        <f t="shared" si="26"/>
        <v>300.65650491423941</v>
      </c>
      <c r="R182" s="218">
        <f t="shared" si="26"/>
        <v>41.068473397822117</v>
      </c>
      <c r="S182" s="218">
        <f t="shared" si="26"/>
        <v>55.361745562040582</v>
      </c>
      <c r="T182" s="218">
        <f t="shared" si="26"/>
        <v>54.822507780592133</v>
      </c>
      <c r="U182" s="218">
        <f t="shared" si="26"/>
        <v>64.202249412342624</v>
      </c>
      <c r="V182" s="218">
        <f t="shared" si="26"/>
        <v>69.634980187472152</v>
      </c>
      <c r="W182" s="218">
        <f t="shared" si="26"/>
        <v>75.549049285573318</v>
      </c>
      <c r="X182" s="218">
        <f t="shared" si="26"/>
        <v>81.393296087260509</v>
      </c>
      <c r="Y182" s="218">
        <f t="shared" si="26"/>
        <v>88.418808596471493</v>
      </c>
      <c r="Z182" s="218">
        <f t="shared" si="26"/>
        <v>97.282789320987007</v>
      </c>
      <c r="AA182" s="218">
        <f t="shared" si="26"/>
        <v>105.65246892871535</v>
      </c>
      <c r="AB182" s="218">
        <f t="shared" si="26"/>
        <v>114.7963688113975</v>
      </c>
      <c r="AC182" s="219">
        <f t="shared" si="26"/>
        <v>124.79171273015501</v>
      </c>
      <c r="AG182" s="130"/>
      <c r="AH182" s="130"/>
      <c r="AI182" s="130"/>
    </row>
    <row r="183" spans="3:35" hidden="1" x14ac:dyDescent="0.4">
      <c r="C183" s="216" t="s">
        <v>580</v>
      </c>
      <c r="D183" s="217">
        <v>0.32855093256814921</v>
      </c>
      <c r="E183" s="218">
        <v>0</v>
      </c>
      <c r="F183" s="218">
        <v>0</v>
      </c>
      <c r="G183" s="218">
        <v>54.96</v>
      </c>
      <c r="H183" s="218">
        <v>54.96</v>
      </c>
      <c r="I183" s="218">
        <v>0</v>
      </c>
      <c r="J183" s="218">
        <v>0</v>
      </c>
      <c r="K183" s="218">
        <v>25.330377056181344</v>
      </c>
      <c r="L183" s="218">
        <v>115</v>
      </c>
      <c r="M183" s="218">
        <f t="shared" si="24"/>
        <v>16.846583491955631</v>
      </c>
      <c r="N183" s="218"/>
      <c r="O183" s="218">
        <f t="shared" si="26"/>
        <v>34.183202958979223</v>
      </c>
      <c r="P183" s="218">
        <f t="shared" si="26"/>
        <v>24.323304769847844</v>
      </c>
      <c r="Q183" s="218">
        <f t="shared" si="26"/>
        <v>253.12624862265008</v>
      </c>
      <c r="R183" s="218">
        <f t="shared" si="26"/>
        <v>34.576030912137</v>
      </c>
      <c r="S183" s="218">
        <f t="shared" si="26"/>
        <v>46.609704903335633</v>
      </c>
      <c r="T183" s="218">
        <f t="shared" si="26"/>
        <v>46.155714271160285</v>
      </c>
      <c r="U183" s="218">
        <f t="shared" si="26"/>
        <v>54.052629100832576</v>
      </c>
      <c r="V183" s="218">
        <f t="shared" si="26"/>
        <v>58.626509054893837</v>
      </c>
      <c r="W183" s="218">
        <f t="shared" si="26"/>
        <v>63.605633405868701</v>
      </c>
      <c r="X183" s="218">
        <f t="shared" si="26"/>
        <v>68.525973544053898</v>
      </c>
      <c r="Y183" s="218">
        <f t="shared" si="26"/>
        <v>74.44083517864695</v>
      </c>
      <c r="Z183" s="218">
        <f t="shared" si="26"/>
        <v>81.903524832742747</v>
      </c>
      <c r="AA183" s="218">
        <f t="shared" si="26"/>
        <v>88.950056561308145</v>
      </c>
      <c r="AB183" s="218">
        <f t="shared" si="26"/>
        <v>96.64841344783099</v>
      </c>
      <c r="AC183" s="219">
        <f t="shared" si="26"/>
        <v>105.06361108531432</v>
      </c>
      <c r="AG183" s="130"/>
      <c r="AH183" s="130"/>
      <c r="AI183" s="130"/>
    </row>
    <row r="184" spans="3:35" hidden="1" x14ac:dyDescent="0.4">
      <c r="C184" s="220" t="s">
        <v>581</v>
      </c>
      <c r="D184" s="217">
        <v>0.4029548037317055</v>
      </c>
      <c r="E184" s="218">
        <v>842.09000000000015</v>
      </c>
      <c r="F184" s="218">
        <v>550.83000000000004</v>
      </c>
      <c r="G184" s="218">
        <v>725.67999999999984</v>
      </c>
      <c r="H184" s="218">
        <v>1658.4100000000003</v>
      </c>
      <c r="I184" s="218">
        <v>807.46</v>
      </c>
      <c r="J184" s="218">
        <v>2546.1899999999991</v>
      </c>
      <c r="K184" s="218">
        <v>2848</v>
      </c>
      <c r="L184" s="218">
        <v>124</v>
      </c>
      <c r="M184" s="218">
        <f t="shared" si="24"/>
        <v>1092.8607991516405</v>
      </c>
      <c r="N184" s="218"/>
      <c r="O184" s="218">
        <f t="shared" si="26"/>
        <v>2217.5108989399087</v>
      </c>
      <c r="P184" s="218">
        <f t="shared" si="26"/>
        <v>1577.8858841899857</v>
      </c>
      <c r="Q184" s="218">
        <f t="shared" si="26"/>
        <v>16420.644250396523</v>
      </c>
      <c r="R184" s="218">
        <f t="shared" si="26"/>
        <v>2242.9941828960959</v>
      </c>
      <c r="S184" s="218">
        <f t="shared" si="26"/>
        <v>3023.634992412839</v>
      </c>
      <c r="T184" s="218">
        <f t="shared" si="26"/>
        <v>2994.1840022269994</v>
      </c>
      <c r="U184" s="218">
        <f t="shared" si="26"/>
        <v>3506.4676148484609</v>
      </c>
      <c r="V184" s="218">
        <f t="shared" si="26"/>
        <v>3803.1814324724282</v>
      </c>
      <c r="W184" s="218">
        <f t="shared" si="26"/>
        <v>4126.1840056576757</v>
      </c>
      <c r="X184" s="218">
        <f t="shared" si="26"/>
        <v>4445.3731669545423</v>
      </c>
      <c r="Y184" s="218">
        <f t="shared" si="26"/>
        <v>4829.0782912570112</v>
      </c>
      <c r="Z184" s="218">
        <f t="shared" si="26"/>
        <v>5313.1931257627848</v>
      </c>
      <c r="AA184" s="218">
        <f t="shared" si="26"/>
        <v>5770.3112292527057</v>
      </c>
      <c r="AB184" s="218">
        <f t="shared" si="26"/>
        <v>6269.7141178667262</v>
      </c>
      <c r="AC184" s="219">
        <f t="shared" si="26"/>
        <v>6815.61944160851</v>
      </c>
      <c r="AG184" s="130"/>
      <c r="AH184" s="130"/>
      <c r="AI184" s="130"/>
    </row>
    <row r="185" spans="3:35" hidden="1" x14ac:dyDescent="0.4">
      <c r="C185" s="220" t="s">
        <v>584</v>
      </c>
      <c r="D185" s="221">
        <v>0.01</v>
      </c>
      <c r="E185" s="218">
        <v>206.0799999999993</v>
      </c>
      <c r="F185" s="218">
        <v>672.53999999999951</v>
      </c>
      <c r="G185" s="218">
        <v>476.80999999999977</v>
      </c>
      <c r="H185" s="218">
        <v>-48</v>
      </c>
      <c r="I185" s="218">
        <v>1305.4400000000005</v>
      </c>
      <c r="J185" s="218">
        <v>116.45999999999901</v>
      </c>
      <c r="K185" s="218">
        <v>0</v>
      </c>
      <c r="L185" s="218"/>
      <c r="M185" s="218">
        <f>+$D185*M$58</f>
        <v>333.97</v>
      </c>
      <c r="N185" s="218"/>
      <c r="O185" s="218">
        <f t="shared" ref="O185:AC187" si="27">+$D185*O$58</f>
        <v>677.65456999999992</v>
      </c>
      <c r="P185" s="218">
        <f t="shared" si="27"/>
        <v>482.19</v>
      </c>
      <c r="Q185" s="218">
        <f t="shared" si="27"/>
        <v>5018.02477</v>
      </c>
      <c r="R185" s="218">
        <f t="shared" si="27"/>
        <v>685.44206896551725</v>
      </c>
      <c r="S185" s="218">
        <f t="shared" si="27"/>
        <v>924</v>
      </c>
      <c r="T185" s="218">
        <f t="shared" si="27"/>
        <v>915</v>
      </c>
      <c r="U185" s="218">
        <f t="shared" si="27"/>
        <v>1071.55</v>
      </c>
      <c r="V185" s="218">
        <f t="shared" si="27"/>
        <v>1162.2235000000001</v>
      </c>
      <c r="W185" s="218">
        <f t="shared" si="27"/>
        <v>1260.9306450000004</v>
      </c>
      <c r="X185" s="218">
        <f t="shared" si="27"/>
        <v>1358.4724401500005</v>
      </c>
      <c r="Y185" s="218">
        <f t="shared" si="27"/>
        <v>1475.7298259605004</v>
      </c>
      <c r="Z185" s="218">
        <f t="shared" si="27"/>
        <v>1623.6716602777358</v>
      </c>
      <c r="AA185" s="218">
        <f t="shared" si="27"/>
        <v>1763.3634976471774</v>
      </c>
      <c r="AB185" s="218">
        <f t="shared" si="27"/>
        <v>1915.9772457474803</v>
      </c>
      <c r="AC185" s="219">
        <f t="shared" si="27"/>
        <v>2082.801786541304</v>
      </c>
      <c r="AG185" s="130"/>
      <c r="AH185" s="130"/>
      <c r="AI185" s="130"/>
    </row>
    <row r="186" spans="3:35" hidden="1" x14ac:dyDescent="0.4">
      <c r="C186" s="220" t="s">
        <v>585</v>
      </c>
      <c r="D186" s="221">
        <v>2.1903781410449337E-3</v>
      </c>
      <c r="E186" s="218">
        <v>101.11</v>
      </c>
      <c r="F186" s="218">
        <v>0</v>
      </c>
      <c r="G186" s="218">
        <v>0</v>
      </c>
      <c r="H186" s="218">
        <v>262.71000000000004</v>
      </c>
      <c r="I186" s="218">
        <v>0</v>
      </c>
      <c r="J186" s="218">
        <v>113.48</v>
      </c>
      <c r="K186" s="218">
        <v>343.78</v>
      </c>
      <c r="L186" s="218">
        <v>600</v>
      </c>
      <c r="M186" s="218">
        <f>+$D186*M$58</f>
        <v>73.152058776477659</v>
      </c>
      <c r="N186" s="218">
        <v>350.54</v>
      </c>
      <c r="O186" s="218">
        <f t="shared" si="27"/>
        <v>148.43197573072038</v>
      </c>
      <c r="P186" s="218">
        <f t="shared" si="27"/>
        <v>105.61784358304566</v>
      </c>
      <c r="Q186" s="218">
        <f t="shared" si="27"/>
        <v>1099.1371767430032</v>
      </c>
      <c r="R186" s="218">
        <f t="shared" si="27"/>
        <v>150.1377324814683</v>
      </c>
      <c r="S186" s="218">
        <f t="shared" si="27"/>
        <v>202.39094023255188</v>
      </c>
      <c r="T186" s="218">
        <f t="shared" si="27"/>
        <v>200.41959990561145</v>
      </c>
      <c r="U186" s="218">
        <f t="shared" si="27"/>
        <v>234.70996970366988</v>
      </c>
      <c r="V186" s="218">
        <f t="shared" si="27"/>
        <v>254.57089494087367</v>
      </c>
      <c r="W186" s="218">
        <f t="shared" si="27"/>
        <v>276.191492218169</v>
      </c>
      <c r="X186" s="218">
        <f t="shared" si="27"/>
        <v>297.55683381165329</v>
      </c>
      <c r="Y186" s="218">
        <f t="shared" si="27"/>
        <v>323.24063528719245</v>
      </c>
      <c r="Z186" s="218">
        <f t="shared" si="27"/>
        <v>355.64549129064881</v>
      </c>
      <c r="AA186" s="218">
        <f t="shared" si="27"/>
        <v>386.24328599629172</v>
      </c>
      <c r="AB186" s="218">
        <f t="shared" si="27"/>
        <v>419.67146778247576</v>
      </c>
      <c r="AC186" s="219">
        <f t="shared" si="27"/>
        <v>456.21235053694085</v>
      </c>
      <c r="AG186" s="130"/>
      <c r="AH186" s="130"/>
      <c r="AI186" s="130"/>
    </row>
    <row r="187" spans="3:35" hidden="1" x14ac:dyDescent="0.4">
      <c r="C187" s="220" t="s">
        <v>586</v>
      </c>
      <c r="D187" s="221">
        <v>3.5519645530458378E-3</v>
      </c>
      <c r="E187" s="218">
        <v>457</v>
      </c>
      <c r="F187" s="218">
        <v>0</v>
      </c>
      <c r="G187" s="218">
        <v>0</v>
      </c>
      <c r="H187" s="218">
        <v>104</v>
      </c>
      <c r="I187" s="218">
        <v>0</v>
      </c>
      <c r="J187" s="218">
        <v>213</v>
      </c>
      <c r="K187" s="218">
        <v>265.67</v>
      </c>
      <c r="L187" s="218"/>
      <c r="M187" s="218">
        <f>+$D187*M$58</f>
        <v>118.62496017807185</v>
      </c>
      <c r="N187" s="218">
        <v>575.58000000000004</v>
      </c>
      <c r="O187" s="218">
        <f t="shared" si="27"/>
        <v>240.70050118495192</v>
      </c>
      <c r="P187" s="218">
        <f t="shared" si="27"/>
        <v>171.27217878331726</v>
      </c>
      <c r="Q187" s="218">
        <f t="shared" si="27"/>
        <v>1782.3846109345993</v>
      </c>
      <c r="R187" s="218">
        <f t="shared" si="27"/>
        <v>243.46659321319177</v>
      </c>
      <c r="S187" s="218">
        <f t="shared" si="27"/>
        <v>328.2015247014354</v>
      </c>
      <c r="T187" s="218">
        <f t="shared" si="27"/>
        <v>325.00475660369415</v>
      </c>
      <c r="U187" s="218">
        <f t="shared" si="27"/>
        <v>380.61076168162674</v>
      </c>
      <c r="V187" s="218">
        <f t="shared" si="27"/>
        <v>412.81766747168695</v>
      </c>
      <c r="W187" s="218">
        <f t="shared" si="27"/>
        <v>447.87809548892261</v>
      </c>
      <c r="X187" s="218">
        <f t="shared" si="27"/>
        <v>482.52459537024845</v>
      </c>
      <c r="Y187" s="218">
        <f t="shared" si="27"/>
        <v>524.17400316842009</v>
      </c>
      <c r="Z187" s="218">
        <f t="shared" si="27"/>
        <v>576.72241830916016</v>
      </c>
      <c r="AA187" s="218">
        <f t="shared" si="27"/>
        <v>626.3404637777702</v>
      </c>
      <c r="AB187" s="218">
        <f t="shared" si="27"/>
        <v>680.54832613374435</v>
      </c>
      <c r="AC187" s="219">
        <f t="shared" si="27"/>
        <v>739.80381168152553</v>
      </c>
      <c r="AG187" s="130"/>
      <c r="AH187" s="130"/>
      <c r="AI187" s="130"/>
    </row>
    <row r="188" spans="3:35" hidden="1" x14ac:dyDescent="0.4">
      <c r="C188" s="220" t="s">
        <v>587</v>
      </c>
      <c r="D188" s="221">
        <v>4.0000000000000001E-3</v>
      </c>
      <c r="E188" s="218"/>
      <c r="F188" s="218"/>
      <c r="G188" s="218"/>
      <c r="H188" s="218"/>
      <c r="I188" s="218"/>
      <c r="J188" s="218"/>
      <c r="K188" s="218">
        <v>0</v>
      </c>
      <c r="L188" s="218"/>
      <c r="M188" s="218">
        <f>+$D$188*M58</f>
        <v>133.58799999999999</v>
      </c>
      <c r="N188" s="218">
        <v>20737</v>
      </c>
      <c r="O188" s="218">
        <f>+$D$188*O58</f>
        <v>271.06182799999999</v>
      </c>
      <c r="P188" s="218">
        <f t="shared" ref="P188:AC188" si="28">+$D$188*P$58</f>
        <v>192.876</v>
      </c>
      <c r="Q188" s="218">
        <f t="shared" si="28"/>
        <v>2007.209908</v>
      </c>
      <c r="R188" s="218">
        <f t="shared" si="28"/>
        <v>274.17682758620691</v>
      </c>
      <c r="S188" s="218">
        <f t="shared" si="28"/>
        <v>369.6</v>
      </c>
      <c r="T188" s="218">
        <f t="shared" si="28"/>
        <v>366</v>
      </c>
      <c r="U188" s="218">
        <f t="shared" si="28"/>
        <v>428.62</v>
      </c>
      <c r="V188" s="218">
        <f t="shared" si="28"/>
        <v>464.88940000000002</v>
      </c>
      <c r="W188" s="218">
        <f t="shared" si="28"/>
        <v>504.37225800000016</v>
      </c>
      <c r="X188" s="218">
        <f t="shared" si="28"/>
        <v>543.38897606000012</v>
      </c>
      <c r="Y188" s="218">
        <f t="shared" si="28"/>
        <v>590.29193038420021</v>
      </c>
      <c r="Z188" s="218">
        <f t="shared" si="28"/>
        <v>649.46866411109431</v>
      </c>
      <c r="AA188" s="218">
        <f t="shared" si="28"/>
        <v>705.34539905887095</v>
      </c>
      <c r="AB188" s="218">
        <f t="shared" si="28"/>
        <v>766.39089829899206</v>
      </c>
      <c r="AC188" s="219">
        <f t="shared" si="28"/>
        <v>833.12071461652158</v>
      </c>
      <c r="AG188" s="130"/>
      <c r="AH188" s="130"/>
      <c r="AI188" s="130"/>
    </row>
    <row r="189" spans="3:35" hidden="1" x14ac:dyDescent="0.4">
      <c r="C189" s="222" t="s">
        <v>588</v>
      </c>
      <c r="D189" s="221">
        <v>0.15</v>
      </c>
      <c r="E189" s="218">
        <v>4258.9799999999996</v>
      </c>
      <c r="F189" s="218">
        <v>0</v>
      </c>
      <c r="G189" s="218">
        <v>0</v>
      </c>
      <c r="H189" s="218">
        <v>3844.66</v>
      </c>
      <c r="I189" s="218">
        <v>0</v>
      </c>
      <c r="J189" s="218">
        <v>3205.8</v>
      </c>
      <c r="K189" s="218"/>
      <c r="L189" s="218">
        <v>160</v>
      </c>
      <c r="M189" s="218">
        <f t="shared" ref="M189:AC189" si="29">$D189*(SUM(M124:M184))</f>
        <v>1643.7731991608557</v>
      </c>
      <c r="N189" s="218">
        <v>5600</v>
      </c>
      <c r="O189" s="218">
        <f t="shared" si="29"/>
        <v>3335.360722384869</v>
      </c>
      <c r="P189" s="218">
        <f t="shared" si="29"/>
        <v>2373.2999937221107</v>
      </c>
      <c r="Q189" s="218">
        <f t="shared" ref="Q189" si="30">$D189*(SUM(Q124:Q184))</f>
        <v>24698.31011663119</v>
      </c>
      <c r="R189" s="218">
        <f t="shared" si="29"/>
        <v>3373.6901594241513</v>
      </c>
      <c r="S189" s="218">
        <f t="shared" si="29"/>
        <v>4547.8529090176708</v>
      </c>
      <c r="T189" s="218">
        <f t="shared" si="29"/>
        <v>4503.5556404233403</v>
      </c>
      <c r="U189" s="218">
        <f t="shared" si="29"/>
        <v>5274.0820180280116</v>
      </c>
      <c r="V189" s="218">
        <f t="shared" si="29"/>
        <v>5720.3696162377682</v>
      </c>
      <c r="W189" s="218">
        <f t="shared" si="29"/>
        <v>6206.1981622649118</v>
      </c>
      <c r="X189" s="218">
        <f t="shared" si="29"/>
        <v>6686.2909510351865</v>
      </c>
      <c r="Y189" s="218">
        <f t="shared" si="29"/>
        <v>7263.4222748036782</v>
      </c>
      <c r="Z189" s="218">
        <f t="shared" si="29"/>
        <v>7991.5799604801396</v>
      </c>
      <c r="AA189" s="218">
        <f t="shared" si="29"/>
        <v>8679.1318316345114</v>
      </c>
      <c r="AB189" s="218">
        <f t="shared" si="29"/>
        <v>9430.284297277427</v>
      </c>
      <c r="AC189" s="219">
        <f t="shared" si="29"/>
        <v>10251.381129685136</v>
      </c>
      <c r="AG189" s="130"/>
      <c r="AH189" s="130"/>
      <c r="AI189" s="130"/>
    </row>
    <row r="190" spans="3:35" hidden="1" x14ac:dyDescent="0.4">
      <c r="C190" s="220" t="s">
        <v>589</v>
      </c>
      <c r="D190" s="221">
        <v>2.3479118272836741E-3</v>
      </c>
      <c r="E190" s="218">
        <v>70</v>
      </c>
      <c r="F190" s="218">
        <v>0</v>
      </c>
      <c r="G190" s="218">
        <v>0</v>
      </c>
      <c r="H190" s="218">
        <v>70</v>
      </c>
      <c r="I190" s="218">
        <v>0</v>
      </c>
      <c r="J190" s="218">
        <v>75</v>
      </c>
      <c r="K190" s="218"/>
      <c r="L190" s="218"/>
      <c r="M190" s="218"/>
      <c r="N190" s="218"/>
      <c r="O190" s="218"/>
      <c r="P190" s="218">
        <v>80</v>
      </c>
      <c r="Q190" s="218">
        <v>80</v>
      </c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9"/>
      <c r="AG190" s="130"/>
      <c r="AH190" s="130"/>
      <c r="AI190" s="130"/>
    </row>
    <row r="191" spans="3:35" hidden="1" x14ac:dyDescent="0.4">
      <c r="C191" s="220" t="s">
        <v>590</v>
      </c>
      <c r="D191" s="221">
        <v>2.8274318660558892E-2</v>
      </c>
      <c r="E191" s="218">
        <v>665.42</v>
      </c>
      <c r="F191" s="218">
        <v>0</v>
      </c>
      <c r="G191" s="218">
        <v>0</v>
      </c>
      <c r="H191" s="218">
        <v>967.48</v>
      </c>
      <c r="I191" s="218">
        <v>0</v>
      </c>
      <c r="J191" s="218">
        <v>956.2</v>
      </c>
      <c r="K191" s="218"/>
      <c r="L191" s="218"/>
      <c r="M191" s="218"/>
      <c r="N191" s="218"/>
      <c r="O191" s="218"/>
      <c r="P191" s="218">
        <v>986</v>
      </c>
      <c r="Q191" s="218">
        <v>986</v>
      </c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9"/>
      <c r="AG191" s="130"/>
      <c r="AH191" s="130"/>
      <c r="AI191" s="130"/>
    </row>
    <row r="192" spans="3:35" hidden="1" x14ac:dyDescent="0.4">
      <c r="C192" s="220" t="s">
        <v>591</v>
      </c>
      <c r="D192" s="221">
        <v>9.0634754422035269E-3</v>
      </c>
      <c r="E192" s="218">
        <v>0</v>
      </c>
      <c r="F192" s="218">
        <v>250</v>
      </c>
      <c r="G192" s="218">
        <v>0</v>
      </c>
      <c r="H192" s="218">
        <v>250.00000000000045</v>
      </c>
      <c r="I192" s="218">
        <v>0</v>
      </c>
      <c r="J192" s="218">
        <v>1474.9999999999998</v>
      </c>
      <c r="K192" s="218">
        <v>0</v>
      </c>
      <c r="L192" s="218"/>
      <c r="M192" s="218">
        <f>+$D192*M$58</f>
        <v>302.69288934327119</v>
      </c>
      <c r="N192" s="218"/>
      <c r="O192" s="218">
        <f t="shared" ref="O192:AC192" si="31">+$D192*O$58</f>
        <v>614.19055534919903</v>
      </c>
      <c r="P192" s="218">
        <f t="shared" si="31"/>
        <v>437.03172234761189</v>
      </c>
      <c r="Q192" s="218">
        <f t="shared" si="31"/>
        <v>4548.0744271264002</v>
      </c>
      <c r="R192" s="218">
        <f t="shared" si="31"/>
        <v>621.24873591221422</v>
      </c>
      <c r="S192" s="218">
        <f t="shared" si="31"/>
        <v>837.46513085960589</v>
      </c>
      <c r="T192" s="218">
        <f t="shared" si="31"/>
        <v>829.30800296162272</v>
      </c>
      <c r="U192" s="218">
        <f t="shared" si="31"/>
        <v>971.19671100931896</v>
      </c>
      <c r="V192" s="218">
        <f t="shared" si="31"/>
        <v>1053.3784150601832</v>
      </c>
      <c r="W192" s="218">
        <f t="shared" si="31"/>
        <v>1142.8413935279357</v>
      </c>
      <c r="X192" s="218">
        <f t="shared" si="31"/>
        <v>1231.2481600209828</v>
      </c>
      <c r="Y192" s="218">
        <f t="shared" si="31"/>
        <v>1337.5241036920281</v>
      </c>
      <c r="Z192" s="218">
        <f t="shared" si="31"/>
        <v>1471.6108219129087</v>
      </c>
      <c r="AA192" s="218">
        <f t="shared" si="31"/>
        <v>1598.2201756603308</v>
      </c>
      <c r="AB192" s="218">
        <f t="shared" si="31"/>
        <v>1736.5412714653039</v>
      </c>
      <c r="AC192" s="219">
        <f t="shared" si="31"/>
        <v>1887.7422843294742</v>
      </c>
      <c r="AG192" s="130"/>
      <c r="AH192" s="130"/>
      <c r="AI192" s="130"/>
    </row>
    <row r="193" spans="2:35" x14ac:dyDescent="0.4">
      <c r="B193" s="201"/>
      <c r="C193" s="223" t="s">
        <v>592</v>
      </c>
      <c r="D193" s="224"/>
      <c r="E193" s="218">
        <f t="shared" ref="E193:N193" si="32">+E58-E123</f>
        <v>16643.700000000012</v>
      </c>
      <c r="F193" s="218">
        <f t="shared" si="32"/>
        <v>20549.399999999994</v>
      </c>
      <c r="G193" s="218">
        <f t="shared" si="32"/>
        <v>21395.18</v>
      </c>
      <c r="H193" s="218">
        <f t="shared" si="32"/>
        <v>22907.669999999995</v>
      </c>
      <c r="I193" s="218">
        <f t="shared" si="32"/>
        <v>27994.429999999978</v>
      </c>
      <c r="J193" s="218">
        <f t="shared" si="32"/>
        <v>16846.46999999999</v>
      </c>
      <c r="K193" s="218">
        <f t="shared" si="32"/>
        <v>31924.118380224318</v>
      </c>
      <c r="L193" s="218">
        <f t="shared" si="32"/>
        <v>22352.97421080992</v>
      </c>
      <c r="M193" s="218">
        <f t="shared" si="32"/>
        <v>28488</v>
      </c>
      <c r="N193" s="218">
        <f t="shared" si="32"/>
        <v>25540.880000000001</v>
      </c>
      <c r="O193" s="218">
        <f t="shared" ref="O193:AC193" si="33">+O17-O123</f>
        <v>44154.456999999995</v>
      </c>
      <c r="P193" s="218">
        <f t="shared" si="33"/>
        <v>31903.03</v>
      </c>
      <c r="Q193" s="218">
        <f t="shared" si="33"/>
        <v>310700.30959103419</v>
      </c>
      <c r="R193" s="218">
        <f t="shared" si="33"/>
        <v>33186.328758620686</v>
      </c>
      <c r="S193" s="218">
        <f t="shared" si="33"/>
        <v>34624.339999999997</v>
      </c>
      <c r="T193" s="218">
        <f t="shared" si="33"/>
        <v>37185.699999999997</v>
      </c>
      <c r="U193" s="218">
        <f t="shared" si="33"/>
        <v>40743.39</v>
      </c>
      <c r="V193" s="218">
        <f t="shared" si="33"/>
        <v>43652.838999999993</v>
      </c>
      <c r="W193" s="218">
        <f t="shared" si="33"/>
        <v>46780.21060000002</v>
      </c>
      <c r="X193" s="218">
        <f t="shared" si="33"/>
        <v>49437.155499</v>
      </c>
      <c r="Y193" s="218">
        <f t="shared" si="33"/>
        <v>53067.479556630002</v>
      </c>
      <c r="Z193" s="218">
        <f t="shared" si="33"/>
        <v>58407.358615564124</v>
      </c>
      <c r="AA193" s="218">
        <f t="shared" si="33"/>
        <v>62645.574757620605</v>
      </c>
      <c r="AB193" s="218">
        <f t="shared" si="33"/>
        <v>67233.776133517778</v>
      </c>
      <c r="AC193" s="219">
        <f t="shared" si="33"/>
        <v>72206.762720014085</v>
      </c>
      <c r="AD193" s="225"/>
      <c r="AG193" s="130"/>
      <c r="AH193" s="130"/>
      <c r="AI193" s="130"/>
    </row>
    <row r="194" spans="2:35" s="172" customFormat="1" x14ac:dyDescent="0.4">
      <c r="B194" s="226"/>
      <c r="C194" s="227" t="s">
        <v>593</v>
      </c>
      <c r="D194" s="228"/>
      <c r="E194" s="229">
        <f t="shared" ref="E194:AC194" si="34">+E193/E17</f>
        <v>0.50209436008513231</v>
      </c>
      <c r="F194" s="229">
        <f t="shared" si="34"/>
        <v>0.6790440234946179</v>
      </c>
      <c r="G194" s="229">
        <f t="shared" si="34"/>
        <v>0.72140096608584192</v>
      </c>
      <c r="H194" s="229">
        <f t="shared" si="34"/>
        <v>0.57118140357360037</v>
      </c>
      <c r="I194" s="229">
        <f t="shared" si="34"/>
        <v>0.66550283513070652</v>
      </c>
      <c r="J194" s="229">
        <f t="shared" si="34"/>
        <v>0.39482578440901162</v>
      </c>
      <c r="K194" s="229">
        <f t="shared" si="34"/>
        <v>0.63574307783072914</v>
      </c>
      <c r="L194" s="229">
        <f t="shared" si="34"/>
        <v>0.70975342004222775</v>
      </c>
      <c r="M194" s="229">
        <f t="shared" si="34"/>
        <v>0.85301074946851518</v>
      </c>
      <c r="N194" s="229">
        <f t="shared" si="34"/>
        <v>0.48369214453450499</v>
      </c>
      <c r="O194" s="229">
        <f t="shared" si="34"/>
        <v>0.65157764670575447</v>
      </c>
      <c r="P194" s="229">
        <f t="shared" si="34"/>
        <v>0.66162778157987512</v>
      </c>
      <c r="Q194" s="229">
        <f t="shared" si="34"/>
        <v>0.61916854505888419</v>
      </c>
      <c r="R194" s="229">
        <f t="shared" si="34"/>
        <v>0.48415949736942981</v>
      </c>
      <c r="S194" s="229">
        <f t="shared" si="34"/>
        <v>0.37472229437229432</v>
      </c>
      <c r="T194" s="229">
        <f t="shared" si="34"/>
        <v>0.40640109289617482</v>
      </c>
      <c r="U194" s="229">
        <f t="shared" si="34"/>
        <v>0.38022854743129114</v>
      </c>
      <c r="V194" s="229">
        <f t="shared" si="34"/>
        <v>0.37559762816704351</v>
      </c>
      <c r="W194" s="229">
        <f t="shared" si="34"/>
        <v>0.37099749130135551</v>
      </c>
      <c r="X194" s="229">
        <f t="shared" si="34"/>
        <v>0.36391725027223393</v>
      </c>
      <c r="Y194" s="229">
        <f t="shared" si="34"/>
        <v>0.359601592534665</v>
      </c>
      <c r="Z194" s="229">
        <f t="shared" si="34"/>
        <v>0.35972395185842748</v>
      </c>
      <c r="AA194" s="229">
        <f t="shared" si="34"/>
        <v>0.35526183252181082</v>
      </c>
      <c r="AB194" s="229">
        <f t="shared" si="34"/>
        <v>0.350911140947751</v>
      </c>
      <c r="AC194" s="230">
        <f t="shared" si="34"/>
        <v>0.34668091407738072</v>
      </c>
      <c r="AD194" s="231"/>
      <c r="AG194" s="232"/>
      <c r="AH194" s="232"/>
      <c r="AI194" s="232"/>
    </row>
    <row r="195" spans="2:35" x14ac:dyDescent="0.4">
      <c r="C195" s="223" t="s">
        <v>594</v>
      </c>
      <c r="D195" s="233"/>
      <c r="E195" s="218">
        <f>SUM(E196:E235)</f>
        <v>18418.689999999999</v>
      </c>
      <c r="F195" s="218">
        <f t="shared" ref="F195:P195" si="35">SUM(F196:F235)</f>
        <v>19694.050000000003</v>
      </c>
      <c r="G195" s="218">
        <f t="shared" si="35"/>
        <v>27005.530000000006</v>
      </c>
      <c r="H195" s="218">
        <f t="shared" si="35"/>
        <v>26247.63</v>
      </c>
      <c r="I195" s="218">
        <f t="shared" si="35"/>
        <v>38297.339999999997</v>
      </c>
      <c r="J195" s="218">
        <f t="shared" si="35"/>
        <v>23903.18</v>
      </c>
      <c r="K195" s="218">
        <f t="shared" si="35"/>
        <v>30372.35</v>
      </c>
      <c r="L195" s="218">
        <f>SUM(L196:L235)</f>
        <v>43893.05</v>
      </c>
      <c r="M195" s="218">
        <f>SUM(M196:M235)</f>
        <v>35947.78</v>
      </c>
      <c r="N195" s="218">
        <f t="shared" si="35"/>
        <v>35500.549999999996</v>
      </c>
      <c r="O195" s="218">
        <f t="shared" si="35"/>
        <v>38026.29</v>
      </c>
      <c r="P195" s="218">
        <f t="shared" si="35"/>
        <v>44565.56</v>
      </c>
      <c r="Q195" s="218">
        <f>+SUM(E195:P195)</f>
        <v>381871.99999999994</v>
      </c>
      <c r="R195" s="218">
        <f>SUM(R196:R235)</f>
        <v>36255.809831337145</v>
      </c>
      <c r="S195" s="218">
        <f t="shared" ref="S195:AC195" si="36">SUM(S196:S235)</f>
        <v>42451.2580223408</v>
      </c>
      <c r="T195" s="218">
        <f t="shared" si="36"/>
        <v>44853.88984077971</v>
      </c>
      <c r="U195" s="218">
        <f t="shared" si="36"/>
        <v>45690.472361865024</v>
      </c>
      <c r="V195" s="218">
        <f t="shared" si="36"/>
        <v>47818.136835519639</v>
      </c>
      <c r="W195" s="218">
        <f t="shared" si="36"/>
        <v>48220.14102068881</v>
      </c>
      <c r="X195" s="218">
        <f t="shared" si="36"/>
        <v>52316.027474795483</v>
      </c>
      <c r="Y195" s="218">
        <f t="shared" si="36"/>
        <v>52703.980953266531</v>
      </c>
      <c r="Z195" s="218">
        <f t="shared" si="36"/>
        <v>56062.461765953107</v>
      </c>
      <c r="AA195" s="218">
        <f t="shared" si="36"/>
        <v>60826.849507241262</v>
      </c>
      <c r="AB195" s="218">
        <f t="shared" si="36"/>
        <v>63704.112429565212</v>
      </c>
      <c r="AC195" s="219">
        <f t="shared" si="36"/>
        <v>61016.004672820723</v>
      </c>
      <c r="AF195" s="109"/>
      <c r="AG195" s="130"/>
      <c r="AH195" s="130"/>
      <c r="AI195" s="130"/>
    </row>
    <row r="196" spans="2:35" outlineLevel="1" x14ac:dyDescent="0.4">
      <c r="C196" s="216" t="s">
        <v>595</v>
      </c>
      <c r="D196" s="221">
        <v>6.0000000000000001E-3</v>
      </c>
      <c r="E196" s="218">
        <v>0</v>
      </c>
      <c r="F196" s="218">
        <v>0</v>
      </c>
      <c r="G196" s="218">
        <v>0</v>
      </c>
      <c r="H196" s="218">
        <v>70.709999999999994</v>
      </c>
      <c r="I196" s="218">
        <v>429.43</v>
      </c>
      <c r="J196" s="218">
        <v>26.74</v>
      </c>
      <c r="K196" s="218">
        <v>0</v>
      </c>
      <c r="L196" s="218">
        <v>1560</v>
      </c>
      <c r="M196" s="218"/>
      <c r="N196" s="218"/>
      <c r="O196" s="218"/>
      <c r="P196" s="218"/>
      <c r="Q196" s="218">
        <f>+SUM(E196:P196)</f>
        <v>2086.88</v>
      </c>
      <c r="R196" s="218">
        <v>200</v>
      </c>
      <c r="S196" s="218">
        <v>200</v>
      </c>
      <c r="T196" s="218">
        <v>200</v>
      </c>
      <c r="U196" s="218">
        <v>200</v>
      </c>
      <c r="V196" s="218">
        <v>200</v>
      </c>
      <c r="W196" s="218">
        <v>200</v>
      </c>
      <c r="X196" s="218">
        <v>200</v>
      </c>
      <c r="Y196" s="218">
        <v>200</v>
      </c>
      <c r="Z196" s="218">
        <v>200</v>
      </c>
      <c r="AA196" s="218">
        <v>200</v>
      </c>
      <c r="AB196" s="218">
        <v>200</v>
      </c>
      <c r="AC196" s="219">
        <v>200</v>
      </c>
      <c r="AG196" s="130"/>
      <c r="AH196" s="130"/>
      <c r="AI196" s="130"/>
    </row>
    <row r="197" spans="2:35" outlineLevel="1" x14ac:dyDescent="0.4">
      <c r="C197" s="216" t="s">
        <v>596</v>
      </c>
      <c r="D197" s="221">
        <v>2E-3</v>
      </c>
      <c r="E197" s="218">
        <v>22.96</v>
      </c>
      <c r="F197" s="218">
        <v>13.82</v>
      </c>
      <c r="G197" s="218">
        <v>3.66</v>
      </c>
      <c r="H197" s="218">
        <v>187.26</v>
      </c>
      <c r="I197" s="218">
        <v>69.86</v>
      </c>
      <c r="J197" s="218">
        <v>0</v>
      </c>
      <c r="K197" s="218">
        <v>100.96</v>
      </c>
      <c r="L197" s="218">
        <v>175</v>
      </c>
      <c r="M197" s="218"/>
      <c r="N197" s="218">
        <v>38.51</v>
      </c>
      <c r="O197" s="218"/>
      <c r="P197" s="218">
        <v>69.52</v>
      </c>
      <c r="Q197" s="218">
        <f t="shared" ref="Q197:Q235" si="37">+SUM(E197:P197)</f>
        <v>681.55</v>
      </c>
      <c r="R197" s="218">
        <f>+$D197*R$58</f>
        <v>137.08841379310346</v>
      </c>
      <c r="S197" s="218">
        <v>153</v>
      </c>
      <c r="T197" s="218">
        <v>153</v>
      </c>
      <c r="U197" s="218">
        <v>153</v>
      </c>
      <c r="V197" s="218">
        <v>153</v>
      </c>
      <c r="W197" s="218">
        <v>153</v>
      </c>
      <c r="X197" s="218">
        <v>153</v>
      </c>
      <c r="Y197" s="218">
        <v>153</v>
      </c>
      <c r="Z197" s="218">
        <v>153</v>
      </c>
      <c r="AA197" s="218">
        <v>153</v>
      </c>
      <c r="AB197" s="218">
        <v>153</v>
      </c>
      <c r="AC197" s="219">
        <v>153</v>
      </c>
      <c r="AG197" s="130"/>
      <c r="AH197" s="130"/>
      <c r="AI197" s="130"/>
    </row>
    <row r="198" spans="2:35" outlineLevel="1" x14ac:dyDescent="0.4">
      <c r="C198" s="216" t="s">
        <v>597</v>
      </c>
      <c r="D198" s="221">
        <v>0.1</v>
      </c>
      <c r="E198" s="218">
        <v>0</v>
      </c>
      <c r="F198" s="218">
        <v>197.92999999999998</v>
      </c>
      <c r="G198" s="218">
        <v>0</v>
      </c>
      <c r="H198" s="218">
        <v>350</v>
      </c>
      <c r="I198" s="218">
        <v>1610.24</v>
      </c>
      <c r="J198" s="218">
        <v>0</v>
      </c>
      <c r="K198" s="218">
        <v>643.48</v>
      </c>
      <c r="L198" s="218">
        <v>648</v>
      </c>
      <c r="M198" s="218">
        <f>4651-3000-M200</f>
        <v>1049.49</v>
      </c>
      <c r="N198" s="218">
        <f>430.03-N200</f>
        <v>85.239999999999952</v>
      </c>
      <c r="O198" s="218">
        <f>980.17-O200</f>
        <v>101.16999999999996</v>
      </c>
      <c r="P198" s="218">
        <f>4210.24-P225-P200</f>
        <v>86.909999999999854</v>
      </c>
      <c r="Q198" s="218">
        <f t="shared" si="37"/>
        <v>4772.46</v>
      </c>
      <c r="R198" s="218">
        <f>+$D198*(R$17-R13)-R225</f>
        <v>1502.6965517241397</v>
      </c>
      <c r="S198" s="218">
        <f t="shared" ref="S198:AC198" si="38">+$D198*(S$17-S13)-S225</f>
        <v>3940</v>
      </c>
      <c r="T198" s="218">
        <f t="shared" si="38"/>
        <v>3750</v>
      </c>
      <c r="U198" s="218">
        <f t="shared" si="38"/>
        <v>5115.5</v>
      </c>
      <c r="V198" s="218">
        <f t="shared" si="38"/>
        <v>5922.2350000000006</v>
      </c>
      <c r="W198" s="218">
        <f t="shared" si="38"/>
        <v>6809.3064500000037</v>
      </c>
      <c r="X198" s="218">
        <f t="shared" si="38"/>
        <v>7784.7244015000033</v>
      </c>
      <c r="Y198" s="218">
        <f t="shared" si="38"/>
        <v>11857.298259605006</v>
      </c>
      <c r="Z198" s="218">
        <f t="shared" si="38"/>
        <v>13036.716602777358</v>
      </c>
      <c r="AA198" s="218">
        <f t="shared" si="38"/>
        <v>14333.634976471774</v>
      </c>
      <c r="AB198" s="218">
        <f t="shared" si="38"/>
        <v>15759.772457474803</v>
      </c>
      <c r="AC198" s="218">
        <f t="shared" si="38"/>
        <v>17328.01786541304</v>
      </c>
      <c r="AD198" s="111"/>
      <c r="AE198" s="111"/>
      <c r="AF198" s="111"/>
      <c r="AG198" s="130"/>
      <c r="AH198" s="130"/>
      <c r="AI198" s="130"/>
    </row>
    <row r="199" spans="2:35" outlineLevel="1" x14ac:dyDescent="0.4">
      <c r="C199" s="216" t="s">
        <v>598</v>
      </c>
      <c r="D199" s="221">
        <v>4.0000000000000001E-3</v>
      </c>
      <c r="E199" s="218">
        <v>0</v>
      </c>
      <c r="F199" s="218">
        <v>0</v>
      </c>
      <c r="G199" s="218">
        <v>925.86</v>
      </c>
      <c r="H199" s="218">
        <v>107</v>
      </c>
      <c r="I199" s="218">
        <v>1498.5</v>
      </c>
      <c r="J199" s="218">
        <v>0</v>
      </c>
      <c r="K199" s="218">
        <v>158.49</v>
      </c>
      <c r="L199" s="218">
        <v>609</v>
      </c>
      <c r="M199" s="218">
        <v>1785</v>
      </c>
      <c r="N199" s="218">
        <v>90</v>
      </c>
      <c r="O199" s="218">
        <v>128.4</v>
      </c>
      <c r="P199" s="218"/>
      <c r="Q199" s="218">
        <f t="shared" si="37"/>
        <v>5302.25</v>
      </c>
      <c r="R199" s="218">
        <f>+$D199*R$58</f>
        <v>274.17682758620691</v>
      </c>
      <c r="S199" s="218">
        <f>+$D199*S$58</f>
        <v>369.6</v>
      </c>
      <c r="T199" s="218">
        <f>+$D199*T$58</f>
        <v>366</v>
      </c>
      <c r="U199" s="218">
        <v>366</v>
      </c>
      <c r="V199" s="218">
        <v>366</v>
      </c>
      <c r="W199" s="218">
        <v>366</v>
      </c>
      <c r="X199" s="218">
        <v>366</v>
      </c>
      <c r="Y199" s="218">
        <v>366</v>
      </c>
      <c r="Z199" s="218">
        <v>366</v>
      </c>
      <c r="AA199" s="218">
        <v>366</v>
      </c>
      <c r="AB199" s="218">
        <v>366</v>
      </c>
      <c r="AC199" s="219">
        <v>366</v>
      </c>
      <c r="AG199" s="130"/>
      <c r="AH199" s="130"/>
      <c r="AI199" s="130"/>
    </row>
    <row r="200" spans="2:35" outlineLevel="1" x14ac:dyDescent="0.4">
      <c r="C200" s="220" t="s">
        <v>599</v>
      </c>
      <c r="D200" s="221">
        <v>0.03</v>
      </c>
      <c r="E200" s="218">
        <v>322.52999999999997</v>
      </c>
      <c r="F200" s="218">
        <v>393.29</v>
      </c>
      <c r="G200" s="218">
        <v>572.38</v>
      </c>
      <c r="H200" s="218">
        <v>239.73</v>
      </c>
      <c r="I200" s="218">
        <v>869.91000000000008</v>
      </c>
      <c r="J200" s="218">
        <v>296.10000000000002</v>
      </c>
      <c r="K200" s="218"/>
      <c r="L200" s="218"/>
      <c r="M200" s="218">
        <v>601.51</v>
      </c>
      <c r="N200" s="218">
        <v>344.79</v>
      </c>
      <c r="O200" s="218">
        <v>879</v>
      </c>
      <c r="P200" s="218">
        <v>1123.33</v>
      </c>
      <c r="Q200" s="218">
        <f t="shared" si="37"/>
        <v>5642.57</v>
      </c>
      <c r="R200" s="218">
        <f>+R13*$D$200</f>
        <v>705.51724137931001</v>
      </c>
      <c r="S200" s="218">
        <f t="shared" ref="S200:AC200" si="39">+S13*$D$200</f>
        <v>690</v>
      </c>
      <c r="T200" s="218">
        <f t="shared" si="39"/>
        <v>720</v>
      </c>
      <c r="U200" s="218">
        <f t="shared" si="39"/>
        <v>780</v>
      </c>
      <c r="V200" s="218">
        <f t="shared" si="39"/>
        <v>810</v>
      </c>
      <c r="W200" s="218">
        <f t="shared" si="39"/>
        <v>840</v>
      </c>
      <c r="X200" s="218">
        <f t="shared" si="39"/>
        <v>840</v>
      </c>
      <c r="Y200" s="218">
        <f t="shared" si="39"/>
        <v>870</v>
      </c>
      <c r="Z200" s="218">
        <f t="shared" si="39"/>
        <v>960</v>
      </c>
      <c r="AA200" s="218">
        <f t="shared" si="39"/>
        <v>990</v>
      </c>
      <c r="AB200" s="218">
        <f t="shared" si="39"/>
        <v>1020</v>
      </c>
      <c r="AC200" s="218">
        <f t="shared" si="39"/>
        <v>1050</v>
      </c>
      <c r="AG200" s="130"/>
      <c r="AH200" s="130"/>
      <c r="AI200" s="130"/>
    </row>
    <row r="201" spans="2:35" outlineLevel="1" x14ac:dyDescent="0.4">
      <c r="C201" s="220" t="s">
        <v>600</v>
      </c>
      <c r="D201" s="221">
        <v>5.0000000000000001E-3</v>
      </c>
      <c r="E201" s="218">
        <v>0</v>
      </c>
      <c r="F201" s="218">
        <v>0</v>
      </c>
      <c r="G201" s="218">
        <v>0</v>
      </c>
      <c r="H201" s="218">
        <v>258.23</v>
      </c>
      <c r="I201" s="218">
        <v>176.29</v>
      </c>
      <c r="J201" s="218">
        <v>210.24999999999997</v>
      </c>
      <c r="K201" s="218">
        <v>0</v>
      </c>
      <c r="L201" s="218">
        <v>132</v>
      </c>
      <c r="M201" s="218">
        <v>12.61</v>
      </c>
      <c r="N201" s="218"/>
      <c r="O201" s="218"/>
      <c r="P201" s="218">
        <v>43.26</v>
      </c>
      <c r="Q201" s="218">
        <f t="shared" si="37"/>
        <v>832.64</v>
      </c>
      <c r="R201" s="218"/>
      <c r="S201" s="218"/>
      <c r="T201" s="218"/>
      <c r="U201" s="218"/>
      <c r="V201" s="218"/>
      <c r="W201" s="218"/>
      <c r="X201" s="218"/>
      <c r="Y201" s="218"/>
      <c r="Z201" s="218"/>
      <c r="AA201" s="218"/>
      <c r="AB201" s="218"/>
      <c r="AC201" s="219"/>
      <c r="AG201" s="130"/>
      <c r="AH201" s="130"/>
      <c r="AI201" s="130"/>
    </row>
    <row r="202" spans="2:35" outlineLevel="1" x14ac:dyDescent="0.4">
      <c r="C202" s="220" t="s">
        <v>601</v>
      </c>
      <c r="D202" s="221">
        <v>1.193189332835508E-2</v>
      </c>
      <c r="E202" s="218">
        <v>565.65</v>
      </c>
      <c r="F202" s="218">
        <v>543.62</v>
      </c>
      <c r="G202" s="218">
        <v>471.6</v>
      </c>
      <c r="H202" s="218">
        <v>473.7299999999999</v>
      </c>
      <c r="I202" s="218">
        <v>450.38</v>
      </c>
      <c r="J202" s="218">
        <v>95.070000000000007</v>
      </c>
      <c r="K202" s="218">
        <v>445.65</v>
      </c>
      <c r="L202" s="218">
        <v>401</v>
      </c>
      <c r="M202" s="218">
        <v>500.92</v>
      </c>
      <c r="N202" s="218">
        <v>135.4</v>
      </c>
      <c r="O202" s="218">
        <v>235.17</v>
      </c>
      <c r="P202" s="218">
        <v>121.87</v>
      </c>
      <c r="Q202" s="218">
        <f t="shared" si="37"/>
        <v>4440.0600000000004</v>
      </c>
      <c r="R202" s="218">
        <v>200</v>
      </c>
      <c r="S202" s="218">
        <v>200</v>
      </c>
      <c r="T202" s="218">
        <v>200</v>
      </c>
      <c r="U202" s="218">
        <v>200</v>
      </c>
      <c r="V202" s="218">
        <v>200</v>
      </c>
      <c r="W202" s="218">
        <v>200</v>
      </c>
      <c r="X202" s="218">
        <v>200</v>
      </c>
      <c r="Y202" s="218">
        <v>200</v>
      </c>
      <c r="Z202" s="218">
        <v>200</v>
      </c>
      <c r="AA202" s="218">
        <v>200</v>
      </c>
      <c r="AB202" s="218">
        <v>200</v>
      </c>
      <c r="AC202" s="219">
        <v>200</v>
      </c>
      <c r="AG202" s="130"/>
      <c r="AH202" s="130"/>
      <c r="AI202" s="130"/>
    </row>
    <row r="203" spans="2:35" outlineLevel="1" x14ac:dyDescent="0.4">
      <c r="C203" s="220" t="s">
        <v>602</v>
      </c>
      <c r="D203" s="221">
        <v>8.6761552764708799E-4</v>
      </c>
      <c r="E203" s="218">
        <v>0</v>
      </c>
      <c r="F203" s="218">
        <v>66.61</v>
      </c>
      <c r="G203" s="218">
        <v>103.2</v>
      </c>
      <c r="H203" s="218">
        <v>19.25</v>
      </c>
      <c r="I203" s="218">
        <v>0</v>
      </c>
      <c r="J203" s="218">
        <v>0</v>
      </c>
      <c r="K203" s="218">
        <v>32.69</v>
      </c>
      <c r="L203" s="218">
        <v>199.54</v>
      </c>
      <c r="M203" s="218"/>
      <c r="N203" s="218">
        <v>1041.74</v>
      </c>
      <c r="O203" s="218">
        <f>451.92+29.99</f>
        <v>481.91</v>
      </c>
      <c r="P203" s="218">
        <v>195.27</v>
      </c>
      <c r="Q203" s="218">
        <f t="shared" si="37"/>
        <v>2140.21</v>
      </c>
      <c r="R203" s="218">
        <f t="shared" ref="R203:AC203" si="40">+$D203*R$58</f>
        <v>59.470018233702895</v>
      </c>
      <c r="S203" s="218">
        <f t="shared" si="40"/>
        <v>80.167674754590934</v>
      </c>
      <c r="T203" s="218">
        <f t="shared" si="40"/>
        <v>79.386820779708557</v>
      </c>
      <c r="U203" s="218">
        <f t="shared" si="40"/>
        <v>92.969341865023708</v>
      </c>
      <c r="V203" s="218">
        <f t="shared" si="40"/>
        <v>100.83631551963454</v>
      </c>
      <c r="W203" s="218">
        <f t="shared" si="40"/>
        <v>109.40030068880583</v>
      </c>
      <c r="X203" s="218">
        <f t="shared" si="40"/>
        <v>117.86317829547697</v>
      </c>
      <c r="Y203" s="218">
        <f t="shared" si="40"/>
        <v>128.03661116152648</v>
      </c>
      <c r="Z203" s="218">
        <f t="shared" si="40"/>
        <v>140.87227442574911</v>
      </c>
      <c r="AA203" s="218">
        <f t="shared" si="40"/>
        <v>152.99215514447704</v>
      </c>
      <c r="AB203" s="218">
        <f t="shared" si="40"/>
        <v>166.23316090290143</v>
      </c>
      <c r="AC203" s="219">
        <f t="shared" si="40"/>
        <v>180.70711710143311</v>
      </c>
      <c r="AG203" s="130"/>
      <c r="AH203" s="130"/>
      <c r="AI203" s="130"/>
    </row>
    <row r="204" spans="2:35" outlineLevel="1" x14ac:dyDescent="0.4">
      <c r="C204" s="220" t="s">
        <v>603</v>
      </c>
      <c r="D204" s="221">
        <v>1.6520765363003897E-3</v>
      </c>
      <c r="E204" s="218">
        <v>40</v>
      </c>
      <c r="F204" s="218">
        <v>80</v>
      </c>
      <c r="G204" s="218">
        <v>40</v>
      </c>
      <c r="H204" s="218">
        <v>80</v>
      </c>
      <c r="I204" s="218">
        <v>60</v>
      </c>
      <c r="J204" s="218">
        <v>60</v>
      </c>
      <c r="K204" s="218">
        <v>20</v>
      </c>
      <c r="L204" s="218">
        <v>275.04000000000002</v>
      </c>
      <c r="M204" s="218">
        <v>40</v>
      </c>
      <c r="N204" s="218">
        <f>20+57.05</f>
        <v>77.05</v>
      </c>
      <c r="O204" s="218">
        <f>20+85</f>
        <v>105</v>
      </c>
      <c r="P204" s="218"/>
      <c r="Q204" s="218">
        <f t="shared" si="37"/>
        <v>877.08999999999992</v>
      </c>
      <c r="R204" s="218">
        <v>80</v>
      </c>
      <c r="S204" s="218">
        <v>80</v>
      </c>
      <c r="T204" s="218">
        <v>80</v>
      </c>
      <c r="U204" s="218">
        <v>100</v>
      </c>
      <c r="V204" s="218">
        <v>100</v>
      </c>
      <c r="W204" s="218">
        <v>100</v>
      </c>
      <c r="X204" s="218">
        <v>100</v>
      </c>
      <c r="Y204" s="218">
        <v>100</v>
      </c>
      <c r="Z204" s="218">
        <v>100</v>
      </c>
      <c r="AA204" s="218">
        <v>100</v>
      </c>
      <c r="AB204" s="218">
        <v>100</v>
      </c>
      <c r="AC204" s="219">
        <v>100</v>
      </c>
      <c r="AG204" s="130"/>
      <c r="AH204" s="130"/>
      <c r="AI204" s="130"/>
    </row>
    <row r="205" spans="2:35" outlineLevel="1" x14ac:dyDescent="0.4">
      <c r="C205" s="220" t="s">
        <v>604</v>
      </c>
      <c r="D205" s="221" t="s">
        <v>605</v>
      </c>
      <c r="E205" s="218">
        <v>16.380000000000003</v>
      </c>
      <c r="F205" s="218">
        <v>30.46</v>
      </c>
      <c r="G205" s="218">
        <v>9.480000000000004</v>
      </c>
      <c r="H205" s="218">
        <v>9</v>
      </c>
      <c r="I205" s="218">
        <v>51.930000000000007</v>
      </c>
      <c r="J205" s="218">
        <v>15.339999999999998</v>
      </c>
      <c r="K205" s="218">
        <v>13.59</v>
      </c>
      <c r="L205" s="218"/>
      <c r="M205" s="218"/>
      <c r="N205" s="218"/>
      <c r="O205" s="218">
        <v>32.5</v>
      </c>
      <c r="P205" s="218">
        <v>47.7</v>
      </c>
      <c r="Q205" s="218">
        <f t="shared" si="37"/>
        <v>226.38</v>
      </c>
      <c r="R205" s="218">
        <v>20</v>
      </c>
      <c r="S205" s="218">
        <v>20</v>
      </c>
      <c r="T205" s="218">
        <v>20</v>
      </c>
      <c r="U205" s="218">
        <v>50</v>
      </c>
      <c r="V205" s="218">
        <v>50</v>
      </c>
      <c r="W205" s="218">
        <v>50</v>
      </c>
      <c r="X205" s="218">
        <v>50</v>
      </c>
      <c r="Y205" s="218">
        <v>50</v>
      </c>
      <c r="Z205" s="218">
        <v>50</v>
      </c>
      <c r="AA205" s="218">
        <v>50</v>
      </c>
      <c r="AB205" s="218">
        <v>50</v>
      </c>
      <c r="AC205" s="219">
        <v>50</v>
      </c>
      <c r="AG205" s="130"/>
      <c r="AH205" s="130"/>
      <c r="AI205" s="130"/>
    </row>
    <row r="206" spans="2:35" outlineLevel="1" x14ac:dyDescent="0.4">
      <c r="C206" s="220" t="s">
        <v>606</v>
      </c>
      <c r="D206" s="221">
        <v>6.6083061452015584E-4</v>
      </c>
      <c r="E206" s="218">
        <v>45</v>
      </c>
      <c r="F206" s="218">
        <v>0</v>
      </c>
      <c r="G206" s="218">
        <v>45</v>
      </c>
      <c r="H206" s="218">
        <v>0</v>
      </c>
      <c r="I206" s="218">
        <v>45</v>
      </c>
      <c r="J206" s="218">
        <v>9</v>
      </c>
      <c r="K206" s="218">
        <v>103.59</v>
      </c>
      <c r="L206" s="218">
        <f>261-173.12</f>
        <v>87.88</v>
      </c>
      <c r="M206" s="218">
        <f>46+6.81+0.23</f>
        <v>53.04</v>
      </c>
      <c r="N206" s="218">
        <f>408.19-260</f>
        <v>148.19</v>
      </c>
      <c r="O206" s="218"/>
      <c r="P206" s="218">
        <v>46</v>
      </c>
      <c r="Q206" s="218">
        <f t="shared" si="37"/>
        <v>582.70000000000005</v>
      </c>
      <c r="R206" s="218">
        <v>62</v>
      </c>
      <c r="S206" s="218">
        <v>62</v>
      </c>
      <c r="T206" s="218">
        <v>62</v>
      </c>
      <c r="U206" s="218">
        <v>62</v>
      </c>
      <c r="V206" s="218">
        <v>62</v>
      </c>
      <c r="W206" s="218">
        <v>62</v>
      </c>
      <c r="X206" s="218">
        <v>62</v>
      </c>
      <c r="Y206" s="218">
        <v>62</v>
      </c>
      <c r="Z206" s="218">
        <v>62</v>
      </c>
      <c r="AA206" s="218">
        <v>62</v>
      </c>
      <c r="AB206" s="218">
        <v>62</v>
      </c>
      <c r="AC206" s="219">
        <v>62</v>
      </c>
      <c r="AG206" s="130"/>
      <c r="AH206" s="130"/>
      <c r="AI206" s="130"/>
    </row>
    <row r="207" spans="2:35" outlineLevel="1" x14ac:dyDescent="0.4">
      <c r="C207" s="220" t="s">
        <v>607</v>
      </c>
      <c r="D207" s="221">
        <v>4.130191340750974E-5</v>
      </c>
      <c r="E207" s="218">
        <v>0</v>
      </c>
      <c r="F207" s="218">
        <v>0</v>
      </c>
      <c r="G207" s="218">
        <v>0</v>
      </c>
      <c r="H207" s="218">
        <v>0</v>
      </c>
      <c r="I207" s="218">
        <v>0</v>
      </c>
      <c r="J207" s="218">
        <v>9</v>
      </c>
      <c r="K207" s="218">
        <v>130</v>
      </c>
      <c r="L207" s="218"/>
      <c r="M207" s="218">
        <v>0</v>
      </c>
      <c r="N207" s="218"/>
      <c r="O207" s="218">
        <v>195</v>
      </c>
      <c r="P207" s="218"/>
      <c r="Q207" s="218">
        <f t="shared" si="37"/>
        <v>334</v>
      </c>
      <c r="R207" s="218">
        <v>0</v>
      </c>
      <c r="S207" s="218">
        <v>0</v>
      </c>
      <c r="T207" s="218">
        <v>0</v>
      </c>
      <c r="U207" s="218">
        <v>0</v>
      </c>
      <c r="V207" s="218">
        <v>0</v>
      </c>
      <c r="W207" s="218">
        <v>0</v>
      </c>
      <c r="X207" s="218">
        <v>0</v>
      </c>
      <c r="Y207" s="218">
        <v>0</v>
      </c>
      <c r="Z207" s="218">
        <v>0</v>
      </c>
      <c r="AA207" s="218">
        <v>0</v>
      </c>
      <c r="AB207" s="218">
        <v>0</v>
      </c>
      <c r="AC207" s="219">
        <v>0</v>
      </c>
      <c r="AG207" s="130"/>
      <c r="AH207" s="130"/>
      <c r="AI207" s="130"/>
    </row>
    <row r="208" spans="2:35" outlineLevel="1" x14ac:dyDescent="0.4">
      <c r="C208" s="220" t="s">
        <v>608</v>
      </c>
      <c r="D208" s="221">
        <v>1.4736063793650505E-2</v>
      </c>
      <c r="E208" s="218">
        <v>658.5</v>
      </c>
      <c r="F208" s="218">
        <v>658.5</v>
      </c>
      <c r="G208" s="218">
        <v>218.90000000000009</v>
      </c>
      <c r="H208" s="218">
        <v>558.4</v>
      </c>
      <c r="I208" s="218">
        <v>558.4</v>
      </c>
      <c r="J208" s="218">
        <v>558.4</v>
      </c>
      <c r="K208" s="218">
        <v>558.4</v>
      </c>
      <c r="L208" s="218">
        <v>521.79</v>
      </c>
      <c r="M208" s="218">
        <v>525.04</v>
      </c>
      <c r="N208" s="218">
        <v>525.04</v>
      </c>
      <c r="O208" s="218">
        <v>525.04</v>
      </c>
      <c r="P208" s="218"/>
      <c r="Q208" s="218">
        <f t="shared" si="37"/>
        <v>5866.4100000000008</v>
      </c>
      <c r="R208" s="218">
        <v>558.4</v>
      </c>
      <c r="S208" s="218">
        <v>558.4</v>
      </c>
      <c r="T208" s="218">
        <v>558.4</v>
      </c>
      <c r="U208" s="218">
        <v>558.4</v>
      </c>
      <c r="V208" s="218">
        <v>558.4</v>
      </c>
      <c r="W208" s="218">
        <v>558.4</v>
      </c>
      <c r="X208" s="218">
        <v>558.4</v>
      </c>
      <c r="Y208" s="218">
        <v>558.4</v>
      </c>
      <c r="Z208" s="218">
        <v>558.4</v>
      </c>
      <c r="AA208" s="218">
        <v>558.4</v>
      </c>
      <c r="AB208" s="218">
        <v>558.4</v>
      </c>
      <c r="AC208" s="219">
        <v>558.4</v>
      </c>
      <c r="AG208" s="130"/>
      <c r="AH208" s="130"/>
      <c r="AI208" s="130"/>
    </row>
    <row r="209" spans="3:35" outlineLevel="1" x14ac:dyDescent="0.4">
      <c r="C209" s="220" t="s">
        <v>609</v>
      </c>
      <c r="D209" s="221">
        <v>5.7070066126199016E-3</v>
      </c>
      <c r="E209" s="218">
        <v>269.10000000000002</v>
      </c>
      <c r="F209" s="218">
        <v>192.5</v>
      </c>
      <c r="G209" s="218">
        <v>192.5</v>
      </c>
      <c r="H209" s="218">
        <v>192.5</v>
      </c>
      <c r="I209" s="218">
        <v>192.5</v>
      </c>
      <c r="J209" s="218">
        <v>204.5</v>
      </c>
      <c r="K209" s="218">
        <v>204.5</v>
      </c>
      <c r="L209" s="218">
        <v>123</v>
      </c>
      <c r="M209" s="218">
        <v>12</v>
      </c>
      <c r="N209" s="218">
        <v>226.68</v>
      </c>
      <c r="O209" s="218">
        <v>202.1</v>
      </c>
      <c r="P209" s="218">
        <v>214.1</v>
      </c>
      <c r="Q209" s="218">
        <f t="shared" si="37"/>
        <v>2225.98</v>
      </c>
      <c r="R209" s="218">
        <f>+P209</f>
        <v>214.1</v>
      </c>
      <c r="S209" s="218">
        <f>+R209</f>
        <v>214.1</v>
      </c>
      <c r="T209" s="218">
        <f t="shared" ref="T209:AC209" si="41">+S209</f>
        <v>214.1</v>
      </c>
      <c r="U209" s="218">
        <f t="shared" si="41"/>
        <v>214.1</v>
      </c>
      <c r="V209" s="218">
        <f t="shared" si="41"/>
        <v>214.1</v>
      </c>
      <c r="W209" s="218">
        <f t="shared" si="41"/>
        <v>214.1</v>
      </c>
      <c r="X209" s="218">
        <f t="shared" si="41"/>
        <v>214.1</v>
      </c>
      <c r="Y209" s="218">
        <f t="shared" si="41"/>
        <v>214.1</v>
      </c>
      <c r="Z209" s="218">
        <f t="shared" si="41"/>
        <v>214.1</v>
      </c>
      <c r="AA209" s="218">
        <f t="shared" si="41"/>
        <v>214.1</v>
      </c>
      <c r="AB209" s="218">
        <f t="shared" si="41"/>
        <v>214.1</v>
      </c>
      <c r="AC209" s="218">
        <f t="shared" si="41"/>
        <v>214.1</v>
      </c>
      <c r="AG209" s="130"/>
      <c r="AH209" s="130"/>
      <c r="AI209" s="130"/>
    </row>
    <row r="210" spans="3:35" outlineLevel="1" x14ac:dyDescent="0.4">
      <c r="C210" s="220" t="s">
        <v>610</v>
      </c>
      <c r="D210" s="221">
        <v>4.1844804113744007E-3</v>
      </c>
      <c r="E210" s="218">
        <v>0</v>
      </c>
      <c r="F210" s="218">
        <v>55</v>
      </c>
      <c r="G210" s="218">
        <v>476.84</v>
      </c>
      <c r="H210" s="218">
        <v>379.99</v>
      </c>
      <c r="I210" s="218">
        <v>0</v>
      </c>
      <c r="J210" s="218">
        <v>0</v>
      </c>
      <c r="K210" s="218">
        <v>0</v>
      </c>
      <c r="L210" s="218">
        <v>250</v>
      </c>
      <c r="M210" s="218"/>
      <c r="N210" s="218">
        <v>120</v>
      </c>
      <c r="O210" s="218"/>
      <c r="P210" s="218">
        <v>70.83</v>
      </c>
      <c r="Q210" s="218">
        <f t="shared" si="37"/>
        <v>1352.6599999999999</v>
      </c>
      <c r="R210" s="218"/>
      <c r="S210" s="218"/>
      <c r="T210" s="218"/>
      <c r="U210" s="218"/>
      <c r="V210" s="218"/>
      <c r="W210" s="218"/>
      <c r="X210" s="218"/>
      <c r="Y210" s="218"/>
      <c r="Z210" s="218"/>
      <c r="AA210" s="218">
        <v>3000</v>
      </c>
      <c r="AB210" s="218"/>
      <c r="AC210" s="219"/>
      <c r="AG210" s="130"/>
      <c r="AH210" s="130"/>
      <c r="AI210" s="130"/>
    </row>
    <row r="211" spans="3:35" outlineLevel="1" x14ac:dyDescent="0.4">
      <c r="C211" s="220" t="s">
        <v>611</v>
      </c>
      <c r="D211" s="221">
        <v>4.5499564540159645E-3</v>
      </c>
      <c r="E211" s="218">
        <v>30</v>
      </c>
      <c r="F211" s="218">
        <v>27.73</v>
      </c>
      <c r="G211" s="218">
        <v>32.64</v>
      </c>
      <c r="H211" s="218">
        <v>878.4799999999999</v>
      </c>
      <c r="I211" s="218">
        <v>22.62</v>
      </c>
      <c r="J211" s="218">
        <v>0</v>
      </c>
      <c r="K211" s="218">
        <v>0</v>
      </c>
      <c r="L211" s="218">
        <v>423.24</v>
      </c>
      <c r="M211" s="218"/>
      <c r="N211" s="218"/>
      <c r="O211" s="218">
        <v>96.11</v>
      </c>
      <c r="P211" s="218"/>
      <c r="Q211" s="218">
        <f t="shared" si="37"/>
        <v>1510.82</v>
      </c>
      <c r="R211" s="218">
        <v>80</v>
      </c>
      <c r="S211" s="218">
        <f>+R211</f>
        <v>80</v>
      </c>
      <c r="T211" s="218">
        <f t="shared" ref="T211:AC213" si="42">+S211</f>
        <v>80</v>
      </c>
      <c r="U211" s="218">
        <f t="shared" si="42"/>
        <v>80</v>
      </c>
      <c r="V211" s="218">
        <f t="shared" si="42"/>
        <v>80</v>
      </c>
      <c r="W211" s="218">
        <f t="shared" si="42"/>
        <v>80</v>
      </c>
      <c r="X211" s="218">
        <f t="shared" si="42"/>
        <v>80</v>
      </c>
      <c r="Y211" s="218">
        <f t="shared" si="42"/>
        <v>80</v>
      </c>
      <c r="Z211" s="218">
        <f t="shared" si="42"/>
        <v>80</v>
      </c>
      <c r="AA211" s="218">
        <f t="shared" si="42"/>
        <v>80</v>
      </c>
      <c r="AB211" s="218">
        <f t="shared" si="42"/>
        <v>80</v>
      </c>
      <c r="AC211" s="218">
        <f t="shared" si="42"/>
        <v>80</v>
      </c>
      <c r="AG211" s="112"/>
      <c r="AH211" s="130"/>
      <c r="AI211" s="130"/>
    </row>
    <row r="212" spans="3:35" outlineLevel="1" x14ac:dyDescent="0.4">
      <c r="C212" s="220" t="s">
        <v>612</v>
      </c>
      <c r="D212" s="221">
        <v>2.511908947820907E-2</v>
      </c>
      <c r="E212" s="218">
        <v>778.24</v>
      </c>
      <c r="F212" s="218">
        <v>66.680000000000007</v>
      </c>
      <c r="G212" s="218">
        <v>1123.3800000000001</v>
      </c>
      <c r="H212" s="218">
        <v>313.08</v>
      </c>
      <c r="I212" s="218">
        <v>2790.67</v>
      </c>
      <c r="J212" s="218">
        <v>401.59</v>
      </c>
      <c r="K212" s="218">
        <v>252.63</v>
      </c>
      <c r="L212" s="218">
        <v>-28</v>
      </c>
      <c r="M212" s="218">
        <v>61</v>
      </c>
      <c r="N212" s="218">
        <v>2409</v>
      </c>
      <c r="O212" s="218">
        <v>23.53</v>
      </c>
      <c r="P212" s="218">
        <v>69.42</v>
      </c>
      <c r="Q212" s="218">
        <f t="shared" si="37"/>
        <v>8261.2199999999993</v>
      </c>
      <c r="R212" s="218">
        <v>70</v>
      </c>
      <c r="S212" s="218">
        <f>+R212</f>
        <v>70</v>
      </c>
      <c r="T212" s="218">
        <f t="shared" si="42"/>
        <v>70</v>
      </c>
      <c r="U212" s="218">
        <f t="shared" si="42"/>
        <v>70</v>
      </c>
      <c r="V212" s="218">
        <f t="shared" si="42"/>
        <v>70</v>
      </c>
      <c r="W212" s="218">
        <f t="shared" si="42"/>
        <v>70</v>
      </c>
      <c r="X212" s="218">
        <f t="shared" si="42"/>
        <v>70</v>
      </c>
      <c r="Y212" s="218">
        <f t="shared" si="42"/>
        <v>70</v>
      </c>
      <c r="Z212" s="218">
        <f t="shared" si="42"/>
        <v>70</v>
      </c>
      <c r="AA212" s="218">
        <f t="shared" si="42"/>
        <v>70</v>
      </c>
      <c r="AB212" s="218">
        <f t="shared" si="42"/>
        <v>70</v>
      </c>
      <c r="AC212" s="218">
        <f t="shared" si="42"/>
        <v>70</v>
      </c>
      <c r="AG212" s="130"/>
      <c r="AH212" s="109"/>
      <c r="AI212" s="130"/>
    </row>
    <row r="213" spans="3:35" outlineLevel="1" x14ac:dyDescent="0.4">
      <c r="C213" s="220" t="s">
        <v>613</v>
      </c>
      <c r="D213" s="221">
        <v>9.3540022793149283E-2</v>
      </c>
      <c r="E213" s="218">
        <v>3195.36</v>
      </c>
      <c r="F213" s="218">
        <v>3195.36</v>
      </c>
      <c r="G213" s="218">
        <v>4691.3999999999996</v>
      </c>
      <c r="H213" s="218">
        <v>3100.32</v>
      </c>
      <c r="I213" s="218">
        <v>3100.32</v>
      </c>
      <c r="J213" s="218">
        <v>3100.32</v>
      </c>
      <c r="K213" s="218">
        <v>3123.72</v>
      </c>
      <c r="L213" s="218">
        <v>4665.78</v>
      </c>
      <c r="M213" s="218">
        <v>3100.32</v>
      </c>
      <c r="N213" s="218">
        <v>3115.62</v>
      </c>
      <c r="O213" s="218">
        <v>3875.4</v>
      </c>
      <c r="P213" s="218">
        <f>3504.54</f>
        <v>3504.54</v>
      </c>
      <c r="Q213" s="218">
        <f t="shared" si="37"/>
        <v>41768.46</v>
      </c>
      <c r="R213" s="218">
        <f>+'[1]Salarios 2024'!D4</f>
        <v>3114.7200000000003</v>
      </c>
      <c r="S213" s="218">
        <f>+R213</f>
        <v>3114.7200000000003</v>
      </c>
      <c r="T213" s="218">
        <f t="shared" si="42"/>
        <v>3114.7200000000003</v>
      </c>
      <c r="U213" s="218">
        <f t="shared" si="42"/>
        <v>3114.7200000000003</v>
      </c>
      <c r="V213" s="218">
        <f t="shared" si="42"/>
        <v>3114.7200000000003</v>
      </c>
      <c r="W213" s="218">
        <f t="shared" si="42"/>
        <v>3114.7200000000003</v>
      </c>
      <c r="X213" s="218">
        <f t="shared" si="42"/>
        <v>3114.7200000000003</v>
      </c>
      <c r="Y213" s="218">
        <f t="shared" si="42"/>
        <v>3114.7200000000003</v>
      </c>
      <c r="Z213" s="218">
        <f t="shared" si="42"/>
        <v>3114.7200000000003</v>
      </c>
      <c r="AA213" s="218">
        <f t="shared" si="42"/>
        <v>3114.7200000000003</v>
      </c>
      <c r="AB213" s="218">
        <f t="shared" si="42"/>
        <v>3114.7200000000003</v>
      </c>
      <c r="AC213" s="218">
        <f t="shared" si="42"/>
        <v>3114.7200000000003</v>
      </c>
      <c r="AG213" s="111"/>
      <c r="AH213" s="109"/>
      <c r="AI213" s="130"/>
    </row>
    <row r="214" spans="3:35" outlineLevel="1" x14ac:dyDescent="0.4">
      <c r="C214" s="220" t="s">
        <v>614</v>
      </c>
      <c r="D214" s="221">
        <v>4.8777009042090244E-2</v>
      </c>
      <c r="E214" s="218">
        <v>1140</v>
      </c>
      <c r="F214" s="218">
        <v>1520</v>
      </c>
      <c r="G214" s="218">
        <v>1360</v>
      </c>
      <c r="H214" s="218">
        <v>3288.88</v>
      </c>
      <c r="I214" s="218">
        <v>1910</v>
      </c>
      <c r="J214" s="218">
        <v>1410</v>
      </c>
      <c r="K214" s="218">
        <v>1660</v>
      </c>
      <c r="L214" s="218">
        <v>1930</v>
      </c>
      <c r="M214" s="218">
        <v>1750</v>
      </c>
      <c r="N214" s="218">
        <v>1690</v>
      </c>
      <c r="O214" s="218">
        <v>1720</v>
      </c>
      <c r="P214" s="218">
        <v>1950</v>
      </c>
      <c r="Q214" s="218">
        <f t="shared" si="37"/>
        <v>21328.880000000001</v>
      </c>
      <c r="R214" s="218">
        <f>+'[1]Salarios 2024'!$D$5+'[1]Salarios 2024'!$D$10</f>
        <v>1745</v>
      </c>
      <c r="S214" s="218">
        <f>+'[1]Salarios 2024'!$D$5+'[1]Salarios 2024'!$D$10</f>
        <v>1745</v>
      </c>
      <c r="T214" s="218">
        <f>+'[1]Salarios 2024'!$D$5+'[1]Salarios 2024'!$D$10</f>
        <v>1745</v>
      </c>
      <c r="U214" s="218">
        <f>+'[1]Salarios 2024'!$D$5+'[1]Salarios 2024'!$D$10</f>
        <v>1745</v>
      </c>
      <c r="V214" s="218">
        <f>+'[1]Salarios 2024'!$D$5+'[1]Salarios 2024'!$D$10</f>
        <v>1745</v>
      </c>
      <c r="W214" s="218">
        <f>+'[1]Salarios 2024'!$D$5+'[1]Salarios 2024'!$D$10</f>
        <v>1745</v>
      </c>
      <c r="X214" s="218">
        <f>+'[1]Salarios 2024'!$D$5+'[1]Salarios 2024'!$D$10</f>
        <v>1745</v>
      </c>
      <c r="Y214" s="218">
        <f>+'[1]Salarios 2024'!$D$5+'[1]Salarios 2024'!$D$10</f>
        <v>1745</v>
      </c>
      <c r="Z214" s="218">
        <f>+'[1]Salarios 2024'!$D$5+'[1]Salarios 2024'!$D$10</f>
        <v>1745</v>
      </c>
      <c r="AA214" s="218">
        <f>+'[1]Salarios 2024'!$D$5+'[1]Salarios 2024'!$D$10</f>
        <v>1745</v>
      </c>
      <c r="AB214" s="218">
        <f>+'[1]Salarios 2024'!$D$5+'[1]Salarios 2024'!$D$10</f>
        <v>1745</v>
      </c>
      <c r="AC214" s="218">
        <f>+'[1]Salarios 2024'!$D$5+'[1]Salarios 2024'!$D$10</f>
        <v>1745</v>
      </c>
      <c r="AG214" s="111"/>
      <c r="AH214" s="109"/>
      <c r="AI214" s="130"/>
    </row>
    <row r="215" spans="3:35" outlineLevel="1" x14ac:dyDescent="0.4">
      <c r="C215" s="220" t="s">
        <v>615</v>
      </c>
      <c r="D215" s="221">
        <v>8.7890471731180725E-2</v>
      </c>
      <c r="E215" s="218">
        <v>2432</v>
      </c>
      <c r="F215" s="218">
        <v>3040</v>
      </c>
      <c r="G215" s="218">
        <v>3800</v>
      </c>
      <c r="H215" s="218">
        <v>3040</v>
      </c>
      <c r="I215" s="218">
        <v>3800</v>
      </c>
      <c r="J215" s="218">
        <v>3040</v>
      </c>
      <c r="K215" s="218">
        <v>3040</v>
      </c>
      <c r="L215" s="218">
        <v>3800</v>
      </c>
      <c r="M215" s="218">
        <v>3040</v>
      </c>
      <c r="N215" s="218">
        <v>3040</v>
      </c>
      <c r="O215" s="218">
        <v>3800</v>
      </c>
      <c r="P215" s="218">
        <v>3240</v>
      </c>
      <c r="Q215" s="218">
        <f t="shared" si="37"/>
        <v>39112</v>
      </c>
      <c r="R215" s="218">
        <f>+'[1]Salarios 2024'!$D$8</f>
        <v>3287.76</v>
      </c>
      <c r="S215" s="218">
        <f>+'[1]Salarios 2024'!$D$8</f>
        <v>3287.76</v>
      </c>
      <c r="T215" s="218">
        <f>+'[1]Salarios 2024'!$D$8</f>
        <v>3287.76</v>
      </c>
      <c r="U215" s="218">
        <f>+'[1]Salarios 2024'!$D$8</f>
        <v>3287.76</v>
      </c>
      <c r="V215" s="218">
        <f>+'[1]Salarios 2024'!$D$8</f>
        <v>3287.76</v>
      </c>
      <c r="W215" s="218">
        <f>+'[1]Salarios 2024'!$D$8</f>
        <v>3287.76</v>
      </c>
      <c r="X215" s="218">
        <f>+'[1]Salarios 2024'!$D$8</f>
        <v>3287.76</v>
      </c>
      <c r="Y215" s="218">
        <f>+'[1]Salarios 2024'!$D$8</f>
        <v>3287.76</v>
      </c>
      <c r="Z215" s="218">
        <f>+'[1]Salarios 2024'!$D$8</f>
        <v>3287.76</v>
      </c>
      <c r="AA215" s="218">
        <f>+'[1]Salarios 2024'!$D$8</f>
        <v>3287.76</v>
      </c>
      <c r="AB215" s="218">
        <f>+'[1]Salarios 2024'!$D$8</f>
        <v>3287.76</v>
      </c>
      <c r="AC215" s="218">
        <f>+'[1]Salarios 2024'!$D$8</f>
        <v>3287.76</v>
      </c>
      <c r="AG215" s="111"/>
      <c r="AH215" s="109"/>
      <c r="AI215" s="130"/>
    </row>
    <row r="216" spans="3:35" outlineLevel="1" x14ac:dyDescent="0.4">
      <c r="C216" s="220" t="s">
        <v>616</v>
      </c>
      <c r="D216" s="221">
        <v>0.12595165344867768</v>
      </c>
      <c r="E216" s="218">
        <v>2269.33</v>
      </c>
      <c r="F216" s="218">
        <v>2462.5</v>
      </c>
      <c r="G216" s="218">
        <v>2515</v>
      </c>
      <c r="H216" s="218">
        <v>4206</v>
      </c>
      <c r="I216" s="218">
        <v>8020.89</v>
      </c>
      <c r="J216" s="218">
        <v>7972.0999999999995</v>
      </c>
      <c r="K216" s="218">
        <v>8248.4699999999993</v>
      </c>
      <c r="L216" s="218">
        <v>8405</v>
      </c>
      <c r="M216" s="218">
        <v>7419</v>
      </c>
      <c r="N216" s="218">
        <v>7326</v>
      </c>
      <c r="O216" s="218">
        <v>8030</v>
      </c>
      <c r="P216" s="218">
        <v>10686.56</v>
      </c>
      <c r="Q216" s="218">
        <f t="shared" si="37"/>
        <v>77560.850000000006</v>
      </c>
      <c r="R216" s="218">
        <f>+'[1]Salarios 2024'!$D$7+'[1]Salarios 2024'!$D$9</f>
        <v>6201.5</v>
      </c>
      <c r="S216" s="218">
        <f>+'[1]Salarios 2024'!$D$7+'[1]Salarios 2024'!$D$9</f>
        <v>6201.5</v>
      </c>
      <c r="T216" s="218">
        <f>+'[1]Salarios 2024'!$D$7+'[1]Salarios 2024'!$D$9</f>
        <v>6201.5</v>
      </c>
      <c r="U216" s="218">
        <f>+'[1]Salarios 2024'!$D$7+'[1]Salarios 2024'!$D$9</f>
        <v>6201.5</v>
      </c>
      <c r="V216" s="218">
        <f>+'[1]Salarios 2024'!$D$7+'[1]Salarios 2024'!$D$9</f>
        <v>6201.5</v>
      </c>
      <c r="W216" s="218">
        <f>+'[1]Salarios 2024'!$D$7+'[1]Salarios 2024'!$D$9</f>
        <v>6201.5</v>
      </c>
      <c r="X216" s="218">
        <f>+'[1]Salarios 2024'!$D$7+'[1]Salarios 2024'!$D$9</f>
        <v>6201.5</v>
      </c>
      <c r="Y216" s="218">
        <f>+'[1]Salarios 2024'!$D$7+'[1]Salarios 2024'!$D$9</f>
        <v>6201.5</v>
      </c>
      <c r="Z216" s="218">
        <f>+'[1]Salarios 2024'!$D$7+'[1]Salarios 2024'!$D$9</f>
        <v>6201.5</v>
      </c>
      <c r="AA216" s="218">
        <f>+'[1]Salarios 2024'!$D$7+'[1]Salarios 2024'!$D$9</f>
        <v>6201.5</v>
      </c>
      <c r="AB216" s="218">
        <f>+'[1]Salarios 2024'!$D$7+'[1]Salarios 2024'!$D$9</f>
        <v>6201.5</v>
      </c>
      <c r="AC216" s="218">
        <f>+'[1]Salarios 2024'!$D$7+'[1]Salarios 2024'!$D$9</f>
        <v>6201.5</v>
      </c>
      <c r="AG216" s="111"/>
      <c r="AH216" s="109"/>
      <c r="AI216" s="109"/>
    </row>
    <row r="217" spans="3:35" outlineLevel="1" x14ac:dyDescent="0.4">
      <c r="C217" s="234" t="s">
        <v>617</v>
      </c>
      <c r="D217" s="221">
        <v>0.01</v>
      </c>
      <c r="E217" s="218"/>
      <c r="F217" s="218"/>
      <c r="G217" s="218"/>
      <c r="H217" s="218"/>
      <c r="I217" s="218"/>
      <c r="J217" s="218"/>
      <c r="K217" s="218">
        <v>0</v>
      </c>
      <c r="L217" s="218"/>
      <c r="M217" s="218"/>
      <c r="N217" s="218"/>
      <c r="O217" s="218"/>
      <c r="P217" s="218"/>
      <c r="Q217" s="218">
        <f t="shared" si="37"/>
        <v>0</v>
      </c>
      <c r="R217" s="218"/>
      <c r="S217" s="218"/>
      <c r="T217" s="218"/>
      <c r="U217" s="218"/>
      <c r="V217" s="218"/>
      <c r="W217" s="218"/>
      <c r="X217" s="218"/>
      <c r="Y217" s="218"/>
      <c r="Z217" s="218"/>
      <c r="AA217" s="218"/>
      <c r="AB217" s="218"/>
      <c r="AC217" s="219"/>
      <c r="AG217" s="111"/>
      <c r="AH217" s="109"/>
      <c r="AI217" s="130"/>
    </row>
    <row r="218" spans="3:35" outlineLevel="1" x14ac:dyDescent="0.4">
      <c r="C218" s="220" t="s">
        <v>618</v>
      </c>
      <c r="D218" s="221">
        <v>1.6992983906296425E-3</v>
      </c>
      <c r="E218" s="218">
        <v>0</v>
      </c>
      <c r="F218" s="218">
        <v>0</v>
      </c>
      <c r="G218" s="218">
        <v>0</v>
      </c>
      <c r="H218" s="218">
        <v>0</v>
      </c>
      <c r="I218" s="218">
        <v>0</v>
      </c>
      <c r="J218" s="218">
        <v>370.29</v>
      </c>
      <c r="K218" s="218">
        <v>0</v>
      </c>
      <c r="L218" s="218"/>
      <c r="M218" s="218"/>
      <c r="N218" s="218"/>
      <c r="O218" s="218"/>
      <c r="P218" s="218"/>
      <c r="Q218" s="218">
        <f t="shared" si="37"/>
        <v>370.29</v>
      </c>
      <c r="R218" s="218"/>
      <c r="S218" s="218"/>
      <c r="T218" s="218"/>
      <c r="U218" s="218"/>
      <c r="V218" s="218"/>
      <c r="W218" s="218"/>
      <c r="X218" s="218"/>
      <c r="Y218" s="218"/>
      <c r="Z218" s="218"/>
      <c r="AA218" s="218"/>
      <c r="AB218" s="218"/>
      <c r="AC218" s="219"/>
      <c r="AG218" s="111"/>
      <c r="AH218" s="109"/>
      <c r="AI218" s="130"/>
    </row>
    <row r="219" spans="3:35" outlineLevel="1" x14ac:dyDescent="0.4">
      <c r="C219" s="220" t="s">
        <v>619</v>
      </c>
      <c r="D219" s="221">
        <v>2.2585676000807318E-2</v>
      </c>
      <c r="E219" s="218">
        <v>762.77</v>
      </c>
      <c r="F219" s="218">
        <v>762.77</v>
      </c>
      <c r="G219" s="218">
        <v>762.77</v>
      </c>
      <c r="H219" s="218">
        <v>877.76</v>
      </c>
      <c r="I219" s="218">
        <v>877.76</v>
      </c>
      <c r="J219" s="218">
        <v>877.76</v>
      </c>
      <c r="K219" s="218">
        <v>856.96</v>
      </c>
      <c r="L219" s="218">
        <v>1227.25</v>
      </c>
      <c r="M219" s="218">
        <v>1239.25</v>
      </c>
      <c r="N219" s="218">
        <v>1239.25</v>
      </c>
      <c r="O219" s="218">
        <v>1239.25</v>
      </c>
      <c r="P219" s="218">
        <v>1269.1199999999999</v>
      </c>
      <c r="Q219" s="218">
        <f t="shared" si="37"/>
        <v>11992.669999999998</v>
      </c>
      <c r="R219" s="218">
        <f>+P219</f>
        <v>1269.1199999999999</v>
      </c>
      <c r="S219" s="218">
        <f>+R219</f>
        <v>1269.1199999999999</v>
      </c>
      <c r="T219" s="218">
        <f t="shared" ref="T219:AC219" si="43">+S219</f>
        <v>1269.1199999999999</v>
      </c>
      <c r="U219" s="218">
        <f t="shared" si="43"/>
        <v>1269.1199999999999</v>
      </c>
      <c r="V219" s="218">
        <f t="shared" si="43"/>
        <v>1269.1199999999999</v>
      </c>
      <c r="W219" s="218">
        <f t="shared" si="43"/>
        <v>1269.1199999999999</v>
      </c>
      <c r="X219" s="218">
        <f t="shared" si="43"/>
        <v>1269.1199999999999</v>
      </c>
      <c r="Y219" s="218">
        <f t="shared" si="43"/>
        <v>1269.1199999999999</v>
      </c>
      <c r="Z219" s="218">
        <f t="shared" si="43"/>
        <v>1269.1199999999999</v>
      </c>
      <c r="AA219" s="218">
        <f t="shared" si="43"/>
        <v>1269.1199999999999</v>
      </c>
      <c r="AB219" s="218">
        <f t="shared" si="43"/>
        <v>1269.1199999999999</v>
      </c>
      <c r="AC219" s="219">
        <f t="shared" si="43"/>
        <v>1269.1199999999999</v>
      </c>
      <c r="AG219" s="112"/>
      <c r="AH219" s="109"/>
      <c r="AI219" s="130"/>
    </row>
    <row r="220" spans="3:35" outlineLevel="1" x14ac:dyDescent="0.4">
      <c r="C220" s="220" t="s">
        <v>620</v>
      </c>
      <c r="D220" s="221">
        <v>2.2945507448616525E-4</v>
      </c>
      <c r="E220" s="218">
        <v>0</v>
      </c>
      <c r="F220" s="218">
        <v>0</v>
      </c>
      <c r="G220" s="218">
        <v>0</v>
      </c>
      <c r="H220" s="218">
        <v>0</v>
      </c>
      <c r="I220" s="218">
        <v>0</v>
      </c>
      <c r="J220" s="218">
        <v>50</v>
      </c>
      <c r="K220" s="218">
        <v>0</v>
      </c>
      <c r="L220" s="218"/>
      <c r="M220" s="218"/>
      <c r="N220" s="218"/>
      <c r="O220" s="218"/>
      <c r="P220" s="218">
        <v>38.770000000000003</v>
      </c>
      <c r="Q220" s="218">
        <f t="shared" si="37"/>
        <v>88.77000000000001</v>
      </c>
      <c r="R220" s="218">
        <f t="shared" ref="R220:AC220" si="44">+$P$220*(1+$R$8)</f>
        <v>39.778020000000005</v>
      </c>
      <c r="S220" s="218">
        <f t="shared" si="44"/>
        <v>39.778020000000005</v>
      </c>
      <c r="T220" s="218">
        <f t="shared" si="44"/>
        <v>39.778020000000005</v>
      </c>
      <c r="U220" s="218">
        <f t="shared" si="44"/>
        <v>39.778020000000005</v>
      </c>
      <c r="V220" s="218">
        <f t="shared" si="44"/>
        <v>39.778020000000005</v>
      </c>
      <c r="W220" s="218">
        <f t="shared" si="44"/>
        <v>39.778020000000005</v>
      </c>
      <c r="X220" s="218">
        <f t="shared" si="44"/>
        <v>39.778020000000005</v>
      </c>
      <c r="Y220" s="218">
        <f t="shared" si="44"/>
        <v>39.778020000000005</v>
      </c>
      <c r="Z220" s="218">
        <f t="shared" si="44"/>
        <v>39.778020000000005</v>
      </c>
      <c r="AA220" s="218">
        <f t="shared" si="44"/>
        <v>39.778020000000005</v>
      </c>
      <c r="AB220" s="218">
        <f t="shared" si="44"/>
        <v>39.778020000000005</v>
      </c>
      <c r="AC220" s="219">
        <f t="shared" si="44"/>
        <v>39.778020000000005</v>
      </c>
      <c r="AG220" s="111"/>
      <c r="AH220" s="130"/>
      <c r="AI220" s="130"/>
    </row>
    <row r="221" spans="3:35" outlineLevel="1" x14ac:dyDescent="0.4">
      <c r="C221" s="220" t="s">
        <v>621</v>
      </c>
      <c r="D221" s="221">
        <v>5.3508005549875786E-3</v>
      </c>
      <c r="E221" s="218">
        <v>192.47999999999996</v>
      </c>
      <c r="F221" s="218">
        <v>74.710000000000008</v>
      </c>
      <c r="G221" s="218">
        <v>633.49</v>
      </c>
      <c r="H221" s="218">
        <v>180.82999999999998</v>
      </c>
      <c r="I221" s="218">
        <v>101.98999999999995</v>
      </c>
      <c r="J221" s="218">
        <v>-17.520000000000024</v>
      </c>
      <c r="K221" s="218">
        <v>453.53</v>
      </c>
      <c r="L221" s="218">
        <v>594.22</v>
      </c>
      <c r="M221" s="218">
        <v>508.81</v>
      </c>
      <c r="N221" s="218">
        <v>-118.39</v>
      </c>
      <c r="O221" s="218">
        <v>-178</v>
      </c>
      <c r="P221" s="218">
        <f>107.21-70</f>
        <v>37.209999999999994</v>
      </c>
      <c r="Q221" s="218">
        <f t="shared" si="37"/>
        <v>2463.36</v>
      </c>
      <c r="R221" s="218">
        <v>100</v>
      </c>
      <c r="S221" s="218">
        <v>100</v>
      </c>
      <c r="T221" s="218">
        <v>100</v>
      </c>
      <c r="U221" s="218">
        <v>100</v>
      </c>
      <c r="V221" s="218">
        <v>100</v>
      </c>
      <c r="W221" s="218">
        <v>100</v>
      </c>
      <c r="X221" s="218">
        <v>100</v>
      </c>
      <c r="Y221" s="218">
        <v>100</v>
      </c>
      <c r="Z221" s="218">
        <v>100</v>
      </c>
      <c r="AA221" s="218">
        <v>100</v>
      </c>
      <c r="AB221" s="218">
        <v>100</v>
      </c>
      <c r="AC221" s="219">
        <v>100</v>
      </c>
      <c r="AG221" s="111"/>
      <c r="AH221" s="130"/>
      <c r="AI221" s="130"/>
    </row>
    <row r="222" spans="3:35" outlineLevel="1" x14ac:dyDescent="0.4">
      <c r="C222" s="234" t="s">
        <v>622</v>
      </c>
      <c r="D222" s="221">
        <v>8.6734018155770461E-4</v>
      </c>
      <c r="E222" s="218">
        <v>189</v>
      </c>
      <c r="F222" s="218">
        <v>0</v>
      </c>
      <c r="G222" s="218">
        <v>0</v>
      </c>
      <c r="H222" s="218">
        <v>0</v>
      </c>
      <c r="I222" s="218">
        <v>0</v>
      </c>
      <c r="J222" s="218">
        <v>0</v>
      </c>
      <c r="K222" s="218">
        <v>0</v>
      </c>
      <c r="L222" s="218"/>
      <c r="M222" s="218">
        <v>0</v>
      </c>
      <c r="N222" s="218"/>
      <c r="O222" s="218"/>
      <c r="P222" s="218"/>
      <c r="Q222" s="218">
        <f t="shared" si="37"/>
        <v>189</v>
      </c>
      <c r="R222" s="218">
        <v>0</v>
      </c>
      <c r="S222" s="218">
        <v>0</v>
      </c>
      <c r="T222" s="218">
        <v>0</v>
      </c>
      <c r="U222" s="218"/>
      <c r="V222" s="218"/>
      <c r="W222" s="218"/>
      <c r="X222" s="218"/>
      <c r="Y222" s="218"/>
      <c r="Z222" s="218"/>
      <c r="AA222" s="218"/>
      <c r="AB222" s="218"/>
      <c r="AC222" s="219"/>
      <c r="AG222" s="109"/>
      <c r="AH222" s="130"/>
      <c r="AI222" s="130"/>
    </row>
    <row r="223" spans="3:35" outlineLevel="1" x14ac:dyDescent="0.4">
      <c r="C223" s="220" t="s">
        <v>623</v>
      </c>
      <c r="D223" s="221">
        <v>9.0557657517007905E-3</v>
      </c>
      <c r="E223" s="218">
        <v>205.17</v>
      </c>
      <c r="F223" s="218">
        <v>213.29</v>
      </c>
      <c r="G223" s="218">
        <v>256.89999999999998</v>
      </c>
      <c r="H223" s="218">
        <v>570.45000000000005</v>
      </c>
      <c r="I223" s="218">
        <v>345.23</v>
      </c>
      <c r="J223" s="218">
        <v>382.28</v>
      </c>
      <c r="K223" s="218">
        <v>371.06</v>
      </c>
      <c r="L223" s="218">
        <v>377.14</v>
      </c>
      <c r="M223" s="218">
        <f>409.24+7.55</f>
        <v>416.79</v>
      </c>
      <c r="N223" s="218">
        <f>389.19+7.57</f>
        <v>396.76</v>
      </c>
      <c r="O223" s="218">
        <f>374.46+15.11</f>
        <v>389.57</v>
      </c>
      <c r="P223" s="218">
        <f>15.11+392.81</f>
        <v>407.92</v>
      </c>
      <c r="Q223" s="218">
        <f t="shared" si="37"/>
        <v>4332.5599999999995</v>
      </c>
      <c r="R223" s="218">
        <v>400</v>
      </c>
      <c r="S223" s="218">
        <f>+R223</f>
        <v>400</v>
      </c>
      <c r="T223" s="218">
        <f t="shared" ref="T223:AC223" si="45">+S223</f>
        <v>400</v>
      </c>
      <c r="U223" s="218">
        <f t="shared" si="45"/>
        <v>400</v>
      </c>
      <c r="V223" s="218">
        <f t="shared" si="45"/>
        <v>400</v>
      </c>
      <c r="W223" s="218">
        <f t="shared" si="45"/>
        <v>400</v>
      </c>
      <c r="X223" s="218">
        <f t="shared" si="45"/>
        <v>400</v>
      </c>
      <c r="Y223" s="218">
        <f t="shared" si="45"/>
        <v>400</v>
      </c>
      <c r="Z223" s="218">
        <f t="shared" si="45"/>
        <v>400</v>
      </c>
      <c r="AA223" s="218">
        <f t="shared" si="45"/>
        <v>400</v>
      </c>
      <c r="AB223" s="218">
        <f t="shared" si="45"/>
        <v>400</v>
      </c>
      <c r="AC223" s="218">
        <f t="shared" si="45"/>
        <v>400</v>
      </c>
      <c r="AG223" s="235"/>
      <c r="AH223" s="130"/>
      <c r="AI223" s="130"/>
    </row>
    <row r="224" spans="3:35" outlineLevel="1" x14ac:dyDescent="0.4">
      <c r="C224" s="220" t="s">
        <v>624</v>
      </c>
      <c r="D224" s="221">
        <v>1.5904632596993647E-2</v>
      </c>
      <c r="E224" s="218">
        <v>6</v>
      </c>
      <c r="F224" s="218">
        <v>36</v>
      </c>
      <c r="G224" s="218">
        <v>2478.15</v>
      </c>
      <c r="H224" s="218">
        <v>945.59</v>
      </c>
      <c r="I224" s="218">
        <v>0</v>
      </c>
      <c r="J224" s="218">
        <v>0</v>
      </c>
      <c r="K224" s="218">
        <v>0</v>
      </c>
      <c r="L224" s="218">
        <v>3864.27</v>
      </c>
      <c r="M224" s="218">
        <v>0</v>
      </c>
      <c r="N224" s="218">
        <f>1037.41+730.99+291.35</f>
        <v>2059.75</v>
      </c>
      <c r="O224" s="218"/>
      <c r="P224" s="218"/>
      <c r="Q224" s="218">
        <f t="shared" si="37"/>
        <v>9389.76</v>
      </c>
      <c r="R224" s="218">
        <f>+'[1]Gastos de viaje'!C7</f>
        <v>0</v>
      </c>
      <c r="S224" s="218">
        <f>+'[1]Gastos de viaje'!D7</f>
        <v>2275</v>
      </c>
      <c r="T224" s="218">
        <f>+'[1]Gastos de viaje'!E7</f>
        <v>3860</v>
      </c>
      <c r="U224" s="218">
        <f>+'[1]Gastos de viaje'!F7</f>
        <v>1860</v>
      </c>
      <c r="V224" s="218">
        <f>+'[1]Gastos de viaje'!G7</f>
        <v>2360</v>
      </c>
      <c r="W224" s="218">
        <f>+'[1]Gastos de viaje'!H7</f>
        <v>1030</v>
      </c>
      <c r="X224" s="218">
        <f>+'[1]Gastos de viaje'!I7</f>
        <v>3860</v>
      </c>
      <c r="Y224" s="218">
        <f>+'[1]Gastos de viaje'!J7</f>
        <v>2275</v>
      </c>
      <c r="Z224" s="218">
        <f>+'[1]Gastos de viaje'!K7</f>
        <v>2360</v>
      </c>
      <c r="AA224" s="218">
        <f>+'[1]Gastos de viaje'!L7</f>
        <v>1860</v>
      </c>
      <c r="AB224" s="218">
        <f>+'[1]Gastos de viaje'!M7</f>
        <v>5305</v>
      </c>
      <c r="AC224" s="218">
        <f>+'[1]Gastos de viaje'!N7</f>
        <v>0</v>
      </c>
      <c r="AG224" s="235"/>
      <c r="AH224" s="130"/>
      <c r="AI224" s="130"/>
    </row>
    <row r="225" spans="2:35" outlineLevel="1" x14ac:dyDescent="0.4">
      <c r="C225" s="220" t="s">
        <v>625</v>
      </c>
      <c r="D225" s="221">
        <v>0</v>
      </c>
      <c r="E225" s="218"/>
      <c r="F225" s="218"/>
      <c r="G225" s="218"/>
      <c r="H225" s="218"/>
      <c r="I225" s="218"/>
      <c r="J225" s="218"/>
      <c r="K225" s="218"/>
      <c r="L225" s="218">
        <v>3000</v>
      </c>
      <c r="M225" s="218">
        <v>3000</v>
      </c>
      <c r="N225" s="218">
        <v>3000</v>
      </c>
      <c r="O225" s="218">
        <v>3000</v>
      </c>
      <c r="P225" s="218">
        <v>3000</v>
      </c>
      <c r="Q225" s="218">
        <f t="shared" si="37"/>
        <v>15000</v>
      </c>
      <c r="R225" s="218">
        <v>3000</v>
      </c>
      <c r="S225" s="218">
        <v>3000</v>
      </c>
      <c r="T225" s="218">
        <v>3000</v>
      </c>
      <c r="U225" s="218">
        <v>3000</v>
      </c>
      <c r="V225" s="218">
        <v>3000</v>
      </c>
      <c r="W225" s="218">
        <v>3000</v>
      </c>
      <c r="X225" s="218">
        <v>3000</v>
      </c>
      <c r="Y225" s="218"/>
      <c r="Z225" s="218"/>
      <c r="AA225" s="218"/>
      <c r="AB225" s="218"/>
      <c r="AC225" s="219"/>
      <c r="AG225" s="130"/>
      <c r="AH225" s="130"/>
      <c r="AI225" s="130"/>
    </row>
    <row r="226" spans="2:35" outlineLevel="1" x14ac:dyDescent="0.4">
      <c r="C226" s="220" t="s">
        <v>626</v>
      </c>
      <c r="D226" s="221">
        <v>6.5000000000000002E-2</v>
      </c>
      <c r="E226" s="218"/>
      <c r="F226" s="218"/>
      <c r="G226" s="218"/>
      <c r="H226" s="218"/>
      <c r="I226" s="218"/>
      <c r="J226" s="218"/>
      <c r="K226" s="218">
        <v>0</v>
      </c>
      <c r="L226" s="218"/>
      <c r="M226" s="218"/>
      <c r="N226" s="218"/>
      <c r="O226" s="218">
        <f>+$D$226*N14</f>
        <v>0</v>
      </c>
      <c r="P226" s="218">
        <f>+$D$226*O14</f>
        <v>0</v>
      </c>
      <c r="Q226" s="218">
        <f t="shared" si="37"/>
        <v>0</v>
      </c>
      <c r="R226" s="218">
        <f>+$D$226*P14</f>
        <v>0</v>
      </c>
      <c r="S226" s="218">
        <f>50%*R15*6.5%+25%*R15*3.5%</f>
        <v>1651.1123275862076</v>
      </c>
      <c r="T226" s="218">
        <f t="shared" ref="T226:AC226" si="46">50%*S15*6.5%+25%*S15*3.5%</f>
        <v>2083.125</v>
      </c>
      <c r="U226" s="218">
        <f t="shared" si="46"/>
        <v>2330.625</v>
      </c>
      <c r="V226" s="218">
        <f t="shared" si="46"/>
        <v>2563.6875000000005</v>
      </c>
      <c r="W226" s="218">
        <f t="shared" si="46"/>
        <v>2820.0562500000005</v>
      </c>
      <c r="X226" s="218">
        <f t="shared" si="46"/>
        <v>3102.0618750000012</v>
      </c>
      <c r="Y226" s="218">
        <f t="shared" si="46"/>
        <v>3412.2680625000021</v>
      </c>
      <c r="Z226" s="218">
        <f t="shared" si="46"/>
        <v>3753.4948687500023</v>
      </c>
      <c r="AA226" s="218">
        <f t="shared" si="46"/>
        <v>4128.8443556250022</v>
      </c>
      <c r="AB226" s="218">
        <f t="shared" si="46"/>
        <v>4541.7287911875037</v>
      </c>
      <c r="AC226" s="218">
        <f t="shared" si="46"/>
        <v>4995.9016703062543</v>
      </c>
      <c r="AG226" s="130"/>
      <c r="AH226" s="130"/>
      <c r="AI226" s="130"/>
    </row>
    <row r="227" spans="2:35" outlineLevel="1" x14ac:dyDescent="0.4">
      <c r="C227" s="220" t="s">
        <v>627</v>
      </c>
      <c r="D227" s="221"/>
      <c r="E227" s="218"/>
      <c r="F227" s="218"/>
      <c r="G227" s="218"/>
      <c r="H227" s="218"/>
      <c r="I227" s="218"/>
      <c r="J227" s="218"/>
      <c r="K227" s="218"/>
      <c r="L227" s="218"/>
      <c r="M227" s="218"/>
      <c r="N227" s="218"/>
      <c r="O227" s="218"/>
      <c r="P227" s="218"/>
      <c r="Q227" s="218">
        <f t="shared" si="37"/>
        <v>0</v>
      </c>
      <c r="R227" s="218"/>
      <c r="S227" s="218"/>
      <c r="T227" s="218"/>
      <c r="U227" s="218"/>
      <c r="V227" s="218"/>
      <c r="W227" s="218"/>
      <c r="X227" s="218"/>
      <c r="Y227" s="218"/>
      <c r="Z227" s="218"/>
      <c r="AA227" s="218"/>
      <c r="AB227" s="218"/>
      <c r="AC227" s="219"/>
      <c r="AG227" s="130"/>
      <c r="AH227" s="130"/>
      <c r="AI227" s="130"/>
    </row>
    <row r="228" spans="2:35" outlineLevel="1" x14ac:dyDescent="0.4">
      <c r="C228" s="220" t="s">
        <v>628</v>
      </c>
      <c r="D228" s="221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>
        <f t="shared" si="37"/>
        <v>0</v>
      </c>
      <c r="R228" s="218"/>
      <c r="S228" s="218"/>
      <c r="T228" s="218"/>
      <c r="U228" s="218"/>
      <c r="V228" s="218"/>
      <c r="W228" s="218"/>
      <c r="X228" s="218"/>
      <c r="Y228" s="218"/>
      <c r="Z228" s="218"/>
      <c r="AA228" s="218"/>
      <c r="AB228" s="218"/>
      <c r="AC228" s="219"/>
      <c r="AG228" s="130"/>
      <c r="AH228" s="130"/>
      <c r="AI228" s="130"/>
    </row>
    <row r="229" spans="2:35" outlineLevel="1" x14ac:dyDescent="0.4">
      <c r="C229" s="220" t="s">
        <v>629</v>
      </c>
      <c r="D229" s="221">
        <v>6.0875478883775765E-2</v>
      </c>
      <c r="E229" s="218">
        <v>110.7</v>
      </c>
      <c r="F229" s="218">
        <v>861.54</v>
      </c>
      <c r="G229" s="218">
        <v>495.41</v>
      </c>
      <c r="H229" s="218">
        <v>341.88</v>
      </c>
      <c r="I229" s="218">
        <v>0</v>
      </c>
      <c r="J229" s="218">
        <v>607.33000000000004</v>
      </c>
      <c r="K229" s="218"/>
      <c r="L229" s="218"/>
      <c r="M229" s="218"/>
      <c r="N229" s="218"/>
      <c r="O229" s="218"/>
      <c r="P229" s="218"/>
      <c r="Q229" s="218">
        <f t="shared" si="37"/>
        <v>2416.86</v>
      </c>
      <c r="R229" s="218"/>
      <c r="S229" s="218"/>
      <c r="T229" s="218"/>
      <c r="U229" s="218"/>
      <c r="V229" s="218"/>
      <c r="W229" s="218"/>
      <c r="X229" s="218"/>
      <c r="Y229" s="218"/>
      <c r="Z229" s="218"/>
      <c r="AA229" s="218"/>
      <c r="AB229" s="218"/>
      <c r="AC229" s="219"/>
      <c r="AG229" s="130"/>
      <c r="AH229" s="130"/>
      <c r="AI229" s="130"/>
    </row>
    <row r="230" spans="2:35" outlineLevel="1" x14ac:dyDescent="0.4">
      <c r="C230" s="220" t="s">
        <v>630</v>
      </c>
      <c r="D230" s="221">
        <v>0.30393534785664095</v>
      </c>
      <c r="E230" s="218">
        <v>1956.79</v>
      </c>
      <c r="F230" s="218">
        <v>2013.48</v>
      </c>
      <c r="G230" s="218">
        <v>2343.0100000000002</v>
      </c>
      <c r="H230" s="218">
        <v>997.48</v>
      </c>
      <c r="I230" s="218">
        <v>3455.99</v>
      </c>
      <c r="J230" s="218">
        <v>1300</v>
      </c>
      <c r="K230" s="218"/>
      <c r="L230" s="218"/>
      <c r="M230" s="218"/>
      <c r="N230" s="218"/>
      <c r="O230" s="218"/>
      <c r="P230" s="218"/>
      <c r="Q230" s="218">
        <f t="shared" si="37"/>
        <v>12066.75</v>
      </c>
      <c r="R230" s="218"/>
      <c r="S230" s="218"/>
      <c r="T230" s="218"/>
      <c r="U230" s="218"/>
      <c r="V230" s="218"/>
      <c r="W230" s="218"/>
      <c r="X230" s="218"/>
      <c r="Y230" s="218"/>
      <c r="Z230" s="218"/>
      <c r="AA230" s="218"/>
      <c r="AB230" s="218"/>
      <c r="AC230" s="219"/>
      <c r="AG230" s="130"/>
      <c r="AH230" s="130"/>
      <c r="AI230" s="130"/>
    </row>
    <row r="231" spans="2:35" outlineLevel="1" x14ac:dyDescent="0.4">
      <c r="C231" s="220" t="s">
        <v>631</v>
      </c>
      <c r="D231" s="221">
        <v>2.7898553462446192E-2</v>
      </c>
      <c r="E231" s="218">
        <v>0</v>
      </c>
      <c r="F231" s="218">
        <v>0</v>
      </c>
      <c r="G231" s="218">
        <v>0</v>
      </c>
      <c r="H231" s="218">
        <v>1107.6199999999999</v>
      </c>
      <c r="I231" s="218">
        <v>0</v>
      </c>
      <c r="J231" s="218">
        <v>0</v>
      </c>
      <c r="K231" s="218"/>
      <c r="L231" s="218"/>
      <c r="M231" s="218"/>
      <c r="N231" s="218"/>
      <c r="O231" s="218"/>
      <c r="P231" s="218"/>
      <c r="Q231" s="218">
        <f t="shared" si="37"/>
        <v>1107.6199999999999</v>
      </c>
      <c r="R231" s="218"/>
      <c r="S231" s="218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9"/>
      <c r="AG231" s="130"/>
      <c r="AH231" s="130"/>
      <c r="AI231" s="130"/>
    </row>
    <row r="232" spans="2:35" outlineLevel="1" x14ac:dyDescent="0.4">
      <c r="C232" s="220" t="s">
        <v>632</v>
      </c>
      <c r="D232" s="221">
        <v>0.12718195946269303</v>
      </c>
      <c r="E232" s="218">
        <v>0</v>
      </c>
      <c r="F232" s="218">
        <v>0</v>
      </c>
      <c r="G232" s="218">
        <v>1746.94</v>
      </c>
      <c r="H232" s="218">
        <v>0</v>
      </c>
      <c r="I232" s="218">
        <v>3302.4</v>
      </c>
      <c r="J232" s="218">
        <v>0</v>
      </c>
      <c r="K232" s="218"/>
      <c r="L232" s="218"/>
      <c r="M232" s="218"/>
      <c r="N232" s="218"/>
      <c r="O232" s="218"/>
      <c r="P232" s="218"/>
      <c r="Q232" s="218">
        <f t="shared" si="37"/>
        <v>5049.34</v>
      </c>
      <c r="R232" s="218"/>
      <c r="S232" s="218"/>
      <c r="T232" s="218"/>
      <c r="U232" s="218"/>
      <c r="V232" s="218"/>
      <c r="W232" s="218"/>
      <c r="X232" s="218"/>
      <c r="Y232" s="218"/>
      <c r="Z232" s="218"/>
      <c r="AA232" s="218"/>
      <c r="AB232" s="218"/>
      <c r="AC232" s="219"/>
      <c r="AG232" s="130"/>
      <c r="AH232" s="130"/>
      <c r="AI232" s="130"/>
    </row>
    <row r="233" spans="2:35" outlineLevel="1" x14ac:dyDescent="0.4">
      <c r="C233" s="220" t="s">
        <v>633</v>
      </c>
      <c r="D233" s="221">
        <v>0.55000000000000004</v>
      </c>
      <c r="E233" s="218">
        <v>3210.73</v>
      </c>
      <c r="F233" s="218">
        <v>3188.26</v>
      </c>
      <c r="G233" s="218">
        <v>1707.02</v>
      </c>
      <c r="H233" s="218">
        <v>3473.46</v>
      </c>
      <c r="I233" s="218">
        <v>4557.0300000000007</v>
      </c>
      <c r="J233" s="218">
        <v>2924.63</v>
      </c>
      <c r="K233" s="218">
        <v>9464.09</v>
      </c>
      <c r="L233" s="218">
        <v>10651.9</v>
      </c>
      <c r="M233" s="218">
        <f>10872-39</f>
        <v>10833</v>
      </c>
      <c r="N233" s="218">
        <v>8509.92</v>
      </c>
      <c r="O233" s="218">
        <v>13145.14</v>
      </c>
      <c r="P233" s="218">
        <v>18343.23</v>
      </c>
      <c r="Q233" s="218">
        <f t="shared" si="37"/>
        <v>90008.409999999989</v>
      </c>
      <c r="R233" s="218">
        <f>+$D233*R$13</f>
        <v>12934.482758620685</v>
      </c>
      <c r="S233" s="218">
        <f t="shared" ref="S233:AC233" si="47">+$D233*S$13</f>
        <v>12650.000000000002</v>
      </c>
      <c r="T233" s="218">
        <f t="shared" si="47"/>
        <v>13200.000000000002</v>
      </c>
      <c r="U233" s="218">
        <f>+$D233*U$13</f>
        <v>14300.000000000002</v>
      </c>
      <c r="V233" s="218">
        <f t="shared" si="47"/>
        <v>14850.000000000002</v>
      </c>
      <c r="W233" s="218">
        <f t="shared" si="47"/>
        <v>15400.000000000002</v>
      </c>
      <c r="X233" s="218">
        <f t="shared" si="47"/>
        <v>15400.000000000002</v>
      </c>
      <c r="Y233" s="218">
        <f t="shared" si="47"/>
        <v>15950.000000000002</v>
      </c>
      <c r="Z233" s="218">
        <f t="shared" si="47"/>
        <v>17600</v>
      </c>
      <c r="AA233" s="218">
        <f t="shared" si="47"/>
        <v>18150</v>
      </c>
      <c r="AB233" s="218">
        <f t="shared" si="47"/>
        <v>18700</v>
      </c>
      <c r="AC233" s="219">
        <f t="shared" si="47"/>
        <v>19250</v>
      </c>
      <c r="AG233" s="130"/>
      <c r="AH233" s="130"/>
      <c r="AI233" s="130"/>
    </row>
    <row r="234" spans="2:35" outlineLevel="1" x14ac:dyDescent="0.4">
      <c r="B234" s="236"/>
      <c r="C234" s="220" t="s">
        <v>631</v>
      </c>
      <c r="D234" s="221">
        <v>0.16200000000000001</v>
      </c>
      <c r="E234" s="218"/>
      <c r="F234" s="218"/>
      <c r="G234" s="218"/>
      <c r="H234" s="218"/>
      <c r="I234" s="218"/>
      <c r="J234" s="218"/>
      <c r="K234" s="218">
        <v>490.53999999999996</v>
      </c>
      <c r="L234" s="218"/>
      <c r="M234" s="218"/>
      <c r="N234" s="218"/>
      <c r="O234" s="218"/>
      <c r="P234" s="218"/>
      <c r="Q234" s="218">
        <f t="shared" si="37"/>
        <v>490.53999999999996</v>
      </c>
      <c r="R234" s="218"/>
      <c r="S234" s="218"/>
      <c r="T234" s="218"/>
      <c r="U234" s="218"/>
      <c r="V234" s="218"/>
      <c r="W234" s="218"/>
      <c r="X234" s="218"/>
      <c r="Y234" s="218"/>
      <c r="Z234" s="218"/>
      <c r="AA234" s="218"/>
      <c r="AB234" s="218"/>
      <c r="AC234" s="219"/>
      <c r="AG234" s="130"/>
      <c r="AH234" s="130"/>
      <c r="AI234" s="130"/>
    </row>
    <row r="235" spans="2:35" outlineLevel="1" x14ac:dyDescent="0.4">
      <c r="B235" s="236"/>
      <c r="C235" s="220" t="s">
        <v>634</v>
      </c>
      <c r="D235" s="237"/>
      <c r="E235" s="218"/>
      <c r="F235" s="218"/>
      <c r="G235" s="218"/>
      <c r="H235" s="218"/>
      <c r="I235" s="218"/>
      <c r="J235" s="218"/>
      <c r="K235" s="218"/>
      <c r="L235" s="218"/>
      <c r="M235" s="218"/>
      <c r="N235" s="218"/>
      <c r="O235" s="218"/>
      <c r="P235" s="218"/>
      <c r="Q235" s="218">
        <f t="shared" si="37"/>
        <v>0</v>
      </c>
      <c r="R235" s="218"/>
      <c r="S235" s="218"/>
      <c r="T235" s="218"/>
      <c r="U235" s="218"/>
      <c r="V235" s="218"/>
      <c r="W235" s="218"/>
      <c r="X235" s="218"/>
      <c r="Y235" s="218"/>
      <c r="Z235" s="218"/>
      <c r="AA235" s="218"/>
      <c r="AB235" s="218"/>
      <c r="AC235" s="219"/>
      <c r="AG235" s="130"/>
      <c r="AH235" s="130"/>
      <c r="AI235" s="130"/>
    </row>
    <row r="236" spans="2:35" x14ac:dyDescent="0.4">
      <c r="C236" s="223" t="s">
        <v>635</v>
      </c>
      <c r="D236" s="224"/>
      <c r="E236" s="218">
        <f t="shared" ref="E236:AC236" si="48">+E193-E195</f>
        <v>-1774.989999999987</v>
      </c>
      <c r="F236" s="218">
        <f t="shared" si="48"/>
        <v>855.34999999999127</v>
      </c>
      <c r="G236" s="218">
        <f t="shared" si="48"/>
        <v>-5610.3500000000058</v>
      </c>
      <c r="H236" s="218">
        <f t="shared" si="48"/>
        <v>-3339.9600000000064</v>
      </c>
      <c r="I236" s="218">
        <f t="shared" si="48"/>
        <v>-10302.910000000018</v>
      </c>
      <c r="J236" s="218">
        <f t="shared" si="48"/>
        <v>-7056.71000000001</v>
      </c>
      <c r="K236" s="218">
        <f t="shared" si="48"/>
        <v>1551.7683802243191</v>
      </c>
      <c r="L236" s="218">
        <f t="shared" si="48"/>
        <v>-21540.075789190083</v>
      </c>
      <c r="M236" s="218">
        <f t="shared" si="48"/>
        <v>-7459.7799999999988</v>
      </c>
      <c r="N236" s="218">
        <f t="shared" si="48"/>
        <v>-9959.6699999999946</v>
      </c>
      <c r="O236" s="218">
        <f t="shared" si="48"/>
        <v>6128.166999999994</v>
      </c>
      <c r="P236" s="218">
        <f t="shared" si="48"/>
        <v>-12662.529999999999</v>
      </c>
      <c r="Q236" s="218">
        <f t="shared" si="48"/>
        <v>-71171.690408965747</v>
      </c>
      <c r="R236" s="218">
        <f t="shared" si="48"/>
        <v>-3069.4810727164586</v>
      </c>
      <c r="S236" s="218">
        <f t="shared" si="48"/>
        <v>-7826.9180223408039</v>
      </c>
      <c r="T236" s="218">
        <f t="shared" si="48"/>
        <v>-7668.1898407797125</v>
      </c>
      <c r="U236" s="218">
        <f t="shared" si="48"/>
        <v>-4947.0823618650247</v>
      </c>
      <c r="V236" s="218">
        <f t="shared" si="48"/>
        <v>-4165.2978355196465</v>
      </c>
      <c r="W236" s="218">
        <f t="shared" si="48"/>
        <v>-1439.93042068879</v>
      </c>
      <c r="X236" s="218">
        <f t="shared" si="48"/>
        <v>-2878.8719757954823</v>
      </c>
      <c r="Y236" s="218">
        <f t="shared" si="48"/>
        <v>363.49860336347047</v>
      </c>
      <c r="Z236" s="218">
        <f t="shared" si="48"/>
        <v>2344.8968496110174</v>
      </c>
      <c r="AA236" s="218">
        <f t="shared" si="48"/>
        <v>1818.7252503793425</v>
      </c>
      <c r="AB236" s="218">
        <f t="shared" si="48"/>
        <v>3529.6637039525667</v>
      </c>
      <c r="AC236" s="219">
        <f t="shared" si="48"/>
        <v>11190.758047193362</v>
      </c>
      <c r="AG236" s="130"/>
      <c r="AH236" s="130"/>
      <c r="AI236" s="130"/>
    </row>
    <row r="237" spans="2:35" s="172" customFormat="1" x14ac:dyDescent="0.4">
      <c r="B237" s="226"/>
      <c r="C237" s="227" t="s">
        <v>636</v>
      </c>
      <c r="D237" s="228"/>
      <c r="E237" s="238">
        <f t="shared" ref="E237:AC237" si="49">+E236/E17</f>
        <v>-5.3546535217980494E-2</v>
      </c>
      <c r="F237" s="238">
        <f t="shared" si="49"/>
        <v>2.8264587068046541E-2</v>
      </c>
      <c r="G237" s="238">
        <f t="shared" si="49"/>
        <v>-0.18916933206823722</v>
      </c>
      <c r="H237" s="238">
        <f t="shared" si="49"/>
        <v>-8.3278790059385627E-2</v>
      </c>
      <c r="I237" s="238">
        <f t="shared" si="49"/>
        <v>-0.24492785940262135</v>
      </c>
      <c r="J237" s="238">
        <f t="shared" si="49"/>
        <v>-0.16538604592516545</v>
      </c>
      <c r="K237" s="238">
        <f t="shared" si="49"/>
        <v>3.0902216135601294E-2</v>
      </c>
      <c r="L237" s="238">
        <f t="shared" si="49"/>
        <v>-0.68394220452118126</v>
      </c>
      <c r="M237" s="238">
        <f t="shared" si="49"/>
        <v>-0.22336676947031167</v>
      </c>
      <c r="N237" s="238">
        <f t="shared" si="49"/>
        <v>-0.18861582455874545</v>
      </c>
      <c r="O237" s="238">
        <f t="shared" si="49"/>
        <v>9.0432017598582631E-2</v>
      </c>
      <c r="P237" s="238">
        <f t="shared" si="49"/>
        <v>-0.26260457496007794</v>
      </c>
      <c r="Q237" s="238">
        <f t="shared" si="49"/>
        <v>-0.141832082684131</v>
      </c>
      <c r="R237" s="238">
        <f t="shared" si="49"/>
        <v>-4.4781042945744198E-2</v>
      </c>
      <c r="S237" s="238">
        <f t="shared" si="49"/>
        <v>-8.4706905003688354E-2</v>
      </c>
      <c r="T237" s="238">
        <f t="shared" si="49"/>
        <v>-8.3805353451144399E-2</v>
      </c>
      <c r="U237" s="238">
        <f t="shared" si="49"/>
        <v>-4.6167536389949367E-2</v>
      </c>
      <c r="V237" s="238">
        <f t="shared" si="49"/>
        <v>-3.5839043312406317E-2</v>
      </c>
      <c r="W237" s="238">
        <f t="shared" si="49"/>
        <v>-1.1419584625043272E-2</v>
      </c>
      <c r="X237" s="238">
        <f t="shared" si="49"/>
        <v>-2.1191979246024322E-2</v>
      </c>
      <c r="Y237" s="238">
        <f t="shared" si="49"/>
        <v>2.4631785369444714E-3</v>
      </c>
      <c r="Z237" s="238">
        <f t="shared" si="49"/>
        <v>1.4441939876008633E-2</v>
      </c>
      <c r="AA237" s="238">
        <f t="shared" si="49"/>
        <v>1.0313955419889508E-2</v>
      </c>
      <c r="AB237" s="238">
        <f t="shared" si="49"/>
        <v>1.842226316511154E-2</v>
      </c>
      <c r="AC237" s="239">
        <f t="shared" si="49"/>
        <v>5.3729347264372715E-2</v>
      </c>
      <c r="AD237" s="231"/>
      <c r="AG237" s="232"/>
      <c r="AH237" s="232"/>
      <c r="AI237" s="232"/>
    </row>
    <row r="238" spans="2:35" hidden="1" outlineLevel="1" x14ac:dyDescent="0.4">
      <c r="C238" s="216" t="s">
        <v>498</v>
      </c>
      <c r="D238" s="240"/>
      <c r="E238" s="218">
        <v>0</v>
      </c>
      <c r="F238" s="218">
        <v>0</v>
      </c>
      <c r="G238" s="218">
        <v>0</v>
      </c>
      <c r="H238" s="218">
        <v>0</v>
      </c>
      <c r="I238" s="218">
        <v>0</v>
      </c>
      <c r="J238" s="218">
        <v>0</v>
      </c>
      <c r="K238" s="218">
        <v>0</v>
      </c>
      <c r="L238" s="218">
        <f t="shared" ref="L238:AC238" si="50">+L37</f>
        <v>0</v>
      </c>
      <c r="M238" s="218">
        <f t="shared" si="50"/>
        <v>0</v>
      </c>
      <c r="N238" s="218">
        <f t="shared" si="50"/>
        <v>0</v>
      </c>
      <c r="O238" s="218">
        <f t="shared" si="50"/>
        <v>0</v>
      </c>
      <c r="P238" s="218">
        <f t="shared" si="50"/>
        <v>0</v>
      </c>
      <c r="Q238" s="218">
        <f t="shared" si="50"/>
        <v>0</v>
      </c>
      <c r="R238" s="218">
        <f t="shared" si="50"/>
        <v>0</v>
      </c>
      <c r="S238" s="218">
        <f t="shared" si="50"/>
        <v>0</v>
      </c>
      <c r="T238" s="218">
        <f t="shared" si="50"/>
        <v>0</v>
      </c>
      <c r="U238" s="218">
        <f t="shared" si="50"/>
        <v>0</v>
      </c>
      <c r="V238" s="218">
        <f t="shared" si="50"/>
        <v>0</v>
      </c>
      <c r="W238" s="218">
        <f t="shared" si="50"/>
        <v>0</v>
      </c>
      <c r="X238" s="218">
        <f t="shared" si="50"/>
        <v>0</v>
      </c>
      <c r="Y238" s="218">
        <f t="shared" si="50"/>
        <v>0</v>
      </c>
      <c r="Z238" s="218">
        <f t="shared" si="50"/>
        <v>0</v>
      </c>
      <c r="AA238" s="218">
        <f t="shared" si="50"/>
        <v>0</v>
      </c>
      <c r="AB238" s="218">
        <f t="shared" si="50"/>
        <v>0</v>
      </c>
      <c r="AC238" s="219">
        <f t="shared" si="50"/>
        <v>851.60416666666663</v>
      </c>
      <c r="AG238" s="130"/>
      <c r="AH238" s="130"/>
      <c r="AI238" s="130"/>
    </row>
    <row r="239" spans="2:35" hidden="1" outlineLevel="1" x14ac:dyDescent="0.4">
      <c r="C239" s="216" t="s">
        <v>637</v>
      </c>
      <c r="D239" s="240"/>
      <c r="E239" s="218">
        <v>0</v>
      </c>
      <c r="F239" s="218">
        <v>0</v>
      </c>
      <c r="G239" s="218">
        <v>0</v>
      </c>
      <c r="H239" s="218">
        <v>0</v>
      </c>
      <c r="I239" s="218">
        <v>0</v>
      </c>
      <c r="J239" s="218">
        <v>0</v>
      </c>
      <c r="K239" s="218">
        <v>0</v>
      </c>
      <c r="L239" s="218">
        <v>0</v>
      </c>
      <c r="M239" s="218">
        <v>0</v>
      </c>
      <c r="N239" s="218">
        <v>0</v>
      </c>
      <c r="O239" s="218">
        <v>0</v>
      </c>
      <c r="P239" s="218">
        <v>0</v>
      </c>
      <c r="Q239" s="218">
        <v>0</v>
      </c>
      <c r="R239" s="218">
        <v>0</v>
      </c>
      <c r="S239" s="218">
        <v>0</v>
      </c>
      <c r="T239" s="218">
        <v>0</v>
      </c>
      <c r="U239" s="218">
        <v>0</v>
      </c>
      <c r="V239" s="218">
        <v>0</v>
      </c>
      <c r="W239" s="218">
        <v>0</v>
      </c>
      <c r="X239" s="218">
        <v>0</v>
      </c>
      <c r="Y239" s="218">
        <v>0</v>
      </c>
      <c r="Z239" s="218">
        <v>0</v>
      </c>
      <c r="AA239" s="218">
        <v>0</v>
      </c>
      <c r="AB239" s="218">
        <v>0</v>
      </c>
      <c r="AC239" s="219">
        <v>0</v>
      </c>
      <c r="AG239" s="130"/>
      <c r="AH239" s="130"/>
      <c r="AI239" s="130"/>
    </row>
    <row r="240" spans="2:35" collapsed="1" x14ac:dyDescent="0.4">
      <c r="C240" s="216" t="s">
        <v>638</v>
      </c>
      <c r="D240" s="240"/>
      <c r="E240" s="218">
        <f t="shared" ref="E240:AC240" si="51">+E236-E238-E239</f>
        <v>-1774.989999999987</v>
      </c>
      <c r="F240" s="218">
        <f t="shared" si="51"/>
        <v>855.34999999999127</v>
      </c>
      <c r="G240" s="218">
        <f t="shared" si="51"/>
        <v>-5610.3500000000058</v>
      </c>
      <c r="H240" s="218">
        <f t="shared" si="51"/>
        <v>-3339.9600000000064</v>
      </c>
      <c r="I240" s="218">
        <f t="shared" si="51"/>
        <v>-10302.910000000018</v>
      </c>
      <c r="J240" s="218">
        <f t="shared" si="51"/>
        <v>-7056.71000000001</v>
      </c>
      <c r="K240" s="218">
        <f t="shared" si="51"/>
        <v>1551.7683802243191</v>
      </c>
      <c r="L240" s="218">
        <f t="shared" si="51"/>
        <v>-21540.075789190083</v>
      </c>
      <c r="M240" s="218">
        <f t="shared" si="51"/>
        <v>-7459.7799999999988</v>
      </c>
      <c r="N240" s="218">
        <f t="shared" si="51"/>
        <v>-9959.6699999999946</v>
      </c>
      <c r="O240" s="218">
        <f t="shared" si="51"/>
        <v>6128.166999999994</v>
      </c>
      <c r="P240" s="218">
        <f t="shared" si="51"/>
        <v>-12662.529999999999</v>
      </c>
      <c r="Q240" s="218">
        <f>+SUM(E240:P240)</f>
        <v>-71171.690408965806</v>
      </c>
      <c r="R240" s="218">
        <f t="shared" si="51"/>
        <v>-3069.4810727164586</v>
      </c>
      <c r="S240" s="218">
        <f t="shared" si="51"/>
        <v>-7826.9180223408039</v>
      </c>
      <c r="T240" s="218">
        <f t="shared" si="51"/>
        <v>-7668.1898407797125</v>
      </c>
      <c r="U240" s="218">
        <f t="shared" si="51"/>
        <v>-4947.0823618650247</v>
      </c>
      <c r="V240" s="218">
        <f t="shared" si="51"/>
        <v>-4165.2978355196465</v>
      </c>
      <c r="W240" s="218">
        <f t="shared" si="51"/>
        <v>-1439.93042068879</v>
      </c>
      <c r="X240" s="218">
        <f t="shared" si="51"/>
        <v>-2878.8719757954823</v>
      </c>
      <c r="Y240" s="218">
        <f t="shared" si="51"/>
        <v>363.49860336347047</v>
      </c>
      <c r="Z240" s="218">
        <f t="shared" si="51"/>
        <v>2344.8968496110174</v>
      </c>
      <c r="AA240" s="218">
        <f t="shared" si="51"/>
        <v>1818.7252503793425</v>
      </c>
      <c r="AB240" s="218">
        <f t="shared" si="51"/>
        <v>3529.6637039525667</v>
      </c>
      <c r="AC240" s="219">
        <f t="shared" si="51"/>
        <v>10339.153880526696</v>
      </c>
      <c r="AE240" s="241"/>
    </row>
    <row r="241" spans="2:35" ht="16.5" customHeight="1" x14ac:dyDescent="0.4">
      <c r="C241" s="242" t="s">
        <v>639</v>
      </c>
      <c r="D241" s="240"/>
      <c r="E241" s="218">
        <v>116.4</v>
      </c>
      <c r="F241" s="218">
        <v>99.78</v>
      </c>
      <c r="G241" s="218">
        <v>82.83</v>
      </c>
      <c r="H241" s="218">
        <v>-303</v>
      </c>
      <c r="I241" s="218">
        <v>176.05</v>
      </c>
      <c r="J241" s="218">
        <v>176.53</v>
      </c>
      <c r="K241" s="218">
        <v>177.99</v>
      </c>
      <c r="L241" s="218">
        <v>173.12</v>
      </c>
      <c r="M241" s="218">
        <v>262.8</v>
      </c>
      <c r="N241" s="218">
        <v>260</v>
      </c>
      <c r="O241" s="218">
        <v>405.09</v>
      </c>
      <c r="P241" s="218">
        <v>315.37</v>
      </c>
      <c r="Q241" s="218">
        <f>+SUM(E241:P241)</f>
        <v>1942.96</v>
      </c>
      <c r="R241" s="218">
        <v>180</v>
      </c>
      <c r="S241" s="218">
        <v>180</v>
      </c>
      <c r="T241" s="218">
        <v>180</v>
      </c>
      <c r="U241" s="218">
        <v>180</v>
      </c>
      <c r="V241" s="218">
        <v>180</v>
      </c>
      <c r="W241" s="218">
        <v>180</v>
      </c>
      <c r="X241" s="218">
        <v>180</v>
      </c>
      <c r="Y241" s="218">
        <v>180</v>
      </c>
      <c r="Z241" s="218">
        <v>180</v>
      </c>
      <c r="AA241" s="218">
        <v>180</v>
      </c>
      <c r="AB241" s="218">
        <v>180</v>
      </c>
      <c r="AC241" s="219">
        <v>180</v>
      </c>
    </row>
    <row r="242" spans="2:35" ht="16.5" customHeight="1" x14ac:dyDescent="0.4">
      <c r="C242" s="242" t="s">
        <v>640</v>
      </c>
      <c r="D242" s="240"/>
      <c r="E242" s="218"/>
      <c r="F242" s="218"/>
      <c r="G242" s="218"/>
      <c r="H242" s="218"/>
      <c r="I242" s="218"/>
      <c r="J242" s="218"/>
      <c r="K242" s="218"/>
      <c r="L242" s="218"/>
      <c r="M242" s="218"/>
      <c r="N242" s="218"/>
      <c r="O242" s="218"/>
      <c r="P242" s="218"/>
      <c r="Q242" s="218"/>
      <c r="R242" s="218"/>
      <c r="S242" s="218"/>
      <c r="T242" s="218"/>
      <c r="U242" s="218"/>
      <c r="V242" s="218"/>
      <c r="W242" s="218"/>
      <c r="X242" s="218"/>
      <c r="Y242" s="218"/>
      <c r="Z242" s="218"/>
      <c r="AA242" s="218"/>
      <c r="AB242" s="218"/>
      <c r="AC242" s="219"/>
      <c r="AD242" s="111"/>
      <c r="AE242" s="111"/>
      <c r="AF242" s="111"/>
      <c r="AG242" s="111"/>
      <c r="AH242" s="111"/>
    </row>
    <row r="243" spans="2:35" x14ac:dyDescent="0.4">
      <c r="C243" s="223" t="s">
        <v>641</v>
      </c>
      <c r="D243" s="224"/>
      <c r="E243" s="218">
        <f>+E240-E241-E242</f>
        <v>-1891.3899999999871</v>
      </c>
      <c r="F243" s="218">
        <f t="shared" ref="F243:AC243" si="52">+F240-F241-F242</f>
        <v>755.5699999999913</v>
      </c>
      <c r="G243" s="218">
        <f t="shared" si="52"/>
        <v>-5693.1800000000057</v>
      </c>
      <c r="H243" s="218">
        <f t="shared" si="52"/>
        <v>-3036.9600000000064</v>
      </c>
      <c r="I243" s="218">
        <f t="shared" si="52"/>
        <v>-10478.960000000017</v>
      </c>
      <c r="J243" s="218">
        <f t="shared" si="52"/>
        <v>-7233.2400000000098</v>
      </c>
      <c r="K243" s="218">
        <f t="shared" si="52"/>
        <v>1373.7783802243191</v>
      </c>
      <c r="L243" s="218">
        <f t="shared" si="52"/>
        <v>-21713.195789190082</v>
      </c>
      <c r="M243" s="218">
        <f>+M240-M241-M242</f>
        <v>-7722.579999999999</v>
      </c>
      <c r="N243" s="218">
        <f t="shared" si="52"/>
        <v>-10219.669999999995</v>
      </c>
      <c r="O243" s="218">
        <f t="shared" si="52"/>
        <v>5723.0769999999939</v>
      </c>
      <c r="P243" s="218">
        <f t="shared" si="52"/>
        <v>-12977.9</v>
      </c>
      <c r="Q243" s="218">
        <f t="shared" si="52"/>
        <v>-73114.650408965812</v>
      </c>
      <c r="R243" s="218">
        <f t="shared" si="52"/>
        <v>-3249.4810727164586</v>
      </c>
      <c r="S243" s="218">
        <f t="shared" si="52"/>
        <v>-8006.9180223408039</v>
      </c>
      <c r="T243" s="218">
        <f t="shared" si="52"/>
        <v>-7848.1898407797125</v>
      </c>
      <c r="U243" s="218">
        <f t="shared" si="52"/>
        <v>-5127.0823618650247</v>
      </c>
      <c r="V243" s="218">
        <f t="shared" si="52"/>
        <v>-4345.2978355196465</v>
      </c>
      <c r="W243" s="218">
        <f t="shared" si="52"/>
        <v>-1619.93042068879</v>
      </c>
      <c r="X243" s="218">
        <f t="shared" si="52"/>
        <v>-3058.8719757954823</v>
      </c>
      <c r="Y243" s="218">
        <f t="shared" si="52"/>
        <v>183.49860336347047</v>
      </c>
      <c r="Z243" s="218">
        <f t="shared" si="52"/>
        <v>2164.8968496110174</v>
      </c>
      <c r="AA243" s="218">
        <f t="shared" si="52"/>
        <v>1638.7252503793425</v>
      </c>
      <c r="AB243" s="218">
        <f t="shared" si="52"/>
        <v>3349.6637039525667</v>
      </c>
      <c r="AC243" s="219">
        <f t="shared" si="52"/>
        <v>10159.153880526696</v>
      </c>
    </row>
    <row r="244" spans="2:35" s="172" customFormat="1" x14ac:dyDescent="0.4">
      <c r="B244" s="226"/>
      <c r="C244" s="227" t="s">
        <v>642</v>
      </c>
      <c r="D244" s="228"/>
      <c r="E244" s="238">
        <f t="shared" ref="E244:AC244" si="53">+E243/E17</f>
        <v>-5.7058001028702232E-2</v>
      </c>
      <c r="F244" s="238">
        <f t="shared" si="53"/>
        <v>2.4967409891861692E-2</v>
      </c>
      <c r="G244" s="238">
        <f t="shared" si="53"/>
        <v>-0.19196218737587614</v>
      </c>
      <c r="H244" s="238">
        <f t="shared" si="53"/>
        <v>-7.5723767427978719E-2</v>
      </c>
      <c r="I244" s="238">
        <f t="shared" si="53"/>
        <v>-0.24911304103070811</v>
      </c>
      <c r="J244" s="238">
        <f t="shared" si="53"/>
        <v>-0.16952332784367555</v>
      </c>
      <c r="K244" s="238">
        <f t="shared" si="53"/>
        <v>2.7357688795006448E-2</v>
      </c>
      <c r="L244" s="238">
        <f t="shared" si="53"/>
        <v>-0.68943912456944445</v>
      </c>
      <c r="M244" s="238">
        <f t="shared" si="53"/>
        <v>-0.2312357397371021</v>
      </c>
      <c r="N244" s="238">
        <f t="shared" si="53"/>
        <v>-0.1935396939625785</v>
      </c>
      <c r="O244" s="238">
        <f t="shared" si="53"/>
        <v>8.4454193232991762E-2</v>
      </c>
      <c r="P244" s="238">
        <f t="shared" si="53"/>
        <v>-0.2691449428648458</v>
      </c>
      <c r="Q244" s="238">
        <f t="shared" si="53"/>
        <v>-0.14570404444011106</v>
      </c>
      <c r="R244" s="238">
        <f t="shared" si="53"/>
        <v>-4.7407085439337561E-2</v>
      </c>
      <c r="S244" s="238">
        <f t="shared" si="53"/>
        <v>-8.6654956951740303E-2</v>
      </c>
      <c r="T244" s="238">
        <f t="shared" si="53"/>
        <v>-8.5772566565898503E-2</v>
      </c>
      <c r="U244" s="238">
        <f t="shared" si="53"/>
        <v>-4.7847346011525592E-2</v>
      </c>
      <c r="V244" s="238">
        <f t="shared" si="53"/>
        <v>-3.7387798779835772E-2</v>
      </c>
      <c r="W244" s="238">
        <f t="shared" si="53"/>
        <v>-1.2847101679321859E-2</v>
      </c>
      <c r="X244" s="238">
        <f t="shared" si="53"/>
        <v>-2.2516996925294464E-2</v>
      </c>
      <c r="Y244" s="238">
        <f t="shared" si="53"/>
        <v>1.2434430756594467E-3</v>
      </c>
      <c r="Z244" s="238">
        <f t="shared" si="53"/>
        <v>1.3333341355731384E-2</v>
      </c>
      <c r="AA244" s="238">
        <f t="shared" si="53"/>
        <v>9.2931789308662825E-3</v>
      </c>
      <c r="AB244" s="238">
        <f t="shared" si="53"/>
        <v>1.7482794805560243E-2</v>
      </c>
      <c r="AC244" s="239">
        <f t="shared" si="53"/>
        <v>4.8776383553026249E-2</v>
      </c>
      <c r="AD244" s="231"/>
      <c r="AG244" s="232"/>
      <c r="AH244" s="232"/>
      <c r="AI244" s="232"/>
    </row>
    <row r="245" spans="2:35" x14ac:dyDescent="0.4">
      <c r="C245" s="223" t="s">
        <v>643</v>
      </c>
      <c r="D245" s="224"/>
      <c r="E245" s="218">
        <v>290.31</v>
      </c>
      <c r="F245" s="218">
        <v>400.18</v>
      </c>
      <c r="G245" s="218">
        <v>446.01000000000005</v>
      </c>
      <c r="H245" s="218">
        <v>721.11</v>
      </c>
      <c r="I245" s="218">
        <v>699.44</v>
      </c>
      <c r="J245" s="218">
        <v>314.66000000000003</v>
      </c>
      <c r="K245" s="218">
        <v>538.52</v>
      </c>
      <c r="L245" s="218">
        <v>0</v>
      </c>
      <c r="M245" s="218">
        <v>0</v>
      </c>
      <c r="N245" s="218">
        <v>0</v>
      </c>
      <c r="O245" s="218">
        <v>0</v>
      </c>
      <c r="P245" s="218">
        <v>0</v>
      </c>
      <c r="Q245" s="218">
        <v>0</v>
      </c>
      <c r="R245" s="218">
        <v>0</v>
      </c>
      <c r="S245" s="218">
        <v>0</v>
      </c>
      <c r="T245" s="218">
        <v>0</v>
      </c>
      <c r="U245" s="218">
        <v>0</v>
      </c>
      <c r="V245" s="218">
        <v>0</v>
      </c>
      <c r="W245" s="218">
        <v>0</v>
      </c>
      <c r="X245" s="218">
        <v>0</v>
      </c>
      <c r="Y245" s="218">
        <v>0</v>
      </c>
      <c r="Z245" s="218">
        <v>0</v>
      </c>
      <c r="AA245" s="218">
        <v>0</v>
      </c>
      <c r="AB245" s="218">
        <v>0</v>
      </c>
      <c r="AC245" s="219">
        <v>0</v>
      </c>
    </row>
    <row r="246" spans="2:35" x14ac:dyDescent="0.4">
      <c r="C246" s="216" t="s">
        <v>644</v>
      </c>
      <c r="D246" s="243"/>
      <c r="E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18"/>
      <c r="P246" s="218"/>
      <c r="Q246" s="218"/>
      <c r="R246" s="218">
        <f>+IF(R243&lt;0,0,R243*20%)</f>
        <v>0</v>
      </c>
      <c r="S246" s="218">
        <f t="shared" ref="S246:AC246" si="54">+IF(S243&lt;0,0,S243*20%)</f>
        <v>0</v>
      </c>
      <c r="T246" s="218">
        <f t="shared" si="54"/>
        <v>0</v>
      </c>
      <c r="U246" s="218">
        <f t="shared" si="54"/>
        <v>0</v>
      </c>
      <c r="V246" s="218">
        <f t="shared" si="54"/>
        <v>0</v>
      </c>
      <c r="W246" s="218">
        <f t="shared" si="54"/>
        <v>0</v>
      </c>
      <c r="X246" s="218">
        <f t="shared" si="54"/>
        <v>0</v>
      </c>
      <c r="Y246" s="218">
        <f t="shared" si="54"/>
        <v>36.699720672694092</v>
      </c>
      <c r="Z246" s="218">
        <f t="shared" si="54"/>
        <v>432.97936992220349</v>
      </c>
      <c r="AA246" s="218">
        <f t="shared" si="54"/>
        <v>327.74505007586851</v>
      </c>
      <c r="AB246" s="218">
        <f t="shared" si="54"/>
        <v>669.93274079051344</v>
      </c>
      <c r="AC246" s="218">
        <f t="shared" si="54"/>
        <v>2031.8307761053393</v>
      </c>
    </row>
    <row r="247" spans="2:35" x14ac:dyDescent="0.4">
      <c r="C247" s="244" t="s">
        <v>645</v>
      </c>
      <c r="D247" s="245"/>
      <c r="E247" s="246">
        <f>+E243-E246+E245</f>
        <v>-1601.0799999999872</v>
      </c>
      <c r="F247" s="246">
        <f t="shared" ref="F247:AC247" si="55">+F243-F246+F245</f>
        <v>1155.7499999999914</v>
      </c>
      <c r="G247" s="246">
        <f t="shared" si="55"/>
        <v>-5247.1700000000055</v>
      </c>
      <c r="H247" s="246">
        <f t="shared" si="55"/>
        <v>-2315.8500000000063</v>
      </c>
      <c r="I247" s="246">
        <f t="shared" si="55"/>
        <v>-9779.5200000000168</v>
      </c>
      <c r="J247" s="246">
        <f t="shared" si="55"/>
        <v>-6918.5800000000099</v>
      </c>
      <c r="K247" s="246">
        <f>+K243-K246+K245</f>
        <v>1912.2983802243191</v>
      </c>
      <c r="L247" s="246">
        <f t="shared" si="55"/>
        <v>-21713.195789190082</v>
      </c>
      <c r="M247" s="246">
        <f t="shared" si="55"/>
        <v>-7722.579999999999</v>
      </c>
      <c r="N247" s="246">
        <f t="shared" si="55"/>
        <v>-10219.669999999995</v>
      </c>
      <c r="O247" s="246">
        <f t="shared" si="55"/>
        <v>5723.0769999999939</v>
      </c>
      <c r="P247" s="246">
        <f t="shared" si="55"/>
        <v>-12977.9</v>
      </c>
      <c r="Q247" s="246">
        <f t="shared" si="55"/>
        <v>-73114.650408965812</v>
      </c>
      <c r="R247" s="246">
        <f t="shared" si="55"/>
        <v>-3249.4810727164586</v>
      </c>
      <c r="S247" s="246">
        <f t="shared" si="55"/>
        <v>-8006.9180223408039</v>
      </c>
      <c r="T247" s="246">
        <f t="shared" si="55"/>
        <v>-7848.1898407797125</v>
      </c>
      <c r="U247" s="246">
        <f t="shared" si="55"/>
        <v>-5127.0823618650247</v>
      </c>
      <c r="V247" s="246">
        <f t="shared" si="55"/>
        <v>-4345.2978355196465</v>
      </c>
      <c r="W247" s="246">
        <f t="shared" si="55"/>
        <v>-1619.93042068879</v>
      </c>
      <c r="X247" s="246">
        <f t="shared" si="55"/>
        <v>-3058.8719757954823</v>
      </c>
      <c r="Y247" s="246">
        <f t="shared" si="55"/>
        <v>146.79888269077637</v>
      </c>
      <c r="Z247" s="246">
        <f t="shared" si="55"/>
        <v>1731.917479688814</v>
      </c>
      <c r="AA247" s="246">
        <f t="shared" si="55"/>
        <v>1310.980200303474</v>
      </c>
      <c r="AB247" s="246">
        <f t="shared" si="55"/>
        <v>2679.7309631620533</v>
      </c>
      <c r="AC247" s="247">
        <f t="shared" si="55"/>
        <v>8127.3231044213562</v>
      </c>
      <c r="AF247" s="112"/>
      <c r="AG247" s="109"/>
    </row>
    <row r="248" spans="2:35" s="172" customFormat="1" x14ac:dyDescent="0.4">
      <c r="B248" s="226"/>
      <c r="C248" s="248" t="s">
        <v>703</v>
      </c>
      <c r="D248" s="249"/>
      <c r="E248" s="250">
        <f t="shared" ref="E248:AC248" si="56">+E247/E17</f>
        <v>-4.8300151892012998E-2</v>
      </c>
      <c r="F248" s="250">
        <f t="shared" si="56"/>
        <v>3.8191145734371754E-2</v>
      </c>
      <c r="G248" s="250">
        <f t="shared" si="56"/>
        <v>-0.17692365790877437</v>
      </c>
      <c r="H248" s="250">
        <f t="shared" si="56"/>
        <v>-5.7743561587273007E-2</v>
      </c>
      <c r="I248" s="250">
        <f t="shared" si="56"/>
        <v>-0.23248547251069102</v>
      </c>
      <c r="J248" s="250">
        <f t="shared" si="56"/>
        <v>-0.16214873356237272</v>
      </c>
      <c r="K248" s="250">
        <f t="shared" si="56"/>
        <v>3.8081880398226492E-2</v>
      </c>
      <c r="L248" s="250">
        <f t="shared" si="56"/>
        <v>-0.68943912456944445</v>
      </c>
      <c r="M248" s="250">
        <f t="shared" si="56"/>
        <v>-0.2312357397371021</v>
      </c>
      <c r="N248" s="250">
        <f t="shared" si="56"/>
        <v>-0.1935396939625785</v>
      </c>
      <c r="O248" s="250">
        <f t="shared" si="56"/>
        <v>8.4454193232991762E-2</v>
      </c>
      <c r="P248" s="250">
        <f t="shared" si="56"/>
        <v>-0.2691449428648458</v>
      </c>
      <c r="Q248" s="250">
        <f t="shared" si="56"/>
        <v>-0.14570404444011106</v>
      </c>
      <c r="R248" s="250">
        <f t="shared" si="56"/>
        <v>-4.7407085439337561E-2</v>
      </c>
      <c r="S248" s="250">
        <f t="shared" si="56"/>
        <v>-8.6654956951740303E-2</v>
      </c>
      <c r="T248" s="250">
        <f t="shared" si="56"/>
        <v>-8.5772566565898503E-2</v>
      </c>
      <c r="U248" s="250">
        <f t="shared" si="56"/>
        <v>-4.7847346011525592E-2</v>
      </c>
      <c r="V248" s="250">
        <f t="shared" si="56"/>
        <v>-3.7387798779835772E-2</v>
      </c>
      <c r="W248" s="250">
        <f t="shared" si="56"/>
        <v>-1.2847101679321859E-2</v>
      </c>
      <c r="X248" s="250">
        <f t="shared" si="56"/>
        <v>-2.2516996925294464E-2</v>
      </c>
      <c r="Y248" s="250">
        <f t="shared" si="56"/>
        <v>9.9475446052755732E-4</v>
      </c>
      <c r="Z248" s="250">
        <f t="shared" si="56"/>
        <v>1.0666673084585108E-2</v>
      </c>
      <c r="AA248" s="250">
        <f t="shared" si="56"/>
        <v>7.4345431446930258E-3</v>
      </c>
      <c r="AB248" s="250">
        <f t="shared" si="56"/>
        <v>1.3986235844448193E-2</v>
      </c>
      <c r="AC248" s="251">
        <f t="shared" si="56"/>
        <v>3.9021106842421001E-2</v>
      </c>
      <c r="AD248" s="349"/>
      <c r="AG248" s="232"/>
      <c r="AH248" s="232"/>
      <c r="AI248" s="232"/>
    </row>
    <row r="249" spans="2:35" x14ac:dyDescent="0.4">
      <c r="C249" s="248" t="s">
        <v>704</v>
      </c>
      <c r="D249" s="177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3"/>
      <c r="R249" s="130">
        <v>-1.056167924416191E-2</v>
      </c>
      <c r="S249" s="130">
        <v>-4.5523318214866937E-2</v>
      </c>
      <c r="T249" s="343">
        <v>5.9894423416603552E-2</v>
      </c>
      <c r="U249" s="130">
        <v>-0.21114738538681938</v>
      </c>
      <c r="V249" s="130"/>
      <c r="W249" s="130"/>
      <c r="X249" s="130"/>
      <c r="Y249" s="344"/>
      <c r="Z249" s="344"/>
      <c r="AA249" s="344"/>
      <c r="AB249" s="344"/>
      <c r="AC249" s="345"/>
      <c r="AD249" s="130"/>
      <c r="AE249" s="130"/>
      <c r="AF249" s="130"/>
    </row>
    <row r="250" spans="2:35" hidden="1" x14ac:dyDescent="0.4">
      <c r="C250" s="254" t="s">
        <v>646</v>
      </c>
      <c r="D250" s="254"/>
      <c r="E250" s="255">
        <f>+E306</f>
        <v>14901.21</v>
      </c>
      <c r="F250" s="255">
        <f t="shared" ref="F250:P250" si="57">+F306</f>
        <v>19837.049999999988</v>
      </c>
      <c r="G250" s="255">
        <f t="shared" si="57"/>
        <v>15167.299999999985</v>
      </c>
      <c r="H250" s="255">
        <f t="shared" si="57"/>
        <v>23676.339999999964</v>
      </c>
      <c r="I250" s="255">
        <f t="shared" si="57"/>
        <v>13351.969999999958</v>
      </c>
      <c r="J250" s="255">
        <f t="shared" si="57"/>
        <v>13569.47</v>
      </c>
      <c r="K250" s="255">
        <f t="shared" si="57"/>
        <v>20160</v>
      </c>
      <c r="L250" s="255">
        <f t="shared" si="57"/>
        <v>128845.00421080992</v>
      </c>
      <c r="M250" s="255">
        <f t="shared" si="57"/>
        <v>78142</v>
      </c>
      <c r="N250" s="255">
        <f t="shared" si="57"/>
        <v>76732</v>
      </c>
      <c r="O250" s="255">
        <f t="shared" si="57"/>
        <v>94151.786999999982</v>
      </c>
      <c r="P250" s="255">
        <f t="shared" si="57"/>
        <v>76315.486999999979</v>
      </c>
      <c r="Q250" s="256">
        <f>+P250</f>
        <v>76315.486999999979</v>
      </c>
      <c r="R250" s="256">
        <v>86747</v>
      </c>
      <c r="AC250" s="109"/>
    </row>
    <row r="251" spans="2:35" ht="47.55" hidden="1" customHeight="1" x14ac:dyDescent="0.4">
      <c r="G251" s="257"/>
      <c r="H251" s="257"/>
      <c r="I251" s="257"/>
      <c r="J251" s="257"/>
      <c r="K251" s="257"/>
      <c r="L251" s="257"/>
      <c r="M251" s="257"/>
      <c r="O251" s="258" t="s">
        <v>647</v>
      </c>
      <c r="P251" s="259">
        <v>50000</v>
      </c>
      <c r="Q251" s="112"/>
    </row>
    <row r="252" spans="2:35" ht="47.55" customHeight="1" x14ac:dyDescent="0.4">
      <c r="G252" s="257"/>
      <c r="H252" s="257"/>
      <c r="I252" s="257"/>
      <c r="J252" s="257"/>
      <c r="K252" s="257"/>
      <c r="L252" s="257"/>
      <c r="M252" s="257"/>
      <c r="O252" s="258"/>
      <c r="P252" s="259"/>
      <c r="Q252" s="112"/>
    </row>
    <row r="253" spans="2:35" outlineLevel="1" x14ac:dyDescent="0.4">
      <c r="E253" s="127"/>
      <c r="F253" s="127"/>
      <c r="G253" s="127"/>
      <c r="H253" s="127"/>
      <c r="I253" s="127"/>
      <c r="J253" s="235"/>
      <c r="K253" s="241"/>
      <c r="L253" s="241"/>
      <c r="M253" s="241"/>
      <c r="N253" s="109"/>
      <c r="O253" s="109"/>
      <c r="P253" s="109"/>
      <c r="Q253" s="182"/>
      <c r="R253" s="109"/>
      <c r="S253" s="109"/>
      <c r="T253" s="109"/>
    </row>
    <row r="254" spans="2:35" ht="19.2" outlineLevel="1" x14ac:dyDescent="0.45">
      <c r="C254" s="260" t="s">
        <v>648</v>
      </c>
      <c r="D254" s="261"/>
      <c r="E254" s="261" t="s">
        <v>505</v>
      </c>
      <c r="F254" s="261" t="s">
        <v>506</v>
      </c>
      <c r="G254" s="261" t="s">
        <v>507</v>
      </c>
      <c r="H254" s="261" t="s">
        <v>508</v>
      </c>
      <c r="I254" s="261" t="s">
        <v>509</v>
      </c>
      <c r="J254" s="261" t="s">
        <v>510</v>
      </c>
      <c r="K254" s="261" t="s">
        <v>511</v>
      </c>
      <c r="L254" s="261" t="s">
        <v>512</v>
      </c>
      <c r="M254" s="261" t="s">
        <v>513</v>
      </c>
      <c r="N254" s="261" t="s">
        <v>514</v>
      </c>
      <c r="O254" s="261" t="s">
        <v>515</v>
      </c>
      <c r="P254" s="261" t="s">
        <v>516</v>
      </c>
      <c r="Q254" s="261">
        <v>2024</v>
      </c>
      <c r="R254" s="261" t="s">
        <v>505</v>
      </c>
      <c r="S254" s="261" t="s">
        <v>506</v>
      </c>
      <c r="T254" s="261" t="s">
        <v>507</v>
      </c>
      <c r="U254" s="261" t="s">
        <v>508</v>
      </c>
      <c r="V254" s="261" t="s">
        <v>509</v>
      </c>
      <c r="W254" s="261" t="s">
        <v>510</v>
      </c>
      <c r="X254" s="261" t="s">
        <v>511</v>
      </c>
      <c r="Y254" s="261" t="s">
        <v>512</v>
      </c>
      <c r="Z254" s="261" t="s">
        <v>513</v>
      </c>
      <c r="AA254" s="261" t="s">
        <v>514</v>
      </c>
      <c r="AB254" s="261" t="s">
        <v>515</v>
      </c>
      <c r="AC254" s="262" t="s">
        <v>516</v>
      </c>
      <c r="AD254" s="122"/>
      <c r="AE254" s="122"/>
      <c r="AF254" s="122"/>
      <c r="AG254" s="122"/>
      <c r="AH254" s="122"/>
    </row>
    <row r="255" spans="2:35" outlineLevel="1" x14ac:dyDescent="0.4">
      <c r="C255" s="263" t="s">
        <v>649</v>
      </c>
      <c r="D255" s="154"/>
      <c r="E255" s="264">
        <f>SUM(E256:E261)</f>
        <v>50828.24</v>
      </c>
      <c r="F255" s="264">
        <f t="shared" ref="F255:AC255" si="58">SUM(F256:F261)</f>
        <v>50491.349999999991</v>
      </c>
      <c r="G255" s="264">
        <f t="shared" si="58"/>
        <v>34904.229999999996</v>
      </c>
      <c r="H255" s="264">
        <f t="shared" si="58"/>
        <v>51282.62999999999</v>
      </c>
      <c r="I255" s="264">
        <f t="shared" si="58"/>
        <v>31397.790000000005</v>
      </c>
      <c r="J255" s="264">
        <f t="shared" si="58"/>
        <v>47157.219999999994</v>
      </c>
      <c r="K255" s="264">
        <f t="shared" si="58"/>
        <v>77391.12999999999</v>
      </c>
      <c r="L255" s="264">
        <f>SUM(L256:L261)</f>
        <v>178208.62421080994</v>
      </c>
      <c r="M255" s="264">
        <f t="shared" si="58"/>
        <v>119261.03</v>
      </c>
      <c r="N255" s="265">
        <f t="shared" si="58"/>
        <v>170782.04</v>
      </c>
      <c r="O255" s="265">
        <f t="shared" si="58"/>
        <v>175239.15699999998</v>
      </c>
      <c r="P255" s="265">
        <f t="shared" si="58"/>
        <v>211246.16699999996</v>
      </c>
      <c r="Q255" s="265">
        <f>+P255</f>
        <v>211246.16699999996</v>
      </c>
      <c r="R255" s="265">
        <f t="shared" si="58"/>
        <v>231975.68592728351</v>
      </c>
      <c r="S255" s="265">
        <f t="shared" si="58"/>
        <v>281399.29186206899</v>
      </c>
      <c r="T255" s="265">
        <f t="shared" si="58"/>
        <v>243075.99186206894</v>
      </c>
      <c r="U255" s="265">
        <f t="shared" si="58"/>
        <v>269470.93186206894</v>
      </c>
      <c r="V255" s="265">
        <f t="shared" si="58"/>
        <v>299347.09436206898</v>
      </c>
      <c r="W255" s="265">
        <f t="shared" si="58"/>
        <v>317123.44760706899</v>
      </c>
      <c r="X255" s="265">
        <f t="shared" si="58"/>
        <v>328350.45088621904</v>
      </c>
      <c r="Y255" s="265">
        <f t="shared" si="58"/>
        <v>333155.71023260948</v>
      </c>
      <c r="Z255" s="265">
        <f t="shared" si="58"/>
        <v>330806.70015471737</v>
      </c>
      <c r="AA255" s="265">
        <f t="shared" si="58"/>
        <v>319114.75803498976</v>
      </c>
      <c r="AB255" s="265">
        <f t="shared" si="58"/>
        <v>378298.47849685984</v>
      </c>
      <c r="AC255" s="266">
        <f t="shared" si="58"/>
        <v>427476.44777403743</v>
      </c>
    </row>
    <row r="256" spans="2:35" outlineLevel="1" x14ac:dyDescent="0.4">
      <c r="C256" s="267" t="s">
        <v>650</v>
      </c>
      <c r="D256" s="154"/>
      <c r="E256" s="268">
        <v>14901.21</v>
      </c>
      <c r="F256" s="269">
        <v>19837.05</v>
      </c>
      <c r="G256" s="269">
        <v>15167.3</v>
      </c>
      <c r="H256" s="269">
        <v>21977.34</v>
      </c>
      <c r="I256" s="269">
        <v>11652.97</v>
      </c>
      <c r="J256" s="269">
        <v>13569.47</v>
      </c>
      <c r="K256" s="269">
        <v>20160.830000000002</v>
      </c>
      <c r="L256" s="269">
        <f>+L306</f>
        <v>128845.00421080992</v>
      </c>
      <c r="M256" s="269">
        <f>78142-334</f>
        <v>77808</v>
      </c>
      <c r="N256" s="269">
        <f>+N306</f>
        <v>76732</v>
      </c>
      <c r="O256" s="269">
        <f>+O306</f>
        <v>94151.786999999982</v>
      </c>
      <c r="P256" s="269">
        <f>+P306</f>
        <v>76315.486999999979</v>
      </c>
      <c r="Q256" s="269">
        <f>+P256</f>
        <v>76315.486999999979</v>
      </c>
      <c r="R256" s="269">
        <f>+R306</f>
        <v>106653.70578935248</v>
      </c>
      <c r="S256" s="269">
        <f t="shared" ref="S256:AC256" si="59">+S306</f>
        <v>100000</v>
      </c>
      <c r="T256" s="269">
        <f t="shared" si="59"/>
        <v>100000</v>
      </c>
      <c r="U256" s="269">
        <f t="shared" si="59"/>
        <v>100000.00000000001</v>
      </c>
      <c r="V256" s="269">
        <f>+V306</f>
        <v>100000</v>
      </c>
      <c r="W256" s="269">
        <f t="shared" si="59"/>
        <v>100000.00000000003</v>
      </c>
      <c r="X256" s="269">
        <f t="shared" si="59"/>
        <v>100000.0000000001</v>
      </c>
      <c r="Y256" s="269">
        <f t="shared" si="59"/>
        <v>100000.00000000013</v>
      </c>
      <c r="Z256" s="269">
        <f t="shared" si="59"/>
        <v>100000.00000000017</v>
      </c>
      <c r="AA256" s="269">
        <f t="shared" si="59"/>
        <v>100000.00000000022</v>
      </c>
      <c r="AB256" s="269">
        <f t="shared" si="59"/>
        <v>100000.00000000022</v>
      </c>
      <c r="AC256" s="270">
        <f t="shared" si="59"/>
        <v>100000.00000000025</v>
      </c>
    </row>
    <row r="257" spans="2:34" outlineLevel="1" x14ac:dyDescent="0.4">
      <c r="C257" s="267" t="s">
        <v>651</v>
      </c>
      <c r="D257" s="271"/>
      <c r="E257" s="268">
        <v>8203.02</v>
      </c>
      <c r="F257" s="269">
        <v>9591.7999999999993</v>
      </c>
      <c r="G257" s="269">
        <v>5173.3100000000004</v>
      </c>
      <c r="H257" s="269">
        <v>6978.65</v>
      </c>
      <c r="I257" s="269">
        <v>8154.07</v>
      </c>
      <c r="J257" s="269">
        <v>22457.77</v>
      </c>
      <c r="K257" s="269">
        <v>12883.21</v>
      </c>
      <c r="L257" s="269">
        <v>13186.95</v>
      </c>
      <c r="M257" s="269">
        <v>10118</v>
      </c>
      <c r="N257" s="269">
        <v>27439.5</v>
      </c>
      <c r="O257" s="269">
        <v>38892.31</v>
      </c>
      <c r="P257" s="269">
        <v>26721.85</v>
      </c>
      <c r="Q257" s="269">
        <f t="shared" ref="Q257:Q280" si="60">+P257</f>
        <v>26721.85</v>
      </c>
      <c r="R257" s="269">
        <f>R14+R13/2+R15+R16</f>
        <v>51785.586206896558</v>
      </c>
      <c r="S257" s="269">
        <f t="shared" ref="S257:AC257" si="61">S14+S13/2+S15+S16+R16</f>
        <v>79400</v>
      </c>
      <c r="T257" s="269">
        <f t="shared" si="61"/>
        <v>95400</v>
      </c>
      <c r="U257" s="269">
        <f t="shared" si="61"/>
        <v>102050</v>
      </c>
      <c r="V257" s="269">
        <f t="shared" si="61"/>
        <v>118405.00000000001</v>
      </c>
      <c r="W257" s="269">
        <f t="shared" si="61"/>
        <v>129395.50000000003</v>
      </c>
      <c r="X257" s="269">
        <f t="shared" si="61"/>
        <v>140935.05000000005</v>
      </c>
      <c r="Y257" s="269">
        <f t="shared" si="61"/>
        <v>154128.55500000005</v>
      </c>
      <c r="Z257" s="269">
        <f t="shared" si="61"/>
        <v>169591.41050000006</v>
      </c>
      <c r="AA257" s="269">
        <f t="shared" si="61"/>
        <v>185450.55155000009</v>
      </c>
      <c r="AB257" s="269">
        <f t="shared" si="61"/>
        <v>202845.60670500013</v>
      </c>
      <c r="AC257" s="269">
        <f t="shared" si="61"/>
        <v>221930.1673755002</v>
      </c>
    </row>
    <row r="258" spans="2:34" outlineLevel="1" x14ac:dyDescent="0.4">
      <c r="B258" s="130"/>
      <c r="C258" s="267" t="s">
        <v>652</v>
      </c>
      <c r="D258" s="272">
        <v>1</v>
      </c>
      <c r="E258" s="273">
        <v>26156.55</v>
      </c>
      <c r="F258" s="269">
        <v>19376.41</v>
      </c>
      <c r="G258" s="269">
        <v>12939.92</v>
      </c>
      <c r="H258" s="269">
        <v>19812.41</v>
      </c>
      <c r="I258" s="269">
        <v>10191.69</v>
      </c>
      <c r="J258" s="269">
        <f>9519.56</f>
        <v>9519.56</v>
      </c>
      <c r="K258" s="269">
        <v>42754.2</v>
      </c>
      <c r="L258" s="269">
        <v>34511.040000000001</v>
      </c>
      <c r="M258" s="269">
        <v>29602</v>
      </c>
      <c r="N258" s="269">
        <v>64404.53</v>
      </c>
      <c r="O258" s="269">
        <v>40796</v>
      </c>
      <c r="P258" s="269">
        <v>106809.77</v>
      </c>
      <c r="Q258" s="269">
        <f t="shared" si="60"/>
        <v>106809.77</v>
      </c>
      <c r="R258" s="269">
        <f>+P258-R123</f>
        <v>71451.891862068966</v>
      </c>
      <c r="S258" s="269">
        <f t="shared" ref="S258:AC258" si="62">+R258-S123+R311</f>
        <v>99676.231862068962</v>
      </c>
      <c r="T258" s="269">
        <f t="shared" si="62"/>
        <v>45361.931862068959</v>
      </c>
      <c r="U258" s="269">
        <f t="shared" si="62"/>
        <v>64950.321862068959</v>
      </c>
      <c r="V258" s="269">
        <f t="shared" si="62"/>
        <v>78380.810862068945</v>
      </c>
      <c r="W258" s="269">
        <f t="shared" si="62"/>
        <v>85067.956962068929</v>
      </c>
      <c r="X258" s="269">
        <f t="shared" si="62"/>
        <v>84657.868446068896</v>
      </c>
      <c r="Y258" s="269">
        <f t="shared" si="62"/>
        <v>76152.365406648853</v>
      </c>
      <c r="Z258" s="269">
        <f t="shared" si="62"/>
        <v>58192.557994439398</v>
      </c>
      <c r="AA258" s="269">
        <f t="shared" si="62"/>
        <v>30501.78298734226</v>
      </c>
      <c r="AB258" s="269">
        <f t="shared" si="62"/>
        <v>72137.834546112019</v>
      </c>
      <c r="AC258" s="269">
        <f t="shared" si="62"/>
        <v>102064.4186119957</v>
      </c>
      <c r="AH258" s="274"/>
    </row>
    <row r="259" spans="2:34" outlineLevel="1" x14ac:dyDescent="0.4">
      <c r="C259" s="267" t="s">
        <v>653</v>
      </c>
      <c r="D259" s="275"/>
      <c r="E259" s="273">
        <v>1399.06</v>
      </c>
      <c r="F259" s="269">
        <v>1399.06</v>
      </c>
      <c r="G259" s="269">
        <v>1399.06</v>
      </c>
      <c r="H259" s="269">
        <v>1399.06</v>
      </c>
      <c r="I259" s="269">
        <v>1399.06</v>
      </c>
      <c r="J259" s="269">
        <v>1399.06</v>
      </c>
      <c r="K259" s="269">
        <f t="shared" ref="K259:Z260" si="63">+J259</f>
        <v>1399.06</v>
      </c>
      <c r="L259" s="269">
        <f t="shared" si="63"/>
        <v>1399.06</v>
      </c>
      <c r="M259" s="269">
        <f t="shared" si="63"/>
        <v>1399.06</v>
      </c>
      <c r="N259" s="269">
        <f t="shared" si="63"/>
        <v>1399.06</v>
      </c>
      <c r="O259" s="269">
        <f t="shared" si="63"/>
        <v>1399.06</v>
      </c>
      <c r="P259" s="269">
        <f t="shared" si="63"/>
        <v>1399.06</v>
      </c>
      <c r="Q259" s="269">
        <f t="shared" si="60"/>
        <v>1399.06</v>
      </c>
      <c r="R259" s="269">
        <f>+P259</f>
        <v>1399.06</v>
      </c>
      <c r="S259" s="269">
        <f t="shared" si="63"/>
        <v>1399.06</v>
      </c>
      <c r="T259" s="269">
        <f t="shared" si="63"/>
        <v>1399.06</v>
      </c>
      <c r="U259" s="269">
        <f t="shared" si="63"/>
        <v>1399.06</v>
      </c>
      <c r="V259" s="269">
        <f t="shared" si="63"/>
        <v>1399.06</v>
      </c>
      <c r="W259" s="269">
        <f t="shared" si="63"/>
        <v>1399.06</v>
      </c>
      <c r="X259" s="269">
        <f t="shared" si="63"/>
        <v>1399.06</v>
      </c>
      <c r="Y259" s="269">
        <f t="shared" si="63"/>
        <v>1399.06</v>
      </c>
      <c r="Z259" s="269">
        <f t="shared" si="63"/>
        <v>1399.06</v>
      </c>
      <c r="AA259" s="269">
        <f t="shared" ref="AA259:AC260" si="64">+Z259</f>
        <v>1399.06</v>
      </c>
      <c r="AB259" s="269">
        <f t="shared" si="64"/>
        <v>1399.06</v>
      </c>
      <c r="AC259" s="270">
        <f t="shared" si="64"/>
        <v>1399.06</v>
      </c>
    </row>
    <row r="260" spans="2:34" outlineLevel="1" x14ac:dyDescent="0.4">
      <c r="C260" s="267" t="s">
        <v>654</v>
      </c>
      <c r="D260" s="276"/>
      <c r="E260" s="268"/>
      <c r="F260" s="269"/>
      <c r="G260" s="269"/>
      <c r="H260" s="269"/>
      <c r="I260" s="269"/>
      <c r="J260" s="269"/>
      <c r="K260" s="269">
        <f t="shared" si="63"/>
        <v>0</v>
      </c>
      <c r="L260" s="269">
        <f t="shared" si="63"/>
        <v>0</v>
      </c>
      <c r="M260" s="269">
        <f t="shared" si="63"/>
        <v>0</v>
      </c>
      <c r="N260" s="269">
        <f t="shared" si="63"/>
        <v>0</v>
      </c>
      <c r="O260" s="269">
        <f t="shared" si="63"/>
        <v>0</v>
      </c>
      <c r="P260" s="269">
        <f t="shared" si="63"/>
        <v>0</v>
      </c>
      <c r="Q260" s="269">
        <f t="shared" si="60"/>
        <v>0</v>
      </c>
      <c r="R260" s="269">
        <f>+P260</f>
        <v>0</v>
      </c>
      <c r="S260" s="269">
        <f t="shared" si="63"/>
        <v>0</v>
      </c>
      <c r="T260" s="269">
        <f t="shared" si="63"/>
        <v>0</v>
      </c>
      <c r="U260" s="269">
        <f t="shared" si="63"/>
        <v>0</v>
      </c>
      <c r="V260" s="269">
        <f t="shared" si="63"/>
        <v>0</v>
      </c>
      <c r="W260" s="269">
        <f t="shared" si="63"/>
        <v>0</v>
      </c>
      <c r="X260" s="269">
        <f t="shared" si="63"/>
        <v>0</v>
      </c>
      <c r="Y260" s="269">
        <f t="shared" si="63"/>
        <v>0</v>
      </c>
      <c r="Z260" s="269">
        <f t="shared" si="63"/>
        <v>0</v>
      </c>
      <c r="AA260" s="269">
        <f t="shared" si="64"/>
        <v>0</v>
      </c>
      <c r="AB260" s="269">
        <f t="shared" si="64"/>
        <v>0</v>
      </c>
      <c r="AC260" s="270">
        <f t="shared" si="64"/>
        <v>0</v>
      </c>
    </row>
    <row r="261" spans="2:34" outlineLevel="1" x14ac:dyDescent="0.4">
      <c r="C261" s="267" t="s">
        <v>655</v>
      </c>
      <c r="D261" s="277">
        <v>0.01</v>
      </c>
      <c r="E261" s="268">
        <v>168.4</v>
      </c>
      <c r="F261" s="269">
        <v>287.02999999999997</v>
      </c>
      <c r="G261" s="269">
        <v>224.64</v>
      </c>
      <c r="H261" s="269">
        <v>1115.17</v>
      </c>
      <c r="I261" s="269">
        <v>0</v>
      </c>
      <c r="J261" s="269">
        <v>211.36</v>
      </c>
      <c r="K261" s="269">
        <v>193.83</v>
      </c>
      <c r="L261" s="269">
        <f>265.74+0.83</f>
        <v>266.57</v>
      </c>
      <c r="M261" s="269">
        <f>+$D$261*M58</f>
        <v>333.97</v>
      </c>
      <c r="N261" s="269">
        <v>806.95</v>
      </c>
      <c r="O261" s="269">
        <v>0</v>
      </c>
      <c r="P261" s="269">
        <v>0</v>
      </c>
      <c r="Q261" s="269">
        <f t="shared" si="60"/>
        <v>0</v>
      </c>
      <c r="R261" s="269">
        <f t="shared" ref="R261:AC261" si="65">+$D$261*R58</f>
        <v>685.44206896551725</v>
      </c>
      <c r="S261" s="269">
        <f t="shared" si="65"/>
        <v>924</v>
      </c>
      <c r="T261" s="269">
        <f t="shared" si="65"/>
        <v>915</v>
      </c>
      <c r="U261" s="269">
        <f t="shared" si="65"/>
        <v>1071.55</v>
      </c>
      <c r="V261" s="269">
        <f t="shared" si="65"/>
        <v>1162.2235000000001</v>
      </c>
      <c r="W261" s="269">
        <f t="shared" si="65"/>
        <v>1260.9306450000004</v>
      </c>
      <c r="X261" s="269">
        <f t="shared" si="65"/>
        <v>1358.4724401500005</v>
      </c>
      <c r="Y261" s="269">
        <f t="shared" si="65"/>
        <v>1475.7298259605004</v>
      </c>
      <c r="Z261" s="269">
        <f t="shared" si="65"/>
        <v>1623.6716602777358</v>
      </c>
      <c r="AA261" s="269">
        <f t="shared" si="65"/>
        <v>1763.3634976471774</v>
      </c>
      <c r="AB261" s="269">
        <f t="shared" si="65"/>
        <v>1915.9772457474803</v>
      </c>
      <c r="AC261" s="270">
        <f t="shared" si="65"/>
        <v>2082.801786541304</v>
      </c>
    </row>
    <row r="262" spans="2:34" outlineLevel="1" x14ac:dyDescent="0.4">
      <c r="C262" s="278" t="s">
        <v>656</v>
      </c>
      <c r="D262" s="279"/>
      <c r="E262" s="280">
        <f>+E263-E265</f>
        <v>39178</v>
      </c>
      <c r="F262" s="280">
        <f t="shared" ref="F262:AC262" si="66">+F263-F265</f>
        <v>39178</v>
      </c>
      <c r="G262" s="280">
        <f t="shared" si="66"/>
        <v>39178</v>
      </c>
      <c r="H262" s="280">
        <f t="shared" si="66"/>
        <v>40877</v>
      </c>
      <c r="I262" s="280">
        <f t="shared" si="66"/>
        <v>40877</v>
      </c>
      <c r="J262" s="280">
        <f t="shared" si="66"/>
        <v>40877</v>
      </c>
      <c r="K262" s="280">
        <f t="shared" si="66"/>
        <v>39680.539999999994</v>
      </c>
      <c r="L262" s="280">
        <f>+L263-L265</f>
        <v>39681.369999999995</v>
      </c>
      <c r="M262" s="280">
        <f t="shared" si="66"/>
        <v>39681.369999999995</v>
      </c>
      <c r="N262" s="280">
        <f>+N263-N265</f>
        <v>39681.369999999995</v>
      </c>
      <c r="O262" s="280">
        <f t="shared" si="66"/>
        <v>39681.369999999995</v>
      </c>
      <c r="P262" s="280">
        <f t="shared" si="66"/>
        <v>39681.369999999995</v>
      </c>
      <c r="Q262" s="280">
        <f t="shared" si="60"/>
        <v>39681.369999999995</v>
      </c>
      <c r="R262" s="280">
        <f>+R263-R265</f>
        <v>39681.369999999995</v>
      </c>
      <c r="S262" s="280">
        <f t="shared" si="66"/>
        <v>39681.369999999995</v>
      </c>
      <c r="T262" s="280">
        <f t="shared" si="66"/>
        <v>39681.369999999995</v>
      </c>
      <c r="U262" s="280">
        <f t="shared" si="66"/>
        <v>39681.369999999995</v>
      </c>
      <c r="V262" s="280">
        <f t="shared" si="66"/>
        <v>39681.369999999995</v>
      </c>
      <c r="W262" s="280">
        <f t="shared" si="66"/>
        <v>39681.369999999995</v>
      </c>
      <c r="X262" s="280">
        <f t="shared" si="66"/>
        <v>39681.369999999995</v>
      </c>
      <c r="Y262" s="280">
        <f t="shared" si="66"/>
        <v>39681.369999999995</v>
      </c>
      <c r="Z262" s="280">
        <f t="shared" si="66"/>
        <v>39681.369999999995</v>
      </c>
      <c r="AA262" s="280">
        <f t="shared" si="66"/>
        <v>39681.369999999995</v>
      </c>
      <c r="AB262" s="280">
        <f t="shared" si="66"/>
        <v>39681.369999999995</v>
      </c>
      <c r="AC262" s="281">
        <f t="shared" si="66"/>
        <v>38829.765833333331</v>
      </c>
    </row>
    <row r="263" spans="2:34" outlineLevel="1" x14ac:dyDescent="0.4">
      <c r="C263" s="267" t="s">
        <v>657</v>
      </c>
      <c r="D263" s="154"/>
      <c r="E263" s="268">
        <f>76378+2968</f>
        <v>79346</v>
      </c>
      <c r="F263" s="268">
        <f t="shared" ref="F263:G263" si="67">76378+2968</f>
        <v>79346</v>
      </c>
      <c r="G263" s="268">
        <f t="shared" si="67"/>
        <v>79346</v>
      </c>
      <c r="H263" s="268">
        <f>76378+2968+1699</f>
        <v>81045</v>
      </c>
      <c r="I263" s="268">
        <f t="shared" ref="I263:J263" si="68">76378+2968+1699</f>
        <v>81045</v>
      </c>
      <c r="J263" s="273">
        <f t="shared" si="68"/>
        <v>81045</v>
      </c>
      <c r="K263" s="273">
        <f>76377.92+3470.62</f>
        <v>79848.539999999994</v>
      </c>
      <c r="L263" s="268">
        <f>+K263+L27+0.83</f>
        <v>79849.37</v>
      </c>
      <c r="M263" s="268">
        <f>+L263+M27</f>
        <v>79849.37</v>
      </c>
      <c r="N263" s="268">
        <f>+M263+N27</f>
        <v>79849.37</v>
      </c>
      <c r="O263" s="268">
        <f>+N263+O27+O295</f>
        <v>79849.37</v>
      </c>
      <c r="P263" s="268">
        <f>+O263+P27+P295</f>
        <v>79849.37</v>
      </c>
      <c r="Q263" s="269">
        <f t="shared" si="60"/>
        <v>79849.37</v>
      </c>
      <c r="R263" s="268">
        <f>+P263+R27+R295</f>
        <v>79849.37</v>
      </c>
      <c r="S263" s="268">
        <f>+R263+S27+S295</f>
        <v>79849.37</v>
      </c>
      <c r="T263" s="268">
        <f>+S263+T27+T295</f>
        <v>79849.37</v>
      </c>
      <c r="U263" s="268">
        <f t="shared" ref="U263:AC263" si="69">+T263+U27</f>
        <v>79849.37</v>
      </c>
      <c r="V263" s="268">
        <f t="shared" si="69"/>
        <v>79849.37</v>
      </c>
      <c r="W263" s="268">
        <f t="shared" si="69"/>
        <v>79849.37</v>
      </c>
      <c r="X263" s="268">
        <f t="shared" si="69"/>
        <v>79849.37</v>
      </c>
      <c r="Y263" s="268">
        <f t="shared" si="69"/>
        <v>79849.37</v>
      </c>
      <c r="Z263" s="268">
        <f t="shared" si="69"/>
        <v>79849.37</v>
      </c>
      <c r="AA263" s="268">
        <f t="shared" si="69"/>
        <v>79849.37</v>
      </c>
      <c r="AB263" s="268">
        <f t="shared" si="69"/>
        <v>79849.37</v>
      </c>
      <c r="AC263" s="282">
        <f t="shared" si="69"/>
        <v>79849.37</v>
      </c>
    </row>
    <row r="264" spans="2:34" outlineLevel="1" x14ac:dyDescent="0.4">
      <c r="C264" s="267" t="s">
        <v>658</v>
      </c>
      <c r="D264" s="154"/>
      <c r="E264" s="269">
        <f t="shared" ref="E264:J264" si="70">+E263-E265</f>
        <v>39178</v>
      </c>
      <c r="F264" s="269">
        <f t="shared" si="70"/>
        <v>39178</v>
      </c>
      <c r="G264" s="269">
        <f t="shared" si="70"/>
        <v>39178</v>
      </c>
      <c r="H264" s="269">
        <f>+H263-H265</f>
        <v>40877</v>
      </c>
      <c r="I264" s="269">
        <f t="shared" si="70"/>
        <v>40877</v>
      </c>
      <c r="J264" s="269">
        <f t="shared" si="70"/>
        <v>40877</v>
      </c>
      <c r="K264" s="273">
        <f>+K263-K265</f>
        <v>39680.539999999994</v>
      </c>
      <c r="L264" s="268">
        <f t="shared" ref="L264:AC264" si="71">+L263-L265</f>
        <v>39681.369999999995</v>
      </c>
      <c r="M264" s="268">
        <f t="shared" si="71"/>
        <v>39681.369999999995</v>
      </c>
      <c r="N264" s="268">
        <f t="shared" si="71"/>
        <v>39681.369999999995</v>
      </c>
      <c r="O264" s="268">
        <f t="shared" si="71"/>
        <v>39681.369999999995</v>
      </c>
      <c r="P264" s="268">
        <f t="shared" si="71"/>
        <v>39681.369999999995</v>
      </c>
      <c r="Q264" s="269">
        <f t="shared" si="60"/>
        <v>39681.369999999995</v>
      </c>
      <c r="R264" s="268">
        <f>+R263-R265</f>
        <v>39681.369999999995</v>
      </c>
      <c r="S264" s="268">
        <f t="shared" si="71"/>
        <v>39681.369999999995</v>
      </c>
      <c r="T264" s="268">
        <f t="shared" si="71"/>
        <v>39681.369999999995</v>
      </c>
      <c r="U264" s="268">
        <f t="shared" si="71"/>
        <v>39681.369999999995</v>
      </c>
      <c r="V264" s="268">
        <f t="shared" si="71"/>
        <v>39681.369999999995</v>
      </c>
      <c r="W264" s="268">
        <f t="shared" si="71"/>
        <v>39681.369999999995</v>
      </c>
      <c r="X264" s="268">
        <f t="shared" si="71"/>
        <v>39681.369999999995</v>
      </c>
      <c r="Y264" s="268">
        <f t="shared" si="71"/>
        <v>39681.369999999995</v>
      </c>
      <c r="Z264" s="268">
        <f t="shared" si="71"/>
        <v>39681.369999999995</v>
      </c>
      <c r="AA264" s="268">
        <f t="shared" si="71"/>
        <v>39681.369999999995</v>
      </c>
      <c r="AB264" s="268">
        <f t="shared" si="71"/>
        <v>39681.369999999995</v>
      </c>
      <c r="AC264" s="282">
        <f t="shared" si="71"/>
        <v>38829.765833333331</v>
      </c>
    </row>
    <row r="265" spans="2:34" outlineLevel="1" x14ac:dyDescent="0.4">
      <c r="C265" s="267" t="s">
        <v>659</v>
      </c>
      <c r="D265" s="154"/>
      <c r="E265" s="268">
        <v>40168</v>
      </c>
      <c r="F265" s="268">
        <v>40168</v>
      </c>
      <c r="G265" s="268">
        <v>40168</v>
      </c>
      <c r="H265" s="268">
        <v>40168</v>
      </c>
      <c r="I265" s="268">
        <v>40168</v>
      </c>
      <c r="J265" s="273">
        <v>40168</v>
      </c>
      <c r="K265" s="273">
        <f t="shared" ref="K265:P265" si="72">+J265+K238</f>
        <v>40168</v>
      </c>
      <c r="L265" s="268">
        <f t="shared" si="72"/>
        <v>40168</v>
      </c>
      <c r="M265" s="268">
        <f t="shared" si="72"/>
        <v>40168</v>
      </c>
      <c r="N265" s="268">
        <f t="shared" si="72"/>
        <v>40168</v>
      </c>
      <c r="O265" s="268">
        <f t="shared" si="72"/>
        <v>40168</v>
      </c>
      <c r="P265" s="268">
        <f t="shared" si="72"/>
        <v>40168</v>
      </c>
      <c r="Q265" s="268">
        <f t="shared" si="60"/>
        <v>40168</v>
      </c>
      <c r="R265" s="268">
        <f>+P265+R238</f>
        <v>40168</v>
      </c>
      <c r="S265" s="268">
        <f t="shared" ref="S265:AC265" si="73">+R265+S238</f>
        <v>40168</v>
      </c>
      <c r="T265" s="268">
        <f t="shared" si="73"/>
        <v>40168</v>
      </c>
      <c r="U265" s="268">
        <f t="shared" si="73"/>
        <v>40168</v>
      </c>
      <c r="V265" s="268">
        <f t="shared" si="73"/>
        <v>40168</v>
      </c>
      <c r="W265" s="268">
        <f t="shared" si="73"/>
        <v>40168</v>
      </c>
      <c r="X265" s="268">
        <f t="shared" si="73"/>
        <v>40168</v>
      </c>
      <c r="Y265" s="268">
        <f t="shared" si="73"/>
        <v>40168</v>
      </c>
      <c r="Z265" s="268">
        <f t="shared" si="73"/>
        <v>40168</v>
      </c>
      <c r="AA265" s="268">
        <f t="shared" si="73"/>
        <v>40168</v>
      </c>
      <c r="AB265" s="268">
        <f t="shared" si="73"/>
        <v>40168</v>
      </c>
      <c r="AC265" s="282">
        <f t="shared" si="73"/>
        <v>41019.604166666664</v>
      </c>
    </row>
    <row r="266" spans="2:34" outlineLevel="1" x14ac:dyDescent="0.4">
      <c r="C266" s="278" t="s">
        <v>660</v>
      </c>
      <c r="D266" s="279"/>
      <c r="E266" s="280">
        <f t="shared" ref="E266:F266" si="74">+E255+E262</f>
        <v>90006.239999999991</v>
      </c>
      <c r="F266" s="280">
        <f t="shared" si="74"/>
        <v>89669.349999999991</v>
      </c>
      <c r="G266" s="280">
        <f>+G255+G262</f>
        <v>74082.23</v>
      </c>
      <c r="H266" s="280">
        <f>+H255+H262</f>
        <v>92159.62999999999</v>
      </c>
      <c r="I266" s="280">
        <f>+I255+I262</f>
        <v>72274.790000000008</v>
      </c>
      <c r="J266" s="280">
        <f>+J255+J262</f>
        <v>88034.22</v>
      </c>
      <c r="K266" s="280">
        <f t="shared" ref="K266:AC266" si="75">+K255+K262</f>
        <v>117071.66999999998</v>
      </c>
      <c r="L266" s="280">
        <f t="shared" si="75"/>
        <v>217889.99421080993</v>
      </c>
      <c r="M266" s="280">
        <f t="shared" si="75"/>
        <v>158942.39999999999</v>
      </c>
      <c r="N266" s="280">
        <f t="shared" si="75"/>
        <v>210463.41</v>
      </c>
      <c r="O266" s="280">
        <f t="shared" si="75"/>
        <v>214920.52699999997</v>
      </c>
      <c r="P266" s="280">
        <f t="shared" si="75"/>
        <v>250927.53699999995</v>
      </c>
      <c r="Q266" s="280">
        <f t="shared" si="60"/>
        <v>250927.53699999995</v>
      </c>
      <c r="R266" s="280">
        <f t="shared" si="75"/>
        <v>271657.05592728348</v>
      </c>
      <c r="S266" s="280">
        <f t="shared" si="75"/>
        <v>321080.66186206898</v>
      </c>
      <c r="T266" s="280">
        <f t="shared" si="75"/>
        <v>282757.36186206894</v>
      </c>
      <c r="U266" s="280">
        <f t="shared" si="75"/>
        <v>309152.30186206894</v>
      </c>
      <c r="V266" s="280">
        <f t="shared" si="75"/>
        <v>339028.46436206897</v>
      </c>
      <c r="W266" s="280">
        <f t="shared" si="75"/>
        <v>356804.81760706898</v>
      </c>
      <c r="X266" s="280">
        <f t="shared" si="75"/>
        <v>368031.82088621904</v>
      </c>
      <c r="Y266" s="280">
        <f t="shared" si="75"/>
        <v>372837.08023260947</v>
      </c>
      <c r="Z266" s="280">
        <f t="shared" si="75"/>
        <v>370488.07015471737</v>
      </c>
      <c r="AA266" s="280">
        <f t="shared" si="75"/>
        <v>358796.12803498976</v>
      </c>
      <c r="AB266" s="280">
        <f t="shared" si="75"/>
        <v>417979.84849685983</v>
      </c>
      <c r="AC266" s="281">
        <f t="shared" si="75"/>
        <v>466306.21360737074</v>
      </c>
      <c r="AG266" s="112"/>
    </row>
    <row r="267" spans="2:34" outlineLevel="1" x14ac:dyDescent="0.4">
      <c r="C267" s="267" t="s">
        <v>661</v>
      </c>
      <c r="D267" s="272">
        <v>0.8</v>
      </c>
      <c r="E267" s="268">
        <v>128782.41</v>
      </c>
      <c r="F267" s="269">
        <v>127781.72</v>
      </c>
      <c r="G267" s="269">
        <v>112625.77</v>
      </c>
      <c r="H267" s="269">
        <v>133539.54999999999</v>
      </c>
      <c r="I267" s="269">
        <v>123711.11</v>
      </c>
      <c r="J267" s="268">
        <v>86041</v>
      </c>
      <c r="K267" s="269">
        <v>130059.11</v>
      </c>
      <c r="L267" s="269">
        <f>+K267-7000</f>
        <v>123059.11</v>
      </c>
      <c r="M267" s="269">
        <f>+L267-80000</f>
        <v>43059.11</v>
      </c>
      <c r="N267" s="269">
        <f>149250.1-N268</f>
        <v>103815.41</v>
      </c>
      <c r="O267" s="269">
        <v>99108.65</v>
      </c>
      <c r="P267" s="269">
        <f>+O267+80630-P251</f>
        <v>129738.65</v>
      </c>
      <c r="Q267" s="269">
        <f t="shared" si="60"/>
        <v>129738.65</v>
      </c>
      <c r="R267" s="269">
        <f>+P267</f>
        <v>129738.65</v>
      </c>
      <c r="S267" s="269">
        <f>+R267+R311-S315</f>
        <v>195139.39395712625</v>
      </c>
      <c r="T267" s="269">
        <f>+S267+S311-T315</f>
        <v>165685.28379790595</v>
      </c>
      <c r="U267" s="269">
        <f t="shared" ref="U267:AC267" si="76">+T267+T311-U315</f>
        <v>198228.30615977099</v>
      </c>
      <c r="V267" s="269">
        <f t="shared" si="76"/>
        <v>233470.76649529062</v>
      </c>
      <c r="W267" s="269">
        <f t="shared" si="76"/>
        <v>253888.05016097944</v>
      </c>
      <c r="X267" s="269">
        <f t="shared" si="76"/>
        <v>269194.92541592498</v>
      </c>
      <c r="Y267" s="269">
        <f t="shared" si="76"/>
        <v>274874.38587962469</v>
      </c>
      <c r="Z267" s="269">
        <f t="shared" si="76"/>
        <v>271814.45832204371</v>
      </c>
      <c r="AA267" s="269">
        <f t="shared" si="76"/>
        <v>259832.53600201261</v>
      </c>
      <c r="AB267" s="269">
        <f t="shared" si="76"/>
        <v>317357.52550072066</v>
      </c>
      <c r="AC267" s="269">
        <f t="shared" si="76"/>
        <v>358577.56750681024</v>
      </c>
    </row>
    <row r="268" spans="2:34" outlineLevel="1" x14ac:dyDescent="0.4">
      <c r="C268" s="267" t="s">
        <v>662</v>
      </c>
      <c r="D268" s="154"/>
      <c r="E268" s="268"/>
      <c r="F268" s="269"/>
      <c r="G268" s="269"/>
      <c r="H268" s="269"/>
      <c r="I268" s="269"/>
      <c r="J268" s="269">
        <v>59080.05</v>
      </c>
      <c r="K268" s="269">
        <f>48706+22</f>
        <v>48728</v>
      </c>
      <c r="L268" s="269">
        <v>47495</v>
      </c>
      <c r="M268" s="269">
        <f>104286.27-M267-M269-M270</f>
        <v>46455.69000000001</v>
      </c>
      <c r="N268" s="269">
        <f>+M268-1021</f>
        <v>45434.69000000001</v>
      </c>
      <c r="O268" s="269">
        <f>364+200+81.36+48576.64</f>
        <v>49222</v>
      </c>
      <c r="P268" s="269">
        <f>178138-P267</f>
        <v>48399.350000000006</v>
      </c>
      <c r="Q268" s="269">
        <f t="shared" si="60"/>
        <v>48399.350000000006</v>
      </c>
      <c r="R268" s="269">
        <f>+P268-1021</f>
        <v>47378.350000000006</v>
      </c>
      <c r="S268" s="269">
        <f t="shared" ref="S268:AC268" si="77">+R268-1021</f>
        <v>46357.350000000006</v>
      </c>
      <c r="T268" s="269">
        <f t="shared" si="77"/>
        <v>45336.350000000006</v>
      </c>
      <c r="U268" s="269">
        <f t="shared" si="77"/>
        <v>44315.350000000006</v>
      </c>
      <c r="V268" s="269">
        <f t="shared" si="77"/>
        <v>43294.350000000006</v>
      </c>
      <c r="W268" s="269">
        <f t="shared" si="77"/>
        <v>42273.350000000006</v>
      </c>
      <c r="X268" s="269">
        <f t="shared" si="77"/>
        <v>41252.350000000006</v>
      </c>
      <c r="Y268" s="269">
        <f t="shared" si="77"/>
        <v>40231.350000000006</v>
      </c>
      <c r="Z268" s="269">
        <f t="shared" si="77"/>
        <v>39210.350000000006</v>
      </c>
      <c r="AA268" s="269">
        <f t="shared" si="77"/>
        <v>38189.350000000006</v>
      </c>
      <c r="AB268" s="269">
        <f t="shared" si="77"/>
        <v>37168.350000000006</v>
      </c>
      <c r="AC268" s="270">
        <f t="shared" si="77"/>
        <v>36147.350000000006</v>
      </c>
    </row>
    <row r="269" spans="2:34" outlineLevel="1" x14ac:dyDescent="0.4">
      <c r="C269" s="267" t="s">
        <v>663</v>
      </c>
      <c r="D269" s="154"/>
      <c r="E269" s="268">
        <f>5037.37+0.47</f>
        <v>5037.84</v>
      </c>
      <c r="F269" s="269">
        <f>3986.51+0.47</f>
        <v>3986.98</v>
      </c>
      <c r="G269" s="269">
        <f>8081.74+0.48</f>
        <v>8082.2199999999993</v>
      </c>
      <c r="H269" s="269">
        <f>8856.92+0.44</f>
        <v>8857.36</v>
      </c>
      <c r="I269" s="269">
        <f>8117.7+2.88</f>
        <v>8120.58</v>
      </c>
      <c r="J269" s="269">
        <f>8875.08+69.55+2.55</f>
        <v>8947.1799999999985</v>
      </c>
      <c r="K269" s="269">
        <v>7950</v>
      </c>
      <c r="L269" s="269">
        <v>13028.1</v>
      </c>
      <c r="M269" s="269">
        <v>13071.7</v>
      </c>
      <c r="N269" s="269">
        <v>17176.73</v>
      </c>
      <c r="O269" s="269">
        <v>16259.5</v>
      </c>
      <c r="P269" s="269">
        <v>14899.22</v>
      </c>
      <c r="Q269" s="269">
        <f t="shared" si="60"/>
        <v>14899.22</v>
      </c>
      <c r="R269" s="269">
        <f>+Q269</f>
        <v>14899.22</v>
      </c>
      <c r="S269" s="269">
        <v>7950</v>
      </c>
      <c r="T269" s="269">
        <v>7950</v>
      </c>
      <c r="U269" s="269">
        <v>7950</v>
      </c>
      <c r="V269" s="269">
        <v>7950</v>
      </c>
      <c r="W269" s="269">
        <v>7950</v>
      </c>
      <c r="X269" s="269">
        <v>7950</v>
      </c>
      <c r="Y269" s="269">
        <v>7950</v>
      </c>
      <c r="Z269" s="269">
        <v>7950</v>
      </c>
      <c r="AA269" s="269">
        <v>7950</v>
      </c>
      <c r="AB269" s="269">
        <v>7950</v>
      </c>
      <c r="AC269" s="270">
        <v>7950</v>
      </c>
    </row>
    <row r="270" spans="2:34" outlineLevel="1" x14ac:dyDescent="0.4">
      <c r="C270" s="267" t="s">
        <v>664</v>
      </c>
      <c r="D270" s="154"/>
      <c r="E270" s="268">
        <v>686.08</v>
      </c>
      <c r="F270" s="269">
        <v>1244.99</v>
      </c>
      <c r="G270" s="269">
        <v>1965.75</v>
      </c>
      <c r="H270" s="269">
        <v>670.08</v>
      </c>
      <c r="I270" s="269">
        <v>1129.98</v>
      </c>
      <c r="J270" s="269">
        <v>1571.45</v>
      </c>
      <c r="K270" s="269">
        <v>571</v>
      </c>
      <c r="L270" s="269">
        <v>1257.42</v>
      </c>
      <c r="M270" s="269">
        <v>1699.77</v>
      </c>
      <c r="N270" s="269">
        <v>619.54999999999995</v>
      </c>
      <c r="O270" s="269">
        <v>1190.27</v>
      </c>
      <c r="P270" s="269">
        <v>1728.11</v>
      </c>
      <c r="Q270" s="269">
        <f t="shared" si="60"/>
        <v>1728.11</v>
      </c>
      <c r="R270" s="269">
        <f>+P270</f>
        <v>1728.11</v>
      </c>
      <c r="S270" s="269">
        <f t="shared" ref="S270:AC270" si="78">+R270</f>
        <v>1728.11</v>
      </c>
      <c r="T270" s="269">
        <f t="shared" si="78"/>
        <v>1728.11</v>
      </c>
      <c r="U270" s="269">
        <f t="shared" si="78"/>
        <v>1728.11</v>
      </c>
      <c r="V270" s="269">
        <f t="shared" si="78"/>
        <v>1728.11</v>
      </c>
      <c r="W270" s="269">
        <f t="shared" si="78"/>
        <v>1728.11</v>
      </c>
      <c r="X270" s="269">
        <f t="shared" si="78"/>
        <v>1728.11</v>
      </c>
      <c r="Y270" s="269">
        <f t="shared" si="78"/>
        <v>1728.11</v>
      </c>
      <c r="Z270" s="269">
        <f t="shared" si="78"/>
        <v>1728.11</v>
      </c>
      <c r="AA270" s="269">
        <f t="shared" si="78"/>
        <v>1728.11</v>
      </c>
      <c r="AB270" s="269">
        <f t="shared" si="78"/>
        <v>1728.11</v>
      </c>
      <c r="AC270" s="270">
        <f t="shared" si="78"/>
        <v>1728.11</v>
      </c>
    </row>
    <row r="271" spans="2:34" outlineLevel="1" x14ac:dyDescent="0.4">
      <c r="C271" s="278" t="s">
        <v>665</v>
      </c>
      <c r="D271" s="279"/>
      <c r="E271" s="280">
        <f t="shared" ref="E271:AC271" si="79">+E267+E268+E269+E270</f>
        <v>134506.32999999999</v>
      </c>
      <c r="F271" s="280">
        <f t="shared" si="79"/>
        <v>133013.69</v>
      </c>
      <c r="G271" s="280">
        <f t="shared" si="79"/>
        <v>122673.74</v>
      </c>
      <c r="H271" s="280">
        <f t="shared" si="79"/>
        <v>143066.98999999996</v>
      </c>
      <c r="I271" s="280">
        <f t="shared" si="79"/>
        <v>132961.67000000001</v>
      </c>
      <c r="J271" s="280">
        <f t="shared" si="79"/>
        <v>155639.67999999999</v>
      </c>
      <c r="K271" s="280">
        <f t="shared" si="79"/>
        <v>187308.11</v>
      </c>
      <c r="L271" s="280">
        <f t="shared" si="79"/>
        <v>184839.63</v>
      </c>
      <c r="M271" s="280">
        <f t="shared" si="79"/>
        <v>104286.27000000002</v>
      </c>
      <c r="N271" s="280">
        <f t="shared" si="79"/>
        <v>167046.38</v>
      </c>
      <c r="O271" s="280">
        <f t="shared" si="79"/>
        <v>165780.41999999998</v>
      </c>
      <c r="P271" s="280">
        <f t="shared" si="79"/>
        <v>194765.33</v>
      </c>
      <c r="Q271" s="280">
        <f t="shared" si="60"/>
        <v>194765.33</v>
      </c>
      <c r="R271" s="280">
        <f t="shared" si="79"/>
        <v>193744.33</v>
      </c>
      <c r="S271" s="280">
        <f t="shared" si="79"/>
        <v>251174.85395712624</v>
      </c>
      <c r="T271" s="280">
        <f t="shared" si="79"/>
        <v>220699.74379790595</v>
      </c>
      <c r="U271" s="280">
        <f t="shared" si="79"/>
        <v>252221.76615977098</v>
      </c>
      <c r="V271" s="280">
        <f t="shared" si="79"/>
        <v>286443.22649529064</v>
      </c>
      <c r="W271" s="280">
        <f t="shared" si="79"/>
        <v>305839.51016097947</v>
      </c>
      <c r="X271" s="280">
        <f t="shared" si="79"/>
        <v>320125.38541592495</v>
      </c>
      <c r="Y271" s="280">
        <f t="shared" si="79"/>
        <v>324783.84587962471</v>
      </c>
      <c r="Z271" s="280">
        <f t="shared" si="79"/>
        <v>320702.91832204373</v>
      </c>
      <c r="AA271" s="280">
        <f t="shared" si="79"/>
        <v>307699.99600201263</v>
      </c>
      <c r="AB271" s="280">
        <f t="shared" si="79"/>
        <v>364203.98550072068</v>
      </c>
      <c r="AC271" s="281">
        <f t="shared" si="79"/>
        <v>404403.02750681026</v>
      </c>
    </row>
    <row r="272" spans="2:34" outlineLevel="1" x14ac:dyDescent="0.4">
      <c r="C272" s="267" t="s">
        <v>666</v>
      </c>
      <c r="D272" s="154"/>
      <c r="E272" s="268">
        <v>0</v>
      </c>
      <c r="F272" s="268">
        <v>0</v>
      </c>
      <c r="G272" s="268">
        <v>0</v>
      </c>
      <c r="H272" s="268">
        <v>0</v>
      </c>
      <c r="I272" s="268">
        <v>0</v>
      </c>
      <c r="J272" s="268">
        <v>0</v>
      </c>
      <c r="K272" s="269">
        <f>+K297</f>
        <v>0</v>
      </c>
      <c r="L272" s="268">
        <f>+K272+L297-L298</f>
        <v>0</v>
      </c>
      <c r="M272" s="268">
        <f t="shared" ref="M272:O272" si="80">+L272+M297-M298</f>
        <v>0</v>
      </c>
      <c r="N272" s="268">
        <f t="shared" si="80"/>
        <v>0</v>
      </c>
      <c r="O272" s="268">
        <f t="shared" si="80"/>
        <v>0</v>
      </c>
      <c r="P272" s="268">
        <f>+O272+P297-P298</f>
        <v>0</v>
      </c>
      <c r="Q272" s="269">
        <f t="shared" si="60"/>
        <v>0</v>
      </c>
      <c r="R272" s="268">
        <f>+P272+R297-R298</f>
        <v>0</v>
      </c>
      <c r="S272" s="268">
        <f t="shared" ref="S272:AC272" si="81">+R272+S297-S298</f>
        <v>0</v>
      </c>
      <c r="T272" s="268">
        <f t="shared" si="81"/>
        <v>0</v>
      </c>
      <c r="U272" s="268">
        <f t="shared" si="81"/>
        <v>0</v>
      </c>
      <c r="V272" s="268">
        <f t="shared" si="81"/>
        <v>0</v>
      </c>
      <c r="W272" s="268">
        <f t="shared" si="81"/>
        <v>0</v>
      </c>
      <c r="X272" s="268">
        <f t="shared" si="81"/>
        <v>0</v>
      </c>
      <c r="Y272" s="268">
        <f t="shared" si="81"/>
        <v>0</v>
      </c>
      <c r="Z272" s="268">
        <f t="shared" si="81"/>
        <v>0</v>
      </c>
      <c r="AA272" s="268">
        <f t="shared" si="81"/>
        <v>0</v>
      </c>
      <c r="AB272" s="268">
        <f t="shared" si="81"/>
        <v>0</v>
      </c>
      <c r="AC272" s="282">
        <f t="shared" si="81"/>
        <v>0</v>
      </c>
    </row>
    <row r="273" spans="2:34" outlineLevel="1" x14ac:dyDescent="0.4">
      <c r="C273" s="278" t="s">
        <v>667</v>
      </c>
      <c r="D273" s="279"/>
      <c r="E273" s="280">
        <f t="shared" ref="E273:J273" si="82">+E272</f>
        <v>0</v>
      </c>
      <c r="F273" s="280">
        <f t="shared" si="82"/>
        <v>0</v>
      </c>
      <c r="G273" s="280">
        <f t="shared" si="82"/>
        <v>0</v>
      </c>
      <c r="H273" s="280">
        <f t="shared" si="82"/>
        <v>0</v>
      </c>
      <c r="I273" s="280">
        <f t="shared" si="82"/>
        <v>0</v>
      </c>
      <c r="J273" s="280">
        <f t="shared" si="82"/>
        <v>0</v>
      </c>
      <c r="K273" s="280">
        <f>+K272</f>
        <v>0</v>
      </c>
      <c r="L273" s="280">
        <f>+L272</f>
        <v>0</v>
      </c>
      <c r="M273" s="280">
        <f>+M272</f>
        <v>0</v>
      </c>
      <c r="N273" s="280">
        <f t="shared" ref="N273:AC273" si="83">+N272</f>
        <v>0</v>
      </c>
      <c r="O273" s="280">
        <f t="shared" si="83"/>
        <v>0</v>
      </c>
      <c r="P273" s="280">
        <f t="shared" si="83"/>
        <v>0</v>
      </c>
      <c r="Q273" s="269">
        <f t="shared" si="60"/>
        <v>0</v>
      </c>
      <c r="R273" s="280">
        <f t="shared" si="83"/>
        <v>0</v>
      </c>
      <c r="S273" s="280">
        <f t="shared" si="83"/>
        <v>0</v>
      </c>
      <c r="T273" s="280">
        <f t="shared" si="83"/>
        <v>0</v>
      </c>
      <c r="U273" s="280">
        <f t="shared" si="83"/>
        <v>0</v>
      </c>
      <c r="V273" s="280">
        <f t="shared" si="83"/>
        <v>0</v>
      </c>
      <c r="W273" s="280">
        <f t="shared" si="83"/>
        <v>0</v>
      </c>
      <c r="X273" s="280">
        <f t="shared" si="83"/>
        <v>0</v>
      </c>
      <c r="Y273" s="280">
        <f t="shared" si="83"/>
        <v>0</v>
      </c>
      <c r="Z273" s="280">
        <f t="shared" si="83"/>
        <v>0</v>
      </c>
      <c r="AA273" s="280">
        <f t="shared" si="83"/>
        <v>0</v>
      </c>
      <c r="AB273" s="280">
        <f t="shared" si="83"/>
        <v>0</v>
      </c>
      <c r="AC273" s="281">
        <f t="shared" si="83"/>
        <v>0</v>
      </c>
    </row>
    <row r="274" spans="2:34" outlineLevel="1" x14ac:dyDescent="0.4">
      <c r="C274" s="278" t="s">
        <v>668</v>
      </c>
      <c r="D274" s="279"/>
      <c r="E274" s="280">
        <f t="shared" ref="E274:I274" si="84">+E271+E273</f>
        <v>134506.32999999999</v>
      </c>
      <c r="F274" s="280">
        <f t="shared" si="84"/>
        <v>133013.69</v>
      </c>
      <c r="G274" s="280">
        <f t="shared" si="84"/>
        <v>122673.74</v>
      </c>
      <c r="H274" s="280">
        <f t="shared" si="84"/>
        <v>143066.98999999996</v>
      </c>
      <c r="I274" s="280">
        <f t="shared" si="84"/>
        <v>132961.67000000001</v>
      </c>
      <c r="J274" s="280">
        <f>+J271+J273</f>
        <v>155639.67999999999</v>
      </c>
      <c r="K274" s="280">
        <f>+K271+K273</f>
        <v>187308.11</v>
      </c>
      <c r="L274" s="280">
        <f t="shared" ref="L274:AC274" si="85">+L271+L273</f>
        <v>184839.63</v>
      </c>
      <c r="M274" s="280">
        <f t="shared" si="85"/>
        <v>104286.27000000002</v>
      </c>
      <c r="N274" s="280">
        <f t="shared" si="85"/>
        <v>167046.38</v>
      </c>
      <c r="O274" s="280">
        <f t="shared" si="85"/>
        <v>165780.41999999998</v>
      </c>
      <c r="P274" s="280">
        <f t="shared" si="85"/>
        <v>194765.33</v>
      </c>
      <c r="Q274" s="280">
        <f t="shared" si="60"/>
        <v>194765.33</v>
      </c>
      <c r="R274" s="280">
        <f t="shared" si="85"/>
        <v>193744.33</v>
      </c>
      <c r="S274" s="280">
        <f t="shared" si="85"/>
        <v>251174.85395712624</v>
      </c>
      <c r="T274" s="280">
        <f t="shared" si="85"/>
        <v>220699.74379790595</v>
      </c>
      <c r="U274" s="280">
        <f t="shared" si="85"/>
        <v>252221.76615977098</v>
      </c>
      <c r="V274" s="280">
        <f t="shared" si="85"/>
        <v>286443.22649529064</v>
      </c>
      <c r="W274" s="280">
        <f t="shared" si="85"/>
        <v>305839.51016097947</v>
      </c>
      <c r="X274" s="280">
        <f t="shared" si="85"/>
        <v>320125.38541592495</v>
      </c>
      <c r="Y274" s="280">
        <f t="shared" si="85"/>
        <v>324783.84587962471</v>
      </c>
      <c r="Z274" s="280">
        <f t="shared" si="85"/>
        <v>320702.91832204373</v>
      </c>
      <c r="AA274" s="280">
        <f t="shared" si="85"/>
        <v>307699.99600201263</v>
      </c>
      <c r="AB274" s="280">
        <f t="shared" si="85"/>
        <v>364203.98550072068</v>
      </c>
      <c r="AC274" s="281">
        <f t="shared" si="85"/>
        <v>404403.02750681026</v>
      </c>
    </row>
    <row r="275" spans="2:34" outlineLevel="1" x14ac:dyDescent="0.4">
      <c r="C275" s="267" t="s">
        <v>669</v>
      </c>
      <c r="D275" s="154"/>
      <c r="E275" s="268">
        <v>54018.99</v>
      </c>
      <c r="F275" s="269">
        <v>54018.99</v>
      </c>
      <c r="G275" s="269">
        <v>54018.99</v>
      </c>
      <c r="H275" s="269">
        <v>54018.99</v>
      </c>
      <c r="I275" s="269">
        <v>54018.99</v>
      </c>
      <c r="J275" s="269">
        <v>54018.99</v>
      </c>
      <c r="K275" s="269">
        <f>+J275</f>
        <v>54018.99</v>
      </c>
      <c r="L275" s="269">
        <f t="shared" ref="L275:P276" si="86">+K275</f>
        <v>54018.99</v>
      </c>
      <c r="M275" s="269">
        <f t="shared" si="86"/>
        <v>54018.99</v>
      </c>
      <c r="N275" s="269">
        <f t="shared" si="86"/>
        <v>54018.99</v>
      </c>
      <c r="O275" s="269">
        <f t="shared" si="86"/>
        <v>54018.99</v>
      </c>
      <c r="P275" s="269">
        <f t="shared" si="86"/>
        <v>54018.99</v>
      </c>
      <c r="Q275" s="269">
        <f t="shared" si="60"/>
        <v>54018.99</v>
      </c>
      <c r="R275" s="269">
        <f>+P275</f>
        <v>54018.99</v>
      </c>
      <c r="S275" s="269">
        <f t="shared" ref="S275:AC275" si="87">+R275</f>
        <v>54018.99</v>
      </c>
      <c r="T275" s="269">
        <f t="shared" si="87"/>
        <v>54018.99</v>
      </c>
      <c r="U275" s="269">
        <f t="shared" si="87"/>
        <v>54018.99</v>
      </c>
      <c r="V275" s="269">
        <f t="shared" si="87"/>
        <v>54018.99</v>
      </c>
      <c r="W275" s="269">
        <f t="shared" si="87"/>
        <v>54018.99</v>
      </c>
      <c r="X275" s="269">
        <f t="shared" si="87"/>
        <v>54018.99</v>
      </c>
      <c r="Y275" s="269">
        <f t="shared" si="87"/>
        <v>54018.99</v>
      </c>
      <c r="Z275" s="269">
        <f t="shared" si="87"/>
        <v>54018.99</v>
      </c>
      <c r="AA275" s="269">
        <f t="shared" si="87"/>
        <v>54018.99</v>
      </c>
      <c r="AB275" s="269">
        <f t="shared" si="87"/>
        <v>54018.99</v>
      </c>
      <c r="AC275" s="270">
        <f t="shared" si="87"/>
        <v>54018.99</v>
      </c>
    </row>
    <row r="276" spans="2:34" outlineLevel="1" x14ac:dyDescent="0.4">
      <c r="C276" s="267" t="s">
        <v>670</v>
      </c>
      <c r="D276" s="154"/>
      <c r="E276" s="268">
        <v>1000</v>
      </c>
      <c r="F276" s="269">
        <v>1000</v>
      </c>
      <c r="G276" s="269">
        <v>1000</v>
      </c>
      <c r="H276" s="269">
        <v>1000</v>
      </c>
      <c r="I276" s="269">
        <v>1000</v>
      </c>
      <c r="J276" s="269">
        <v>1000</v>
      </c>
      <c r="K276" s="269">
        <f t="shared" ref="K276:AC276" si="88">+J276</f>
        <v>1000</v>
      </c>
      <c r="L276" s="269">
        <f t="shared" si="88"/>
        <v>1000</v>
      </c>
      <c r="M276" s="269">
        <f t="shared" si="86"/>
        <v>1000</v>
      </c>
      <c r="N276" s="269">
        <f t="shared" si="86"/>
        <v>1000</v>
      </c>
      <c r="O276" s="269">
        <f t="shared" si="86"/>
        <v>1000</v>
      </c>
      <c r="P276" s="269">
        <f t="shared" si="86"/>
        <v>1000</v>
      </c>
      <c r="Q276" s="269">
        <f t="shared" si="60"/>
        <v>1000</v>
      </c>
      <c r="R276" s="269">
        <f>+P276</f>
        <v>1000</v>
      </c>
      <c r="S276" s="269">
        <f t="shared" si="88"/>
        <v>1000</v>
      </c>
      <c r="T276" s="269">
        <f t="shared" si="88"/>
        <v>1000</v>
      </c>
      <c r="U276" s="269">
        <f t="shared" si="88"/>
        <v>1000</v>
      </c>
      <c r="V276" s="269">
        <f t="shared" si="88"/>
        <v>1000</v>
      </c>
      <c r="W276" s="269">
        <f t="shared" si="88"/>
        <v>1000</v>
      </c>
      <c r="X276" s="269">
        <f t="shared" si="88"/>
        <v>1000</v>
      </c>
      <c r="Y276" s="269">
        <f t="shared" si="88"/>
        <v>1000</v>
      </c>
      <c r="Z276" s="269">
        <f t="shared" si="88"/>
        <v>1000</v>
      </c>
      <c r="AA276" s="269">
        <f t="shared" si="88"/>
        <v>1000</v>
      </c>
      <c r="AB276" s="269">
        <f t="shared" si="88"/>
        <v>1000</v>
      </c>
      <c r="AC276" s="270">
        <f t="shared" si="88"/>
        <v>1000</v>
      </c>
    </row>
    <row r="277" spans="2:34" outlineLevel="1" x14ac:dyDescent="0.4">
      <c r="C277" s="267" t="s">
        <v>671</v>
      </c>
      <c r="D277" s="154"/>
      <c r="E277" s="273"/>
      <c r="F277" s="269"/>
      <c r="G277" s="269"/>
      <c r="H277" s="269"/>
      <c r="I277" s="269"/>
      <c r="J277" s="269"/>
      <c r="K277" s="269">
        <f>+J277+K299+K300+K301</f>
        <v>0</v>
      </c>
      <c r="L277" s="269">
        <f t="shared" ref="L277:P277" si="89">+K277+L299+L300+L301</f>
        <v>125000</v>
      </c>
      <c r="M277" s="269">
        <f t="shared" si="89"/>
        <v>155000</v>
      </c>
      <c r="N277" s="269">
        <f t="shared" si="89"/>
        <v>155000</v>
      </c>
      <c r="O277" s="269">
        <f t="shared" si="89"/>
        <v>155000</v>
      </c>
      <c r="P277" s="269">
        <f t="shared" si="89"/>
        <v>175000</v>
      </c>
      <c r="Q277" s="269">
        <f t="shared" si="60"/>
        <v>175000</v>
      </c>
      <c r="R277" s="269">
        <f>+Q277+R299+R300+R301</f>
        <v>200000</v>
      </c>
      <c r="S277" s="269">
        <f t="shared" ref="S277:AC277" si="90">+R277+S299+S300+S301</f>
        <v>200000</v>
      </c>
      <c r="T277" s="269">
        <f t="shared" si="90"/>
        <v>200000</v>
      </c>
      <c r="U277" s="269">
        <f t="shared" si="90"/>
        <v>200000</v>
      </c>
      <c r="V277" s="269">
        <f t="shared" si="90"/>
        <v>200000</v>
      </c>
      <c r="W277" s="269">
        <f t="shared" si="90"/>
        <v>200000</v>
      </c>
      <c r="X277" s="269">
        <f t="shared" si="90"/>
        <v>200000</v>
      </c>
      <c r="Y277" s="269">
        <f t="shared" si="90"/>
        <v>200000</v>
      </c>
      <c r="Z277" s="269">
        <f t="shared" si="90"/>
        <v>200000</v>
      </c>
      <c r="AA277" s="269">
        <f t="shared" si="90"/>
        <v>200000</v>
      </c>
      <c r="AB277" s="269">
        <f t="shared" si="90"/>
        <v>200000</v>
      </c>
      <c r="AC277" s="270">
        <f t="shared" si="90"/>
        <v>200000</v>
      </c>
    </row>
    <row r="278" spans="2:34" outlineLevel="1" x14ac:dyDescent="0.4">
      <c r="C278" s="267" t="s">
        <v>672</v>
      </c>
      <c r="D278" s="154"/>
      <c r="E278" s="273">
        <f t="shared" ref="E278:P278" si="91">+E247</f>
        <v>-1601.0799999999872</v>
      </c>
      <c r="F278" s="269">
        <f t="shared" si="91"/>
        <v>1155.7499999999914</v>
      </c>
      <c r="G278" s="269">
        <f t="shared" si="91"/>
        <v>-5247.1700000000055</v>
      </c>
      <c r="H278" s="269">
        <f t="shared" si="91"/>
        <v>-2315.8500000000063</v>
      </c>
      <c r="I278" s="269">
        <f t="shared" si="91"/>
        <v>-9779.5200000000168</v>
      </c>
      <c r="J278" s="269">
        <f t="shared" si="91"/>
        <v>-6918.5800000000099</v>
      </c>
      <c r="K278" s="269">
        <f t="shared" si="91"/>
        <v>1912.2983802243191</v>
      </c>
      <c r="L278" s="269">
        <f t="shared" si="91"/>
        <v>-21713.195789190082</v>
      </c>
      <c r="M278" s="269">
        <f t="shared" si="91"/>
        <v>-7722.579999999999</v>
      </c>
      <c r="N278" s="269">
        <f t="shared" si="91"/>
        <v>-10219.669999999995</v>
      </c>
      <c r="O278" s="269">
        <f t="shared" si="91"/>
        <v>5723.0769999999939</v>
      </c>
      <c r="P278" s="269">
        <f t="shared" si="91"/>
        <v>-12977.9</v>
      </c>
      <c r="Q278" s="269">
        <f t="shared" si="60"/>
        <v>-12977.9</v>
      </c>
      <c r="R278" s="269">
        <f t="shared" ref="R278:AC278" si="92">+R247</f>
        <v>-3249.4810727164586</v>
      </c>
      <c r="S278" s="269">
        <f t="shared" si="92"/>
        <v>-8006.9180223408039</v>
      </c>
      <c r="T278" s="269">
        <f t="shared" si="92"/>
        <v>-7848.1898407797125</v>
      </c>
      <c r="U278" s="269">
        <f t="shared" si="92"/>
        <v>-5127.0823618650247</v>
      </c>
      <c r="V278" s="269">
        <f t="shared" si="92"/>
        <v>-4345.2978355196465</v>
      </c>
      <c r="W278" s="269">
        <f t="shared" si="92"/>
        <v>-1619.93042068879</v>
      </c>
      <c r="X278" s="269">
        <f t="shared" si="92"/>
        <v>-3058.8719757954823</v>
      </c>
      <c r="Y278" s="269">
        <f t="shared" si="92"/>
        <v>146.79888269077637</v>
      </c>
      <c r="Z278" s="269">
        <f t="shared" si="92"/>
        <v>1731.917479688814</v>
      </c>
      <c r="AA278" s="269">
        <f t="shared" si="92"/>
        <v>1310.980200303474</v>
      </c>
      <c r="AB278" s="269">
        <f t="shared" si="92"/>
        <v>2679.7309631620533</v>
      </c>
      <c r="AC278" s="270">
        <f t="shared" si="92"/>
        <v>8127.3231044213562</v>
      </c>
    </row>
    <row r="279" spans="2:34" outlineLevel="1" x14ac:dyDescent="0.4">
      <c r="C279" s="267" t="s">
        <v>673</v>
      </c>
      <c r="D279" s="154"/>
      <c r="E279" s="268">
        <v>-97918</v>
      </c>
      <c r="F279" s="269">
        <f>+E278+E279</f>
        <v>-99519.079999999987</v>
      </c>
      <c r="G279" s="269">
        <f t="shared" ref="G279:J279" si="93">+F278+F279</f>
        <v>-98363.33</v>
      </c>
      <c r="H279" s="269">
        <f t="shared" si="93"/>
        <v>-103610.5</v>
      </c>
      <c r="I279" s="269">
        <f t="shared" si="93"/>
        <v>-105926.35</v>
      </c>
      <c r="J279" s="269">
        <f t="shared" si="93"/>
        <v>-115705.87000000002</v>
      </c>
      <c r="K279" s="269">
        <v>-127167.72838022432</v>
      </c>
      <c r="L279" s="269">
        <f>+K279+K278</f>
        <v>-125255.43</v>
      </c>
      <c r="M279" s="269">
        <f>-146640.28-1000</f>
        <v>-147640.28</v>
      </c>
      <c r="N279" s="269">
        <v>-156382.29</v>
      </c>
      <c r="O279" s="269">
        <f t="shared" ref="O279:P279" si="94">+N279+N278</f>
        <v>-166601.96</v>
      </c>
      <c r="P279" s="269">
        <f t="shared" si="94"/>
        <v>-160878.883</v>
      </c>
      <c r="Q279" s="269">
        <f t="shared" si="60"/>
        <v>-160878.883</v>
      </c>
      <c r="R279" s="269">
        <f>+P279+P278</f>
        <v>-173856.783</v>
      </c>
      <c r="S279" s="269">
        <f t="shared" ref="S279:AC279" si="95">+R279+R278</f>
        <v>-177106.26407271647</v>
      </c>
      <c r="T279" s="269">
        <f t="shared" si="95"/>
        <v>-185113.18209505727</v>
      </c>
      <c r="U279" s="269">
        <f t="shared" si="95"/>
        <v>-192961.37193583697</v>
      </c>
      <c r="V279" s="269">
        <f t="shared" si="95"/>
        <v>-198088.454297702</v>
      </c>
      <c r="W279" s="269">
        <f t="shared" si="95"/>
        <v>-202433.75213322166</v>
      </c>
      <c r="X279" s="269">
        <f t="shared" si="95"/>
        <v>-204053.68255391045</v>
      </c>
      <c r="Y279" s="269">
        <f t="shared" si="95"/>
        <v>-207112.55452970593</v>
      </c>
      <c r="Z279" s="269">
        <f t="shared" si="95"/>
        <v>-206965.75564701515</v>
      </c>
      <c r="AA279" s="269">
        <f t="shared" si="95"/>
        <v>-205233.83816732632</v>
      </c>
      <c r="AB279" s="269">
        <f t="shared" si="95"/>
        <v>-203922.85796702284</v>
      </c>
      <c r="AC279" s="270">
        <f t="shared" si="95"/>
        <v>-201243.12700386078</v>
      </c>
    </row>
    <row r="280" spans="2:34" outlineLevel="1" x14ac:dyDescent="0.4">
      <c r="C280" s="283" t="s">
        <v>674</v>
      </c>
      <c r="D280" s="284"/>
      <c r="E280" s="285">
        <f t="shared" ref="E280:J280" si="96">+E275+E278+E279+E277+E276</f>
        <v>-44500.089999999989</v>
      </c>
      <c r="F280" s="285">
        <f t="shared" si="96"/>
        <v>-43344.34</v>
      </c>
      <c r="G280" s="285">
        <f t="shared" si="96"/>
        <v>-48591.510000000009</v>
      </c>
      <c r="H280" s="285">
        <f t="shared" si="96"/>
        <v>-50907.360000000008</v>
      </c>
      <c r="I280" s="285">
        <f t="shared" si="96"/>
        <v>-60686.880000000026</v>
      </c>
      <c r="J280" s="285">
        <f t="shared" si="96"/>
        <v>-67605.460000000036</v>
      </c>
      <c r="K280" s="285">
        <f>+K275+K278+K279+K277+K276</f>
        <v>-70236.44</v>
      </c>
      <c r="L280" s="285">
        <f>+L275+L278+L279+L277+L276</f>
        <v>33050.36421080993</v>
      </c>
      <c r="M280" s="285">
        <f t="shared" ref="M280:AC280" si="97">+M275+M278+M279+M277+M276</f>
        <v>54656.130000000005</v>
      </c>
      <c r="N280" s="285">
        <f t="shared" si="97"/>
        <v>43417.03</v>
      </c>
      <c r="O280" s="285">
        <f t="shared" si="97"/>
        <v>49140.107000000004</v>
      </c>
      <c r="P280" s="285">
        <f t="shared" si="97"/>
        <v>56162.206999999995</v>
      </c>
      <c r="Q280" s="285">
        <f t="shared" si="60"/>
        <v>56162.206999999995</v>
      </c>
      <c r="R280" s="285">
        <f t="shared" si="97"/>
        <v>77912.725927283551</v>
      </c>
      <c r="S280" s="285">
        <f t="shared" si="97"/>
        <v>69905.807904942718</v>
      </c>
      <c r="T280" s="285">
        <f t="shared" si="97"/>
        <v>62057.61806416302</v>
      </c>
      <c r="U280" s="285">
        <f t="shared" si="97"/>
        <v>56930.535702297988</v>
      </c>
      <c r="V280" s="285">
        <f t="shared" si="97"/>
        <v>52585.237866778334</v>
      </c>
      <c r="W280" s="285">
        <f t="shared" si="97"/>
        <v>50965.307446089544</v>
      </c>
      <c r="X280" s="285">
        <f t="shared" si="97"/>
        <v>47906.435470294062</v>
      </c>
      <c r="Y280" s="285">
        <f t="shared" si="97"/>
        <v>48053.234352984844</v>
      </c>
      <c r="Z280" s="285">
        <f t="shared" si="97"/>
        <v>49785.15183267367</v>
      </c>
      <c r="AA280" s="285">
        <f t="shared" si="97"/>
        <v>51096.132032977155</v>
      </c>
      <c r="AB280" s="285">
        <f t="shared" si="97"/>
        <v>53775.862996139214</v>
      </c>
      <c r="AC280" s="286">
        <f t="shared" si="97"/>
        <v>61903.18610056059</v>
      </c>
    </row>
    <row r="281" spans="2:34" outlineLevel="1" x14ac:dyDescent="0.4">
      <c r="C281" s="287" t="s">
        <v>675</v>
      </c>
      <c r="D281" s="288"/>
      <c r="E281" s="289">
        <f t="shared" ref="E281:F281" si="98">+E266-E274-E280</f>
        <v>0</v>
      </c>
      <c r="F281" s="290">
        <f t="shared" si="98"/>
        <v>0</v>
      </c>
      <c r="G281" s="291">
        <f>+G266-G274-G280</f>
        <v>0</v>
      </c>
      <c r="H281" s="290">
        <f>+H266-H274-H280</f>
        <v>0</v>
      </c>
      <c r="I281" s="290">
        <f t="shared" ref="I281" si="99">+I266-I274-I280</f>
        <v>0</v>
      </c>
      <c r="J281" s="290">
        <f>+J266-J274-J280</f>
        <v>0</v>
      </c>
      <c r="K281" s="292">
        <f>+K266-K274-K280</f>
        <v>0</v>
      </c>
      <c r="L281" s="292">
        <f t="shared" ref="L281:AC281" si="100">+L266-L274-L280</f>
        <v>0</v>
      </c>
      <c r="M281" s="292">
        <f t="shared" si="100"/>
        <v>0</v>
      </c>
      <c r="N281" s="293">
        <f t="shared" si="100"/>
        <v>0</v>
      </c>
      <c r="O281" s="293">
        <f t="shared" si="100"/>
        <v>0</v>
      </c>
      <c r="P281" s="293">
        <f t="shared" si="100"/>
        <v>0</v>
      </c>
      <c r="Q281" s="293">
        <f t="shared" si="100"/>
        <v>0</v>
      </c>
      <c r="R281" s="293">
        <f t="shared" si="100"/>
        <v>0</v>
      </c>
      <c r="S281" s="293">
        <f t="shared" si="100"/>
        <v>0</v>
      </c>
      <c r="T281" s="293">
        <f t="shared" si="100"/>
        <v>0</v>
      </c>
      <c r="U281" s="293">
        <f t="shared" si="100"/>
        <v>0</v>
      </c>
      <c r="V281" s="293">
        <f t="shared" si="100"/>
        <v>0</v>
      </c>
      <c r="W281" s="293">
        <f t="shared" si="100"/>
        <v>0</v>
      </c>
      <c r="X281" s="293">
        <f t="shared" si="100"/>
        <v>0</v>
      </c>
      <c r="Y281" s="293">
        <f t="shared" si="100"/>
        <v>-8.7311491370201111E-11</v>
      </c>
      <c r="Z281" s="293">
        <f t="shared" si="100"/>
        <v>0</v>
      </c>
      <c r="AA281" s="293">
        <f t="shared" si="100"/>
        <v>0</v>
      </c>
      <c r="AB281" s="293">
        <f t="shared" si="100"/>
        <v>-5.8207660913467407E-11</v>
      </c>
      <c r="AC281" s="294">
        <f t="shared" si="100"/>
        <v>-1.1641532182693481E-10</v>
      </c>
    </row>
    <row r="282" spans="2:34" outlineLevel="1" x14ac:dyDescent="0.4">
      <c r="F282" s="112"/>
      <c r="K282" s="112"/>
      <c r="L282" s="112"/>
      <c r="M282" s="112"/>
    </row>
    <row r="283" spans="2:34" x14ac:dyDescent="0.4">
      <c r="F283" s="112"/>
      <c r="L283" s="295"/>
    </row>
    <row r="284" spans="2:34" ht="28.2" x14ac:dyDescent="0.5">
      <c r="C284" s="296" t="s">
        <v>676</v>
      </c>
      <c r="D284" s="297"/>
      <c r="E284" s="298" t="s">
        <v>458</v>
      </c>
      <c r="F284" s="298" t="s">
        <v>459</v>
      </c>
      <c r="G284" s="298" t="s">
        <v>460</v>
      </c>
      <c r="H284" s="298" t="s">
        <v>461</v>
      </c>
      <c r="I284" s="298" t="s">
        <v>462</v>
      </c>
      <c r="J284" s="298" t="s">
        <v>463</v>
      </c>
      <c r="K284" s="298" t="s">
        <v>464</v>
      </c>
      <c r="L284" s="298" t="s">
        <v>465</v>
      </c>
      <c r="M284" s="298" t="s">
        <v>466</v>
      </c>
      <c r="N284" s="298" t="s">
        <v>467</v>
      </c>
      <c r="O284" s="298" t="s">
        <v>468</v>
      </c>
      <c r="P284" s="298" t="s">
        <v>469</v>
      </c>
      <c r="Q284" s="298">
        <v>2024</v>
      </c>
      <c r="R284" s="298" t="s">
        <v>458</v>
      </c>
      <c r="S284" s="298" t="s">
        <v>459</v>
      </c>
      <c r="T284" s="298" t="s">
        <v>460</v>
      </c>
      <c r="U284" s="298" t="s">
        <v>461</v>
      </c>
      <c r="V284" s="298" t="s">
        <v>462</v>
      </c>
      <c r="W284" s="298" t="s">
        <v>463</v>
      </c>
      <c r="X284" s="298" t="s">
        <v>464</v>
      </c>
      <c r="Y284" s="298" t="s">
        <v>465</v>
      </c>
      <c r="Z284" s="298" t="s">
        <v>466</v>
      </c>
      <c r="AA284" s="298" t="s">
        <v>467</v>
      </c>
      <c r="AB284" s="298" t="s">
        <v>468</v>
      </c>
      <c r="AC284" s="299" t="s">
        <v>469</v>
      </c>
      <c r="AD284" s="122"/>
      <c r="AE284" s="122"/>
      <c r="AF284" s="122"/>
      <c r="AG284" s="122"/>
      <c r="AH284" s="122"/>
    </row>
    <row r="285" spans="2:34" x14ac:dyDescent="0.4">
      <c r="B285" s="122" t="s">
        <v>677</v>
      </c>
      <c r="C285" s="223" t="s">
        <v>672</v>
      </c>
      <c r="D285" s="224"/>
      <c r="E285" s="300">
        <f t="shared" ref="E285:P285" si="101">+E247</f>
        <v>-1601.0799999999872</v>
      </c>
      <c r="F285" s="300">
        <f t="shared" si="101"/>
        <v>1155.7499999999914</v>
      </c>
      <c r="G285" s="300">
        <f t="shared" si="101"/>
        <v>-5247.1700000000055</v>
      </c>
      <c r="H285" s="300">
        <f t="shared" si="101"/>
        <v>-2315.8500000000063</v>
      </c>
      <c r="I285" s="300">
        <f t="shared" si="101"/>
        <v>-9779.5200000000168</v>
      </c>
      <c r="J285" s="300">
        <f t="shared" si="101"/>
        <v>-6918.5800000000099</v>
      </c>
      <c r="K285" s="300">
        <f t="shared" si="101"/>
        <v>1912.2983802243191</v>
      </c>
      <c r="L285" s="300">
        <f t="shared" si="101"/>
        <v>-21713.195789190082</v>
      </c>
      <c r="M285" s="300">
        <f t="shared" si="101"/>
        <v>-7722.579999999999</v>
      </c>
      <c r="N285" s="300">
        <f t="shared" si="101"/>
        <v>-10219.669999999995</v>
      </c>
      <c r="O285" s="300">
        <f t="shared" si="101"/>
        <v>5723.0769999999939</v>
      </c>
      <c r="P285" s="300">
        <f t="shared" si="101"/>
        <v>-12977.9</v>
      </c>
      <c r="Q285" s="300">
        <f>SUM(E285:P285)</f>
        <v>-69704.420408965801</v>
      </c>
      <c r="R285" s="300">
        <f t="shared" ref="R285:AC285" si="102">+R247</f>
        <v>-3249.4810727164586</v>
      </c>
      <c r="S285" s="300">
        <f t="shared" si="102"/>
        <v>-8006.9180223408039</v>
      </c>
      <c r="T285" s="300">
        <f t="shared" si="102"/>
        <v>-7848.1898407797125</v>
      </c>
      <c r="U285" s="300">
        <f t="shared" si="102"/>
        <v>-5127.0823618650247</v>
      </c>
      <c r="V285" s="300">
        <f t="shared" si="102"/>
        <v>-4345.2978355196465</v>
      </c>
      <c r="W285" s="300">
        <f t="shared" si="102"/>
        <v>-1619.93042068879</v>
      </c>
      <c r="X285" s="300">
        <f t="shared" si="102"/>
        <v>-3058.8719757954823</v>
      </c>
      <c r="Y285" s="300">
        <f t="shared" si="102"/>
        <v>146.79888269077637</v>
      </c>
      <c r="Z285" s="300">
        <f t="shared" si="102"/>
        <v>1731.917479688814</v>
      </c>
      <c r="AA285" s="300">
        <f t="shared" si="102"/>
        <v>1310.980200303474</v>
      </c>
      <c r="AB285" s="300">
        <f t="shared" si="102"/>
        <v>2679.7309631620533</v>
      </c>
      <c r="AC285" s="301">
        <f t="shared" si="102"/>
        <v>8127.3231044213562</v>
      </c>
    </row>
    <row r="286" spans="2:34" hidden="1" outlineLevel="2" x14ac:dyDescent="0.4">
      <c r="B286" s="122" t="s">
        <v>677</v>
      </c>
      <c r="C286" s="216" t="s">
        <v>498</v>
      </c>
      <c r="D286" s="240"/>
      <c r="E286" s="302"/>
      <c r="F286" s="302">
        <f t="shared" ref="F286:P286" si="103">+F238</f>
        <v>0</v>
      </c>
      <c r="G286" s="302">
        <f t="shared" si="103"/>
        <v>0</v>
      </c>
      <c r="H286" s="302">
        <f t="shared" si="103"/>
        <v>0</v>
      </c>
      <c r="I286" s="302">
        <f t="shared" si="103"/>
        <v>0</v>
      </c>
      <c r="J286" s="302">
        <f t="shared" si="103"/>
        <v>0</v>
      </c>
      <c r="K286" s="302">
        <f t="shared" si="103"/>
        <v>0</v>
      </c>
      <c r="L286" s="302">
        <f t="shared" si="103"/>
        <v>0</v>
      </c>
      <c r="M286" s="302">
        <f t="shared" si="103"/>
        <v>0</v>
      </c>
      <c r="N286" s="302">
        <f t="shared" si="103"/>
        <v>0</v>
      </c>
      <c r="O286" s="302">
        <f t="shared" si="103"/>
        <v>0</v>
      </c>
      <c r="P286" s="302">
        <f t="shared" si="103"/>
        <v>0</v>
      </c>
      <c r="Q286" s="302">
        <f t="shared" ref="Q286:Q303" si="104">SUM(E286:P286)</f>
        <v>0</v>
      </c>
      <c r="R286" s="302">
        <f t="shared" ref="R286:AC286" si="105">+R238</f>
        <v>0</v>
      </c>
      <c r="S286" s="302">
        <f t="shared" si="105"/>
        <v>0</v>
      </c>
      <c r="T286" s="302">
        <f t="shared" si="105"/>
        <v>0</v>
      </c>
      <c r="U286" s="302">
        <f t="shared" si="105"/>
        <v>0</v>
      </c>
      <c r="V286" s="302">
        <f t="shared" si="105"/>
        <v>0</v>
      </c>
      <c r="W286" s="302">
        <f t="shared" si="105"/>
        <v>0</v>
      </c>
      <c r="X286" s="302">
        <f t="shared" si="105"/>
        <v>0</v>
      </c>
      <c r="Y286" s="302">
        <f t="shared" si="105"/>
        <v>0</v>
      </c>
      <c r="Z286" s="302">
        <f t="shared" si="105"/>
        <v>0</v>
      </c>
      <c r="AA286" s="302">
        <f t="shared" si="105"/>
        <v>0</v>
      </c>
      <c r="AB286" s="302">
        <f t="shared" si="105"/>
        <v>0</v>
      </c>
      <c r="AC286" s="303">
        <f t="shared" si="105"/>
        <v>851.60416666666663</v>
      </c>
    </row>
    <row r="287" spans="2:34" hidden="1" outlineLevel="2" x14ac:dyDescent="0.4">
      <c r="B287" s="122" t="s">
        <v>677</v>
      </c>
      <c r="C287" s="216" t="s">
        <v>637</v>
      </c>
      <c r="D287" s="240"/>
      <c r="E287" s="302"/>
      <c r="F287" s="302">
        <f t="shared" ref="F287:P287" si="106">+F239</f>
        <v>0</v>
      </c>
      <c r="G287" s="302">
        <f t="shared" si="106"/>
        <v>0</v>
      </c>
      <c r="H287" s="302">
        <f t="shared" si="106"/>
        <v>0</v>
      </c>
      <c r="I287" s="302">
        <f t="shared" si="106"/>
        <v>0</v>
      </c>
      <c r="J287" s="302">
        <f t="shared" si="106"/>
        <v>0</v>
      </c>
      <c r="K287" s="302">
        <f t="shared" si="106"/>
        <v>0</v>
      </c>
      <c r="L287" s="302">
        <f t="shared" si="106"/>
        <v>0</v>
      </c>
      <c r="M287" s="302">
        <f t="shared" si="106"/>
        <v>0</v>
      </c>
      <c r="N287" s="302">
        <f t="shared" si="106"/>
        <v>0</v>
      </c>
      <c r="O287" s="302">
        <f t="shared" si="106"/>
        <v>0</v>
      </c>
      <c r="P287" s="302">
        <f t="shared" si="106"/>
        <v>0</v>
      </c>
      <c r="Q287" s="302">
        <f t="shared" si="104"/>
        <v>0</v>
      </c>
      <c r="R287" s="302">
        <f t="shared" ref="R287:AC287" si="107">+R239</f>
        <v>0</v>
      </c>
      <c r="S287" s="302">
        <f t="shared" si="107"/>
        <v>0</v>
      </c>
      <c r="T287" s="302">
        <f t="shared" si="107"/>
        <v>0</v>
      </c>
      <c r="U287" s="302">
        <f t="shared" si="107"/>
        <v>0</v>
      </c>
      <c r="V287" s="302">
        <f t="shared" si="107"/>
        <v>0</v>
      </c>
      <c r="W287" s="302">
        <f t="shared" si="107"/>
        <v>0</v>
      </c>
      <c r="X287" s="302">
        <f t="shared" si="107"/>
        <v>0</v>
      </c>
      <c r="Y287" s="302">
        <f t="shared" si="107"/>
        <v>0</v>
      </c>
      <c r="Z287" s="302">
        <f t="shared" si="107"/>
        <v>0</v>
      </c>
      <c r="AA287" s="302">
        <f t="shared" si="107"/>
        <v>0</v>
      </c>
      <c r="AB287" s="302">
        <f t="shared" si="107"/>
        <v>0</v>
      </c>
      <c r="AC287" s="303">
        <f t="shared" si="107"/>
        <v>0</v>
      </c>
    </row>
    <row r="288" spans="2:34" hidden="1" outlineLevel="2" x14ac:dyDescent="0.4">
      <c r="B288" s="122" t="s">
        <v>678</v>
      </c>
      <c r="C288" s="216" t="s">
        <v>679</v>
      </c>
      <c r="D288" s="240"/>
      <c r="E288" s="302"/>
      <c r="F288" s="302">
        <f>+F257-E257</f>
        <v>1388.7799999999988</v>
      </c>
      <c r="G288" s="302">
        <f t="shared" ref="G288:AC289" si="108">+G257-F257</f>
        <v>-4418.4899999999989</v>
      </c>
      <c r="H288" s="302">
        <f t="shared" si="108"/>
        <v>1805.3399999999992</v>
      </c>
      <c r="I288" s="302">
        <f t="shared" si="108"/>
        <v>1175.42</v>
      </c>
      <c r="J288" s="302">
        <f t="shared" si="108"/>
        <v>14303.7</v>
      </c>
      <c r="K288" s="302">
        <f>+K257-J257</f>
        <v>-9574.5600000000013</v>
      </c>
      <c r="L288" s="302">
        <f t="shared" si="108"/>
        <v>303.7400000000016</v>
      </c>
      <c r="M288" s="302">
        <f t="shared" si="108"/>
        <v>-3068.9500000000007</v>
      </c>
      <c r="N288" s="302">
        <f t="shared" si="108"/>
        <v>17321.5</v>
      </c>
      <c r="O288" s="302">
        <f t="shared" si="108"/>
        <v>11452.809999999998</v>
      </c>
      <c r="P288" s="302">
        <f t="shared" si="108"/>
        <v>-12170.46</v>
      </c>
      <c r="Q288" s="302">
        <f t="shared" si="104"/>
        <v>18518.829999999998</v>
      </c>
      <c r="R288" s="302">
        <f>+R257-P257</f>
        <v>25063.736206896559</v>
      </c>
      <c r="S288" s="302">
        <f t="shared" si="108"/>
        <v>27614.413793103442</v>
      </c>
      <c r="T288" s="302">
        <f t="shared" si="108"/>
        <v>16000</v>
      </c>
      <c r="U288" s="302">
        <f t="shared" si="108"/>
        <v>6650</v>
      </c>
      <c r="V288" s="302">
        <f t="shared" si="108"/>
        <v>16355.000000000015</v>
      </c>
      <c r="W288" s="302">
        <f t="shared" si="108"/>
        <v>10990.500000000015</v>
      </c>
      <c r="X288" s="302">
        <f t="shared" si="108"/>
        <v>11539.550000000017</v>
      </c>
      <c r="Y288" s="302">
        <f t="shared" si="108"/>
        <v>13193.505000000005</v>
      </c>
      <c r="Z288" s="302">
        <f t="shared" si="108"/>
        <v>15462.855500000005</v>
      </c>
      <c r="AA288" s="302">
        <f t="shared" si="108"/>
        <v>15859.141050000035</v>
      </c>
      <c r="AB288" s="302">
        <f t="shared" si="108"/>
        <v>17395.055155000038</v>
      </c>
      <c r="AC288" s="303">
        <f t="shared" si="108"/>
        <v>19084.560670500068</v>
      </c>
    </row>
    <row r="289" spans="1:29" hidden="1" outlineLevel="2" x14ac:dyDescent="0.4">
      <c r="B289" s="122" t="s">
        <v>678</v>
      </c>
      <c r="C289" s="216" t="s">
        <v>680</v>
      </c>
      <c r="D289" s="240"/>
      <c r="E289" s="302"/>
      <c r="F289" s="302">
        <f>+F258-E258</f>
        <v>-6780.1399999999994</v>
      </c>
      <c r="G289" s="302">
        <f t="shared" si="108"/>
        <v>-6436.49</v>
      </c>
      <c r="H289" s="302">
        <f t="shared" si="108"/>
        <v>6872.49</v>
      </c>
      <c r="I289" s="302">
        <f t="shared" si="108"/>
        <v>-9620.7199999999993</v>
      </c>
      <c r="J289" s="302">
        <f t="shared" si="108"/>
        <v>-672.13000000000102</v>
      </c>
      <c r="K289" s="302">
        <f t="shared" si="108"/>
        <v>33234.639999999999</v>
      </c>
      <c r="L289" s="302">
        <f t="shared" si="108"/>
        <v>-8243.1599999999962</v>
      </c>
      <c r="M289" s="302">
        <f t="shared" si="108"/>
        <v>-4909.0400000000009</v>
      </c>
      <c r="N289" s="302">
        <f>+N258-M258</f>
        <v>34802.53</v>
      </c>
      <c r="O289" s="302">
        <f t="shared" si="108"/>
        <v>-23608.53</v>
      </c>
      <c r="P289" s="302">
        <f t="shared" si="108"/>
        <v>66013.77</v>
      </c>
      <c r="Q289" s="302">
        <f t="shared" si="104"/>
        <v>80653.22</v>
      </c>
      <c r="R289" s="302">
        <f>+R258-P258</f>
        <v>-35357.878137931039</v>
      </c>
      <c r="S289" s="302">
        <f t="shared" si="108"/>
        <v>28224.339999999997</v>
      </c>
      <c r="T289" s="302">
        <f t="shared" si="108"/>
        <v>-54314.3</v>
      </c>
      <c r="U289" s="302">
        <f t="shared" si="108"/>
        <v>19588.39</v>
      </c>
      <c r="V289" s="302">
        <f t="shared" si="108"/>
        <v>13430.488999999987</v>
      </c>
      <c r="W289" s="302">
        <f t="shared" si="108"/>
        <v>6687.1460999999836</v>
      </c>
      <c r="X289" s="302">
        <f t="shared" si="108"/>
        <v>-410.08851600003254</v>
      </c>
      <c r="Y289" s="302">
        <f t="shared" si="108"/>
        <v>-8505.5030394200439</v>
      </c>
      <c r="Z289" s="302">
        <f t="shared" si="108"/>
        <v>-17959.807412209455</v>
      </c>
      <c r="AA289" s="302">
        <f t="shared" si="108"/>
        <v>-27690.775007097138</v>
      </c>
      <c r="AB289" s="302">
        <f t="shared" si="108"/>
        <v>41636.051558769759</v>
      </c>
      <c r="AC289" s="303">
        <f t="shared" si="108"/>
        <v>29926.584065883682</v>
      </c>
    </row>
    <row r="290" spans="1:29" hidden="1" outlineLevel="2" x14ac:dyDescent="0.4">
      <c r="B290" s="122" t="s">
        <v>677</v>
      </c>
      <c r="C290" s="216" t="s">
        <v>681</v>
      </c>
      <c r="D290" s="240"/>
      <c r="E290" s="302"/>
      <c r="F290" s="302">
        <f>+F267-E267</f>
        <v>-1000.6900000000023</v>
      </c>
      <c r="G290" s="302">
        <f t="shared" ref="G290:AC291" si="109">+G267-F267</f>
        <v>-15155.949999999997</v>
      </c>
      <c r="H290" s="302">
        <f t="shared" si="109"/>
        <v>20913.779999999984</v>
      </c>
      <c r="I290" s="302">
        <f t="shared" si="109"/>
        <v>-9828.4399999999878</v>
      </c>
      <c r="J290" s="302">
        <f t="shared" si="109"/>
        <v>-37670.11</v>
      </c>
      <c r="K290" s="302">
        <f>+K267-J267</f>
        <v>44018.11</v>
      </c>
      <c r="L290" s="302">
        <f t="shared" si="109"/>
        <v>-7000</v>
      </c>
      <c r="M290" s="302">
        <f>+M267-L267</f>
        <v>-80000</v>
      </c>
      <c r="N290" s="302">
        <f t="shared" si="109"/>
        <v>60756.3</v>
      </c>
      <c r="O290" s="302">
        <f t="shared" si="109"/>
        <v>-4706.7600000000093</v>
      </c>
      <c r="P290" s="302">
        <f>+P267-O267</f>
        <v>30630</v>
      </c>
      <c r="Q290" s="302">
        <f t="shared" si="104"/>
        <v>956.23999999999069</v>
      </c>
      <c r="R290" s="302">
        <f>+R267-P267</f>
        <v>0</v>
      </c>
      <c r="S290" s="302">
        <f t="shared" si="109"/>
        <v>65400.743957126251</v>
      </c>
      <c r="T290" s="302">
        <f t="shared" si="109"/>
        <v>-29454.11015922029</v>
      </c>
      <c r="U290" s="302">
        <f t="shared" si="109"/>
        <v>32543.022361865034</v>
      </c>
      <c r="V290" s="302">
        <f t="shared" si="109"/>
        <v>35242.46033551963</v>
      </c>
      <c r="W290" s="302">
        <f t="shared" si="109"/>
        <v>20417.283665688825</v>
      </c>
      <c r="X290" s="302">
        <f t="shared" si="109"/>
        <v>15306.875254945538</v>
      </c>
      <c r="Y290" s="302">
        <f t="shared" si="109"/>
        <v>5679.4604636997101</v>
      </c>
      <c r="Z290" s="302">
        <f t="shared" si="109"/>
        <v>-3059.9275575809879</v>
      </c>
      <c r="AA290" s="302">
        <f t="shared" si="109"/>
        <v>-11981.922320031095</v>
      </c>
      <c r="AB290" s="302">
        <f t="shared" si="109"/>
        <v>57524.989498708048</v>
      </c>
      <c r="AC290" s="303">
        <f t="shared" si="109"/>
        <v>41220.042006089585</v>
      </c>
    </row>
    <row r="291" spans="1:29" hidden="1" outlineLevel="2" x14ac:dyDescent="0.4">
      <c r="B291" s="122" t="s">
        <v>677</v>
      </c>
      <c r="C291" s="216" t="s">
        <v>682</v>
      </c>
      <c r="D291" s="240"/>
      <c r="E291" s="302"/>
      <c r="F291" s="302">
        <f>+F268-E268</f>
        <v>0</v>
      </c>
      <c r="G291" s="302">
        <f t="shared" si="109"/>
        <v>0</v>
      </c>
      <c r="H291" s="302">
        <f t="shared" si="109"/>
        <v>0</v>
      </c>
      <c r="I291" s="302">
        <f t="shared" si="109"/>
        <v>0</v>
      </c>
      <c r="J291" s="302">
        <f t="shared" si="109"/>
        <v>59080.05</v>
      </c>
      <c r="K291" s="302">
        <f t="shared" si="109"/>
        <v>-10352.050000000003</v>
      </c>
      <c r="L291" s="302">
        <f t="shared" si="109"/>
        <v>-1233</v>
      </c>
      <c r="M291" s="302">
        <f t="shared" si="109"/>
        <v>-1039.3099999999904</v>
      </c>
      <c r="N291" s="302">
        <f t="shared" si="109"/>
        <v>-1021</v>
      </c>
      <c r="O291" s="302">
        <f t="shared" si="109"/>
        <v>3787.3099999999904</v>
      </c>
      <c r="P291" s="302">
        <f t="shared" si="109"/>
        <v>-822.64999999999418</v>
      </c>
      <c r="Q291" s="302">
        <f t="shared" si="104"/>
        <v>48399.350000000006</v>
      </c>
      <c r="R291" s="302">
        <f>+R268-P268</f>
        <v>-1021</v>
      </c>
      <c r="S291" s="302">
        <f t="shared" si="109"/>
        <v>-1021</v>
      </c>
      <c r="T291" s="302">
        <f t="shared" si="109"/>
        <v>-1021</v>
      </c>
      <c r="U291" s="302">
        <f t="shared" si="109"/>
        <v>-1021</v>
      </c>
      <c r="V291" s="302">
        <f t="shared" si="109"/>
        <v>-1021</v>
      </c>
      <c r="W291" s="302">
        <f t="shared" si="109"/>
        <v>-1021</v>
      </c>
      <c r="X291" s="302">
        <f t="shared" si="109"/>
        <v>-1021</v>
      </c>
      <c r="Y291" s="302">
        <f t="shared" si="109"/>
        <v>-1021</v>
      </c>
      <c r="Z291" s="302">
        <f t="shared" si="109"/>
        <v>-1021</v>
      </c>
      <c r="AA291" s="302">
        <f t="shared" si="109"/>
        <v>-1021</v>
      </c>
      <c r="AB291" s="302">
        <f t="shared" si="109"/>
        <v>-1021</v>
      </c>
      <c r="AC291" s="303">
        <f t="shared" si="109"/>
        <v>-1021</v>
      </c>
    </row>
    <row r="292" spans="1:29" hidden="1" outlineLevel="2" x14ac:dyDescent="0.4">
      <c r="B292" s="122" t="s">
        <v>678</v>
      </c>
      <c r="C292" s="216" t="s">
        <v>683</v>
      </c>
      <c r="D292" s="240"/>
      <c r="E292" s="302"/>
      <c r="F292" s="302">
        <f>+(F261+F259)-(E261+E259)</f>
        <v>118.62999999999988</v>
      </c>
      <c r="G292" s="302">
        <f t="shared" ref="G292:AC292" si="110">+(G261+G259)-(F261+F259)</f>
        <v>-62.3900000000001</v>
      </c>
      <c r="H292" s="302">
        <f t="shared" si="110"/>
        <v>890.5300000000002</v>
      </c>
      <c r="I292" s="302">
        <f t="shared" si="110"/>
        <v>-1115.17</v>
      </c>
      <c r="J292" s="302">
        <f t="shared" si="110"/>
        <v>211.36000000000013</v>
      </c>
      <c r="K292" s="302">
        <f t="shared" si="110"/>
        <v>-17.5300000000002</v>
      </c>
      <c r="L292" s="302">
        <f t="shared" si="110"/>
        <v>72.740000000000009</v>
      </c>
      <c r="M292" s="302">
        <f t="shared" si="110"/>
        <v>67.400000000000091</v>
      </c>
      <c r="N292" s="302">
        <f t="shared" si="110"/>
        <v>472.98000000000025</v>
      </c>
      <c r="O292" s="302">
        <f t="shared" si="110"/>
        <v>-806.95000000000027</v>
      </c>
      <c r="P292" s="302">
        <f t="shared" si="110"/>
        <v>0</v>
      </c>
      <c r="Q292" s="302">
        <f t="shared" si="104"/>
        <v>-168.40000000000009</v>
      </c>
      <c r="R292" s="302">
        <f>+(R261+R259)-(P261+P259)</f>
        <v>685.44206896551714</v>
      </c>
      <c r="S292" s="302">
        <f t="shared" si="110"/>
        <v>238.55793103448286</v>
      </c>
      <c r="T292" s="302">
        <f t="shared" si="110"/>
        <v>-9</v>
      </c>
      <c r="U292" s="302">
        <f t="shared" si="110"/>
        <v>156.54999999999973</v>
      </c>
      <c r="V292" s="302">
        <f t="shared" si="110"/>
        <v>90.673500000000331</v>
      </c>
      <c r="W292" s="302">
        <f t="shared" si="110"/>
        <v>98.70714500000031</v>
      </c>
      <c r="X292" s="302">
        <f t="shared" si="110"/>
        <v>97.541795149999871</v>
      </c>
      <c r="Y292" s="302">
        <f t="shared" si="110"/>
        <v>117.25738581050018</v>
      </c>
      <c r="Z292" s="302">
        <f t="shared" si="110"/>
        <v>147.94183431723513</v>
      </c>
      <c r="AA292" s="302">
        <f t="shared" si="110"/>
        <v>139.6918373694416</v>
      </c>
      <c r="AB292" s="302">
        <f t="shared" si="110"/>
        <v>152.61374810030338</v>
      </c>
      <c r="AC292" s="303">
        <f t="shared" si="110"/>
        <v>166.82454079382342</v>
      </c>
    </row>
    <row r="293" spans="1:29" hidden="1" outlineLevel="2" x14ac:dyDescent="0.4">
      <c r="B293" s="122" t="s">
        <v>677</v>
      </c>
      <c r="C293" s="216" t="s">
        <v>684</v>
      </c>
      <c r="D293" s="240"/>
      <c r="E293" s="302"/>
      <c r="F293" s="302">
        <f>+(F270+F269)-(E270+E269)</f>
        <v>-491.94999999999982</v>
      </c>
      <c r="G293" s="302">
        <f t="shared" ref="G293:AC293" si="111">+(G270+G269)-(F270+F269)</f>
        <v>4815.9999999999991</v>
      </c>
      <c r="H293" s="302">
        <f t="shared" si="111"/>
        <v>-520.52999999999884</v>
      </c>
      <c r="I293" s="302">
        <f t="shared" si="111"/>
        <v>-276.88000000000102</v>
      </c>
      <c r="J293" s="302">
        <f t="shared" si="111"/>
        <v>1268.0699999999997</v>
      </c>
      <c r="K293" s="302">
        <f t="shared" si="111"/>
        <v>-1997.6299999999992</v>
      </c>
      <c r="L293" s="302">
        <f t="shared" si="111"/>
        <v>5764.52</v>
      </c>
      <c r="M293" s="302">
        <f t="shared" si="111"/>
        <v>485.95000000000073</v>
      </c>
      <c r="N293" s="302">
        <f t="shared" si="111"/>
        <v>3024.8099999999977</v>
      </c>
      <c r="O293" s="302">
        <f t="shared" si="111"/>
        <v>-346.5099999999984</v>
      </c>
      <c r="P293" s="302">
        <f t="shared" si="111"/>
        <v>-822.44000000000233</v>
      </c>
      <c r="Q293" s="302">
        <f t="shared" si="104"/>
        <v>10903.409999999998</v>
      </c>
      <c r="R293" s="302">
        <f>+(R270+R269)-(P270+P269)</f>
        <v>0</v>
      </c>
      <c r="S293" s="302">
        <f t="shared" si="111"/>
        <v>-6949.2199999999975</v>
      </c>
      <c r="T293" s="302">
        <f t="shared" si="111"/>
        <v>0</v>
      </c>
      <c r="U293" s="302">
        <f t="shared" si="111"/>
        <v>0</v>
      </c>
      <c r="V293" s="302">
        <f t="shared" si="111"/>
        <v>0</v>
      </c>
      <c r="W293" s="302">
        <f t="shared" si="111"/>
        <v>0</v>
      </c>
      <c r="X293" s="302">
        <f t="shared" si="111"/>
        <v>0</v>
      </c>
      <c r="Y293" s="302">
        <f t="shared" si="111"/>
        <v>0</v>
      </c>
      <c r="Z293" s="302">
        <f t="shared" si="111"/>
        <v>0</v>
      </c>
      <c r="AA293" s="302">
        <f t="shared" si="111"/>
        <v>0</v>
      </c>
      <c r="AB293" s="302">
        <f t="shared" si="111"/>
        <v>0</v>
      </c>
      <c r="AC293" s="303">
        <f t="shared" si="111"/>
        <v>0</v>
      </c>
    </row>
    <row r="294" spans="1:29" collapsed="1" x14ac:dyDescent="0.4">
      <c r="B294" s="122" t="s">
        <v>685</v>
      </c>
      <c r="C294" s="223" t="s">
        <v>686</v>
      </c>
      <c r="D294" s="224"/>
      <c r="E294" s="300"/>
      <c r="F294" s="300">
        <f>+F285+F286+F287-F288-F289+F290-F292+F293+F291</f>
        <v>4935.8399999999892</v>
      </c>
      <c r="G294" s="300">
        <f t="shared" ref="G294:AC294" si="112">+G285+G286+G287-G288-G289+G290-G292+G293+G291</f>
        <v>-4669.7500000000045</v>
      </c>
      <c r="H294" s="300">
        <f t="shared" si="112"/>
        <v>8509.039999999979</v>
      </c>
      <c r="I294" s="300">
        <f t="shared" si="112"/>
        <v>-10324.370000000006</v>
      </c>
      <c r="J294" s="300">
        <f t="shared" si="112"/>
        <v>1916.4999999999927</v>
      </c>
      <c r="K294" s="300">
        <f t="shared" si="112"/>
        <v>9938.1783802243226</v>
      </c>
      <c r="L294" s="300">
        <f t="shared" si="112"/>
        <v>-16314.995789190089</v>
      </c>
      <c r="M294" s="300">
        <f t="shared" si="112"/>
        <v>-80365.349999999977</v>
      </c>
      <c r="N294" s="300">
        <f>+N285+N286+N287-N288-N289+N290-N292+N293+N291</f>
        <v>-56.56999999999698</v>
      </c>
      <c r="O294" s="300">
        <f t="shared" si="112"/>
        <v>17419.786999999978</v>
      </c>
      <c r="P294" s="300">
        <f>+P285+P286+P287-P288-P289+P290-P292+P293+P291</f>
        <v>-37836.300000000003</v>
      </c>
      <c r="Q294" s="300">
        <f t="shared" si="104"/>
        <v>-106847.99040896581</v>
      </c>
      <c r="R294" s="300">
        <f t="shared" si="112"/>
        <v>5338.2187893525033</v>
      </c>
      <c r="S294" s="300">
        <f t="shared" si="112"/>
        <v>-6653.7057893524716</v>
      </c>
      <c r="T294" s="300">
        <f t="shared" si="112"/>
        <v>0</v>
      </c>
      <c r="U294" s="300">
        <f t="shared" si="112"/>
        <v>1.0459189070388675E-11</v>
      </c>
      <c r="V294" s="300">
        <f t="shared" si="112"/>
        <v>-1.7735146684572101E-11</v>
      </c>
      <c r="W294" s="300">
        <f t="shared" si="112"/>
        <v>3.637978807091713E-11</v>
      </c>
      <c r="X294" s="300">
        <f t="shared" si="112"/>
        <v>7.1395334089174867E-11</v>
      </c>
      <c r="Y294" s="300">
        <f t="shared" si="112"/>
        <v>2.5920599000528455E-11</v>
      </c>
      <c r="Z294" s="300">
        <f t="shared" si="112"/>
        <v>4.1382008930668235E-11</v>
      </c>
      <c r="AA294" s="300">
        <f t="shared" si="112"/>
        <v>4.0927261579781771E-11</v>
      </c>
      <c r="AB294" s="300">
        <f t="shared" si="112"/>
        <v>-9.0949470177292824E-13</v>
      </c>
      <c r="AC294" s="301">
        <f t="shared" si="112"/>
        <v>3.5925040720030665E-11</v>
      </c>
    </row>
    <row r="295" spans="1:29" x14ac:dyDescent="0.4">
      <c r="B295" s="122" t="s">
        <v>678</v>
      </c>
      <c r="C295" s="216" t="s">
        <v>687</v>
      </c>
      <c r="D295" s="240"/>
      <c r="E295" s="304"/>
      <c r="F295" s="305">
        <f t="shared" ref="F295:N295" si="113">+F27</f>
        <v>0</v>
      </c>
      <c r="G295" s="305">
        <f t="shared" si="113"/>
        <v>0</v>
      </c>
      <c r="H295" s="305">
        <f t="shared" si="113"/>
        <v>0</v>
      </c>
      <c r="I295" s="305">
        <f t="shared" si="113"/>
        <v>0</v>
      </c>
      <c r="J295" s="305">
        <f t="shared" si="113"/>
        <v>0</v>
      </c>
      <c r="K295" s="305">
        <f t="shared" si="113"/>
        <v>0</v>
      </c>
      <c r="L295" s="305">
        <f t="shared" si="113"/>
        <v>0</v>
      </c>
      <c r="M295" s="305">
        <f t="shared" si="113"/>
        <v>0</v>
      </c>
      <c r="N295" s="305">
        <f t="shared" si="113"/>
        <v>0</v>
      </c>
      <c r="O295" s="305">
        <v>0</v>
      </c>
      <c r="P295" s="305">
        <f>+P27</f>
        <v>0</v>
      </c>
      <c r="Q295" s="302">
        <f t="shared" si="104"/>
        <v>0</v>
      </c>
      <c r="R295" s="305">
        <f t="shared" ref="R295:AC295" si="114">+R27</f>
        <v>0</v>
      </c>
      <c r="S295" s="305">
        <f t="shared" si="114"/>
        <v>0</v>
      </c>
      <c r="T295" s="305">
        <f t="shared" si="114"/>
        <v>0</v>
      </c>
      <c r="U295" s="305">
        <f t="shared" si="114"/>
        <v>0</v>
      </c>
      <c r="V295" s="305">
        <f t="shared" si="114"/>
        <v>0</v>
      </c>
      <c r="W295" s="305">
        <f t="shared" si="114"/>
        <v>0</v>
      </c>
      <c r="X295" s="305">
        <f t="shared" si="114"/>
        <v>0</v>
      </c>
      <c r="Y295" s="305">
        <f t="shared" si="114"/>
        <v>0</v>
      </c>
      <c r="Z295" s="305">
        <f t="shared" si="114"/>
        <v>0</v>
      </c>
      <c r="AA295" s="305">
        <f t="shared" si="114"/>
        <v>0</v>
      </c>
      <c r="AB295" s="305">
        <f t="shared" si="114"/>
        <v>0</v>
      </c>
      <c r="AC295" s="306">
        <f t="shared" si="114"/>
        <v>0</v>
      </c>
    </row>
    <row r="296" spans="1:29" x14ac:dyDescent="0.4">
      <c r="B296" s="122" t="s">
        <v>685</v>
      </c>
      <c r="C296" s="223" t="s">
        <v>688</v>
      </c>
      <c r="D296" s="224"/>
      <c r="E296" s="300"/>
      <c r="F296" s="300">
        <f t="shared" ref="F296:AC296" si="115">-F295</f>
        <v>0</v>
      </c>
      <c r="G296" s="300">
        <f t="shared" si="115"/>
        <v>0</v>
      </c>
      <c r="H296" s="300">
        <f t="shared" si="115"/>
        <v>0</v>
      </c>
      <c r="I296" s="300">
        <f t="shared" si="115"/>
        <v>0</v>
      </c>
      <c r="J296" s="300">
        <f t="shared" si="115"/>
        <v>0</v>
      </c>
      <c r="K296" s="300">
        <f t="shared" si="115"/>
        <v>0</v>
      </c>
      <c r="L296" s="300">
        <f t="shared" si="115"/>
        <v>0</v>
      </c>
      <c r="M296" s="300">
        <f t="shared" si="115"/>
        <v>0</v>
      </c>
      <c r="N296" s="300">
        <f t="shared" si="115"/>
        <v>0</v>
      </c>
      <c r="O296" s="300">
        <f t="shared" si="115"/>
        <v>0</v>
      </c>
      <c r="P296" s="300">
        <f t="shared" si="115"/>
        <v>0</v>
      </c>
      <c r="Q296" s="300">
        <f t="shared" si="104"/>
        <v>0</v>
      </c>
      <c r="R296" s="300">
        <f t="shared" si="115"/>
        <v>0</v>
      </c>
      <c r="S296" s="300">
        <f t="shared" si="115"/>
        <v>0</v>
      </c>
      <c r="T296" s="300">
        <f t="shared" si="115"/>
        <v>0</v>
      </c>
      <c r="U296" s="300">
        <f t="shared" si="115"/>
        <v>0</v>
      </c>
      <c r="V296" s="300">
        <f t="shared" si="115"/>
        <v>0</v>
      </c>
      <c r="W296" s="300">
        <f t="shared" si="115"/>
        <v>0</v>
      </c>
      <c r="X296" s="300">
        <f t="shared" si="115"/>
        <v>0</v>
      </c>
      <c r="Y296" s="300">
        <f t="shared" si="115"/>
        <v>0</v>
      </c>
      <c r="Z296" s="300">
        <f t="shared" si="115"/>
        <v>0</v>
      </c>
      <c r="AA296" s="300">
        <f t="shared" si="115"/>
        <v>0</v>
      </c>
      <c r="AB296" s="300">
        <f t="shared" si="115"/>
        <v>0</v>
      </c>
      <c r="AC296" s="301">
        <f t="shared" si="115"/>
        <v>0</v>
      </c>
    </row>
    <row r="297" spans="1:29" x14ac:dyDescent="0.4">
      <c r="B297" s="122" t="s">
        <v>677</v>
      </c>
      <c r="C297" s="216" t="s">
        <v>689</v>
      </c>
      <c r="D297" s="240"/>
      <c r="E297" s="304"/>
      <c r="F297" s="307">
        <f t="shared" ref="F297:P297" si="116">+F47</f>
        <v>0</v>
      </c>
      <c r="G297" s="307">
        <f t="shared" si="116"/>
        <v>0</v>
      </c>
      <c r="H297" s="307">
        <f t="shared" si="116"/>
        <v>0</v>
      </c>
      <c r="I297" s="307">
        <f t="shared" si="116"/>
        <v>0</v>
      </c>
      <c r="J297" s="307">
        <f t="shared" si="116"/>
        <v>0</v>
      </c>
      <c r="K297" s="307">
        <f t="shared" si="116"/>
        <v>0</v>
      </c>
      <c r="L297" s="307">
        <f t="shared" si="116"/>
        <v>0</v>
      </c>
      <c r="M297" s="307">
        <f t="shared" si="116"/>
        <v>0</v>
      </c>
      <c r="N297" s="307">
        <f t="shared" si="116"/>
        <v>0</v>
      </c>
      <c r="O297" s="307">
        <f t="shared" si="116"/>
        <v>0</v>
      </c>
      <c r="P297" s="307">
        <f t="shared" si="116"/>
        <v>0</v>
      </c>
      <c r="Q297" s="302">
        <f t="shared" si="104"/>
        <v>0</v>
      </c>
      <c r="R297" s="307">
        <f t="shared" ref="R297:AC297" si="117">+R47</f>
        <v>0</v>
      </c>
      <c r="S297" s="307">
        <f t="shared" si="117"/>
        <v>0</v>
      </c>
      <c r="T297" s="307">
        <f t="shared" si="117"/>
        <v>0</v>
      </c>
      <c r="U297" s="307">
        <f t="shared" si="117"/>
        <v>0</v>
      </c>
      <c r="V297" s="307">
        <f t="shared" si="117"/>
        <v>0</v>
      </c>
      <c r="W297" s="307">
        <f t="shared" si="117"/>
        <v>0</v>
      </c>
      <c r="X297" s="307">
        <f t="shared" si="117"/>
        <v>0</v>
      </c>
      <c r="Y297" s="307">
        <f t="shared" si="117"/>
        <v>0</v>
      </c>
      <c r="Z297" s="307">
        <f t="shared" si="117"/>
        <v>0</v>
      </c>
      <c r="AA297" s="307">
        <f t="shared" si="117"/>
        <v>0</v>
      </c>
      <c r="AB297" s="307">
        <f t="shared" si="117"/>
        <v>0</v>
      </c>
      <c r="AC297" s="308">
        <f t="shared" si="117"/>
        <v>0</v>
      </c>
    </row>
    <row r="298" spans="1:29" x14ac:dyDescent="0.4">
      <c r="B298" s="122" t="s">
        <v>678</v>
      </c>
      <c r="C298" s="216" t="s">
        <v>690</v>
      </c>
      <c r="D298" s="240"/>
      <c r="E298" s="304"/>
      <c r="F298" s="302">
        <v>0</v>
      </c>
      <c r="G298" s="302">
        <v>0</v>
      </c>
      <c r="H298" s="302">
        <v>0</v>
      </c>
      <c r="I298" s="302">
        <v>0</v>
      </c>
      <c r="J298" s="302">
        <v>0</v>
      </c>
      <c r="K298" s="302">
        <v>0</v>
      </c>
      <c r="L298" s="302">
        <f>+L48</f>
        <v>0</v>
      </c>
      <c r="M298" s="302">
        <f>+M48</f>
        <v>0</v>
      </c>
      <c r="N298" s="302">
        <f>+N48</f>
        <v>0</v>
      </c>
      <c r="O298" s="302">
        <f>+O48</f>
        <v>0</v>
      </c>
      <c r="P298" s="302">
        <f>+P48</f>
        <v>0</v>
      </c>
      <c r="Q298" s="302">
        <f t="shared" si="104"/>
        <v>0</v>
      </c>
      <c r="R298" s="302">
        <f t="shared" ref="R298:AC298" si="118">+R48</f>
        <v>0</v>
      </c>
      <c r="S298" s="302">
        <f t="shared" si="118"/>
        <v>0</v>
      </c>
      <c r="T298" s="302">
        <f t="shared" si="118"/>
        <v>0</v>
      </c>
      <c r="U298" s="302">
        <f t="shared" si="118"/>
        <v>0</v>
      </c>
      <c r="V298" s="302">
        <f t="shared" si="118"/>
        <v>0</v>
      </c>
      <c r="W298" s="302">
        <f t="shared" si="118"/>
        <v>0</v>
      </c>
      <c r="X298" s="302">
        <f t="shared" si="118"/>
        <v>0</v>
      </c>
      <c r="Y298" s="302">
        <f t="shared" si="118"/>
        <v>0</v>
      </c>
      <c r="Z298" s="302">
        <f t="shared" si="118"/>
        <v>0</v>
      </c>
      <c r="AA298" s="302">
        <f t="shared" si="118"/>
        <v>0</v>
      </c>
      <c r="AB298" s="302">
        <f t="shared" si="118"/>
        <v>0</v>
      </c>
      <c r="AC298" s="303">
        <f t="shared" si="118"/>
        <v>0</v>
      </c>
    </row>
    <row r="299" spans="1:29" x14ac:dyDescent="0.4">
      <c r="B299" s="122"/>
      <c r="C299" s="216" t="s">
        <v>691</v>
      </c>
      <c r="D299" s="240"/>
      <c r="E299" s="304"/>
      <c r="F299" s="302"/>
      <c r="G299" s="302"/>
      <c r="H299" s="302"/>
      <c r="I299" s="302"/>
      <c r="J299" s="302"/>
      <c r="K299" s="302"/>
      <c r="L299" s="302">
        <v>100000</v>
      </c>
      <c r="M299" s="302"/>
      <c r="N299" s="302"/>
      <c r="O299" s="302"/>
      <c r="P299" s="302"/>
      <c r="Q299" s="302">
        <f t="shared" si="104"/>
        <v>100000</v>
      </c>
      <c r="R299" s="302"/>
      <c r="S299" s="302"/>
      <c r="T299" s="302"/>
      <c r="U299" s="302"/>
      <c r="V299" s="302"/>
      <c r="W299" s="302"/>
      <c r="X299" s="302"/>
      <c r="Y299" s="302"/>
      <c r="Z299" s="302"/>
      <c r="AA299" s="302"/>
      <c r="AB299" s="302"/>
      <c r="AC299" s="303"/>
    </row>
    <row r="300" spans="1:29" x14ac:dyDescent="0.4">
      <c r="B300" s="122"/>
      <c r="C300" s="216" t="s">
        <v>692</v>
      </c>
      <c r="D300" s="240"/>
      <c r="E300" s="304"/>
      <c r="F300" s="302"/>
      <c r="G300" s="302"/>
      <c r="H300" s="302"/>
      <c r="I300" s="302"/>
      <c r="J300" s="302"/>
      <c r="K300" s="302"/>
      <c r="L300" s="302">
        <v>15000</v>
      </c>
      <c r="M300" s="302">
        <v>15000</v>
      </c>
      <c r="N300" s="302"/>
      <c r="O300" s="302"/>
      <c r="P300" s="302">
        <v>20000</v>
      </c>
      <c r="Q300" s="302">
        <f t="shared" si="104"/>
        <v>50000</v>
      </c>
      <c r="R300" s="302"/>
      <c r="S300" s="302"/>
      <c r="T300" s="302"/>
      <c r="U300" s="302"/>
      <c r="V300" s="302"/>
      <c r="W300" s="302"/>
      <c r="X300" s="302"/>
      <c r="Y300" s="302"/>
      <c r="Z300" s="302"/>
      <c r="AA300" s="302"/>
      <c r="AB300" s="302"/>
      <c r="AC300" s="303"/>
    </row>
    <row r="301" spans="1:29" x14ac:dyDescent="0.4">
      <c r="A301" s="109">
        <v>25000</v>
      </c>
      <c r="B301" s="122"/>
      <c r="C301" s="216" t="s">
        <v>693</v>
      </c>
      <c r="D301" s="240"/>
      <c r="E301" s="304"/>
      <c r="F301" s="302"/>
      <c r="G301" s="302"/>
      <c r="H301" s="302"/>
      <c r="I301" s="302"/>
      <c r="J301" s="302"/>
      <c r="K301" s="302"/>
      <c r="L301" s="302">
        <v>10000</v>
      </c>
      <c r="M301" s="302">
        <v>15000</v>
      </c>
      <c r="N301" s="302"/>
      <c r="O301" s="302"/>
      <c r="P301" s="302"/>
      <c r="Q301" s="302">
        <f t="shared" si="104"/>
        <v>25000</v>
      </c>
      <c r="R301" s="302">
        <v>25000</v>
      </c>
      <c r="S301" s="302"/>
      <c r="T301" s="302"/>
      <c r="U301" s="302"/>
      <c r="V301" s="302"/>
      <c r="W301" s="302"/>
      <c r="X301" s="302"/>
      <c r="Y301" s="302"/>
      <c r="Z301" s="302"/>
      <c r="AA301" s="302"/>
      <c r="AB301" s="302"/>
      <c r="AC301" s="303"/>
    </row>
    <row r="302" spans="1:29" x14ac:dyDescent="0.4">
      <c r="B302" s="122" t="s">
        <v>678</v>
      </c>
      <c r="C302" s="216" t="s">
        <v>694</v>
      </c>
      <c r="D302" s="240"/>
      <c r="E302" s="304"/>
      <c r="F302" s="309">
        <v>0</v>
      </c>
      <c r="G302" s="309">
        <v>0</v>
      </c>
      <c r="H302" s="309">
        <v>0</v>
      </c>
      <c r="I302" s="309">
        <v>0</v>
      </c>
      <c r="J302" s="309">
        <v>0</v>
      </c>
      <c r="K302" s="309">
        <v>0</v>
      </c>
      <c r="L302" s="309">
        <v>0</v>
      </c>
      <c r="M302" s="309">
        <v>0</v>
      </c>
      <c r="N302" s="309">
        <v>0</v>
      </c>
      <c r="O302" s="309">
        <v>0</v>
      </c>
      <c r="P302" s="309">
        <v>0</v>
      </c>
      <c r="Q302" s="302">
        <f t="shared" si="104"/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309">
        <v>0</v>
      </c>
      <c r="AA302" s="309">
        <v>0</v>
      </c>
      <c r="AB302" s="309">
        <v>0</v>
      </c>
      <c r="AC302" s="310">
        <v>0</v>
      </c>
    </row>
    <row r="303" spans="1:29" x14ac:dyDescent="0.4">
      <c r="B303" s="122" t="s">
        <v>685</v>
      </c>
      <c r="C303" s="223" t="s">
        <v>695</v>
      </c>
      <c r="D303" s="224"/>
      <c r="E303" s="311"/>
      <c r="F303" s="300">
        <f t="shared" ref="F303:AC303" si="119">+F297-F298+F299+F300+F301-F302</f>
        <v>0</v>
      </c>
      <c r="G303" s="300">
        <f t="shared" si="119"/>
        <v>0</v>
      </c>
      <c r="H303" s="300">
        <f t="shared" si="119"/>
        <v>0</v>
      </c>
      <c r="I303" s="300">
        <f t="shared" si="119"/>
        <v>0</v>
      </c>
      <c r="J303" s="300">
        <f t="shared" si="119"/>
        <v>0</v>
      </c>
      <c r="K303" s="300">
        <f t="shared" si="119"/>
        <v>0</v>
      </c>
      <c r="L303" s="300">
        <f t="shared" si="119"/>
        <v>125000</v>
      </c>
      <c r="M303" s="300">
        <f t="shared" si="119"/>
        <v>30000</v>
      </c>
      <c r="N303" s="300">
        <f t="shared" si="119"/>
        <v>0</v>
      </c>
      <c r="O303" s="300">
        <f t="shared" si="119"/>
        <v>0</v>
      </c>
      <c r="P303" s="300">
        <f t="shared" si="119"/>
        <v>20000</v>
      </c>
      <c r="Q303" s="300">
        <f t="shared" si="104"/>
        <v>175000</v>
      </c>
      <c r="R303" s="300">
        <f t="shared" si="119"/>
        <v>25000</v>
      </c>
      <c r="S303" s="300">
        <f t="shared" si="119"/>
        <v>0</v>
      </c>
      <c r="T303" s="300">
        <f t="shared" si="119"/>
        <v>0</v>
      </c>
      <c r="U303" s="300">
        <f t="shared" si="119"/>
        <v>0</v>
      </c>
      <c r="V303" s="300">
        <f t="shared" si="119"/>
        <v>0</v>
      </c>
      <c r="W303" s="300">
        <f t="shared" si="119"/>
        <v>0</v>
      </c>
      <c r="X303" s="300">
        <f t="shared" si="119"/>
        <v>0</v>
      </c>
      <c r="Y303" s="300">
        <f t="shared" si="119"/>
        <v>0</v>
      </c>
      <c r="Z303" s="300">
        <f t="shared" si="119"/>
        <v>0</v>
      </c>
      <c r="AA303" s="300">
        <f t="shared" si="119"/>
        <v>0</v>
      </c>
      <c r="AB303" s="300">
        <f t="shared" si="119"/>
        <v>0</v>
      </c>
      <c r="AC303" s="301">
        <f t="shared" si="119"/>
        <v>0</v>
      </c>
    </row>
    <row r="304" spans="1:29" x14ac:dyDescent="0.4">
      <c r="B304" s="122" t="s">
        <v>685</v>
      </c>
      <c r="C304" s="216" t="s">
        <v>696</v>
      </c>
      <c r="D304" s="240"/>
      <c r="E304" s="304"/>
      <c r="F304" s="302">
        <f t="shared" ref="F304:AC304" si="120">+F294+F296+F303</f>
        <v>4935.8399999999892</v>
      </c>
      <c r="G304" s="302">
        <f t="shared" si="120"/>
        <v>-4669.7500000000045</v>
      </c>
      <c r="H304" s="302">
        <f t="shared" si="120"/>
        <v>8509.039999999979</v>
      </c>
      <c r="I304" s="302">
        <f t="shared" si="120"/>
        <v>-10324.370000000006</v>
      </c>
      <c r="J304" s="302">
        <f t="shared" si="120"/>
        <v>1916.4999999999927</v>
      </c>
      <c r="K304" s="302">
        <f t="shared" si="120"/>
        <v>9938.1783802243226</v>
      </c>
      <c r="L304" s="302">
        <f t="shared" si="120"/>
        <v>108685.00421080992</v>
      </c>
      <c r="M304" s="302">
        <f t="shared" si="120"/>
        <v>-50365.349999999977</v>
      </c>
      <c r="N304" s="302">
        <f t="shared" si="120"/>
        <v>-56.56999999999698</v>
      </c>
      <c r="O304" s="302">
        <f t="shared" si="120"/>
        <v>17419.786999999978</v>
      </c>
      <c r="P304" s="302">
        <f t="shared" si="120"/>
        <v>-17836.300000000003</v>
      </c>
      <c r="Q304" s="302"/>
      <c r="R304" s="302">
        <f t="shared" si="120"/>
        <v>30338.218789352504</v>
      </c>
      <c r="S304" s="302">
        <f t="shared" si="120"/>
        <v>-6653.7057893524716</v>
      </c>
      <c r="T304" s="302">
        <f t="shared" si="120"/>
        <v>0</v>
      </c>
      <c r="U304" s="302">
        <f t="shared" si="120"/>
        <v>1.0459189070388675E-11</v>
      </c>
      <c r="V304" s="302">
        <f t="shared" si="120"/>
        <v>-1.7735146684572101E-11</v>
      </c>
      <c r="W304" s="302">
        <f t="shared" si="120"/>
        <v>3.637978807091713E-11</v>
      </c>
      <c r="X304" s="302">
        <f t="shared" si="120"/>
        <v>7.1395334089174867E-11</v>
      </c>
      <c r="Y304" s="302">
        <f t="shared" si="120"/>
        <v>2.5920599000528455E-11</v>
      </c>
      <c r="Z304" s="302">
        <f t="shared" si="120"/>
        <v>4.1382008930668235E-11</v>
      </c>
      <c r="AA304" s="302">
        <f t="shared" si="120"/>
        <v>4.0927261579781771E-11</v>
      </c>
      <c r="AB304" s="302">
        <f t="shared" si="120"/>
        <v>-9.0949470177292824E-13</v>
      </c>
      <c r="AC304" s="303">
        <f t="shared" si="120"/>
        <v>3.5925040720030665E-11</v>
      </c>
    </row>
    <row r="305" spans="2:31" x14ac:dyDescent="0.4">
      <c r="B305" s="122" t="s">
        <v>677</v>
      </c>
      <c r="C305" s="216" t="s">
        <v>697</v>
      </c>
      <c r="D305" s="240"/>
      <c r="E305" s="304"/>
      <c r="F305" s="302">
        <f>+E306</f>
        <v>14901.21</v>
      </c>
      <c r="G305" s="302">
        <f t="shared" ref="G305:AC305" si="121">+F306</f>
        <v>19837.049999999988</v>
      </c>
      <c r="H305" s="302">
        <f t="shared" si="121"/>
        <v>15167.299999999985</v>
      </c>
      <c r="I305" s="302">
        <f t="shared" si="121"/>
        <v>23676.339999999964</v>
      </c>
      <c r="J305" s="302">
        <f t="shared" si="121"/>
        <v>13351.969999999958</v>
      </c>
      <c r="K305" s="302">
        <f t="shared" si="121"/>
        <v>13569.47</v>
      </c>
      <c r="L305" s="302">
        <f t="shared" si="121"/>
        <v>20160</v>
      </c>
      <c r="M305" s="302">
        <f t="shared" si="121"/>
        <v>128845.00421080992</v>
      </c>
      <c r="N305" s="302">
        <f t="shared" si="121"/>
        <v>78142</v>
      </c>
      <c r="O305" s="302">
        <f t="shared" si="121"/>
        <v>76732</v>
      </c>
      <c r="P305" s="302">
        <f t="shared" si="121"/>
        <v>94151.786999999982</v>
      </c>
      <c r="Q305" s="302">
        <f>+P306</f>
        <v>76315.486999999979</v>
      </c>
      <c r="R305" s="302">
        <f>+P306</f>
        <v>76315.486999999979</v>
      </c>
      <c r="S305" s="302">
        <f t="shared" si="121"/>
        <v>106653.70578935248</v>
      </c>
      <c r="T305" s="302">
        <f t="shared" si="121"/>
        <v>100000</v>
      </c>
      <c r="U305" s="302">
        <f t="shared" si="121"/>
        <v>100000</v>
      </c>
      <c r="V305" s="302">
        <f t="shared" si="121"/>
        <v>100000.00000000001</v>
      </c>
      <c r="W305" s="302">
        <f t="shared" si="121"/>
        <v>100000</v>
      </c>
      <c r="X305" s="302">
        <f t="shared" si="121"/>
        <v>100000.00000000003</v>
      </c>
      <c r="Y305" s="302">
        <f t="shared" si="121"/>
        <v>100000.0000000001</v>
      </c>
      <c r="Z305" s="302">
        <f t="shared" si="121"/>
        <v>100000.00000000013</v>
      </c>
      <c r="AA305" s="302">
        <f t="shared" si="121"/>
        <v>100000.00000000017</v>
      </c>
      <c r="AB305" s="302">
        <f t="shared" si="121"/>
        <v>100000.00000000022</v>
      </c>
      <c r="AC305" s="303">
        <f t="shared" si="121"/>
        <v>100000.00000000022</v>
      </c>
    </row>
    <row r="306" spans="2:31" x14ac:dyDescent="0.4">
      <c r="B306" s="122" t="s">
        <v>685</v>
      </c>
      <c r="C306" s="312" t="s">
        <v>698</v>
      </c>
      <c r="D306" s="313"/>
      <c r="E306" s="314">
        <f>+E256</f>
        <v>14901.21</v>
      </c>
      <c r="F306" s="314">
        <f>+F304+F305</f>
        <v>19837.049999999988</v>
      </c>
      <c r="G306" s="314">
        <f t="shared" ref="G306:AC306" si="122">+G304+G305</f>
        <v>15167.299999999985</v>
      </c>
      <c r="H306" s="314">
        <f t="shared" si="122"/>
        <v>23676.339999999964</v>
      </c>
      <c r="I306" s="314">
        <f t="shared" si="122"/>
        <v>13351.969999999958</v>
      </c>
      <c r="J306" s="314">
        <f>+J256</f>
        <v>13569.47</v>
      </c>
      <c r="K306" s="314">
        <v>20160</v>
      </c>
      <c r="L306" s="314">
        <f>+L304+L305</f>
        <v>128845.00421080992</v>
      </c>
      <c r="M306" s="314">
        <v>78142</v>
      </c>
      <c r="N306" s="314">
        <v>76732</v>
      </c>
      <c r="O306" s="314">
        <f>+O304+O305</f>
        <v>94151.786999999982</v>
      </c>
      <c r="P306" s="314">
        <f>+P304+P305</f>
        <v>76315.486999999979</v>
      </c>
      <c r="Q306" s="314">
        <f>+P306</f>
        <v>76315.486999999979</v>
      </c>
      <c r="R306" s="314">
        <f t="shared" si="122"/>
        <v>106653.70578935248</v>
      </c>
      <c r="S306" s="314">
        <f t="shared" si="122"/>
        <v>100000</v>
      </c>
      <c r="T306" s="314">
        <f t="shared" si="122"/>
        <v>100000</v>
      </c>
      <c r="U306" s="314">
        <f t="shared" si="122"/>
        <v>100000.00000000001</v>
      </c>
      <c r="V306" s="314">
        <f t="shared" si="122"/>
        <v>100000</v>
      </c>
      <c r="W306" s="314">
        <f t="shared" si="122"/>
        <v>100000.00000000003</v>
      </c>
      <c r="X306" s="314">
        <f t="shared" si="122"/>
        <v>100000.0000000001</v>
      </c>
      <c r="Y306" s="314">
        <f t="shared" si="122"/>
        <v>100000.00000000013</v>
      </c>
      <c r="Z306" s="314">
        <f t="shared" si="122"/>
        <v>100000.00000000017</v>
      </c>
      <c r="AA306" s="314">
        <f t="shared" si="122"/>
        <v>100000.00000000022</v>
      </c>
      <c r="AB306" s="314">
        <f t="shared" si="122"/>
        <v>100000.00000000022</v>
      </c>
      <c r="AC306" s="315">
        <f t="shared" si="122"/>
        <v>100000.00000000025</v>
      </c>
    </row>
    <row r="307" spans="2:31" x14ac:dyDescent="0.4"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R307" s="112"/>
      <c r="S307" s="112"/>
    </row>
    <row r="308" spans="2:31" x14ac:dyDescent="0.4">
      <c r="D308" s="108"/>
      <c r="E308" s="128"/>
      <c r="F308" s="128"/>
      <c r="G308" s="128"/>
      <c r="H308" s="128"/>
      <c r="I308" s="128"/>
      <c r="J308" s="128"/>
      <c r="K308" s="128"/>
      <c r="L308" s="109"/>
      <c r="M308" s="109"/>
      <c r="N308" s="109"/>
      <c r="O308" s="109"/>
      <c r="P308" s="109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</row>
    <row r="309" spans="2:31" x14ac:dyDescent="0.4">
      <c r="C309" s="316" t="s">
        <v>699</v>
      </c>
      <c r="D309" s="317"/>
      <c r="E309" s="318"/>
      <c r="F309" s="318"/>
      <c r="G309" s="318"/>
      <c r="H309" s="318"/>
      <c r="I309" s="318"/>
      <c r="J309" s="318"/>
      <c r="K309" s="318"/>
      <c r="L309" s="318"/>
      <c r="M309" s="318"/>
      <c r="N309" s="318"/>
      <c r="O309" s="318"/>
      <c r="P309" s="318"/>
      <c r="Q309" s="318"/>
      <c r="R309" s="319">
        <v>80000</v>
      </c>
      <c r="S309" s="319"/>
      <c r="T309" s="319">
        <v>80000</v>
      </c>
      <c r="U309" s="319">
        <v>80000</v>
      </c>
      <c r="V309" s="319">
        <v>80000</v>
      </c>
      <c r="W309" s="319">
        <v>80000</v>
      </c>
      <c r="X309" s="319">
        <v>80000</v>
      </c>
      <c r="Y309" s="319">
        <v>80000</v>
      </c>
      <c r="Z309" s="319">
        <v>80000</v>
      </c>
      <c r="AA309" s="319">
        <f>80000*2</f>
        <v>160000</v>
      </c>
      <c r="AB309" s="319">
        <f>80000*2</f>
        <v>160000</v>
      </c>
      <c r="AC309" s="320">
        <v>80000</v>
      </c>
    </row>
    <row r="310" spans="2:31" x14ac:dyDescent="0.4">
      <c r="C310" s="216" t="s">
        <v>700</v>
      </c>
      <c r="D310" s="304"/>
      <c r="E310" s="321"/>
      <c r="F310" s="321"/>
      <c r="G310" s="321"/>
      <c r="H310" s="321"/>
      <c r="I310" s="321"/>
      <c r="J310" s="321"/>
      <c r="K310" s="322"/>
      <c r="L310" s="322"/>
      <c r="M310" s="323"/>
      <c r="N310" s="323"/>
      <c r="O310" s="323"/>
      <c r="P310" s="323"/>
      <c r="Q310" s="323"/>
      <c r="R310" s="324">
        <f>+IF(R309&gt;0,6000,0)</f>
        <v>6000</v>
      </c>
      <c r="S310" s="324">
        <f t="shared" ref="S310:AC310" si="123">+IF(S309&gt;0,6000,0)</f>
        <v>0</v>
      </c>
      <c r="T310" s="324">
        <f t="shared" si="123"/>
        <v>6000</v>
      </c>
      <c r="U310" s="324">
        <f t="shared" si="123"/>
        <v>6000</v>
      </c>
      <c r="V310" s="324">
        <f t="shared" si="123"/>
        <v>6000</v>
      </c>
      <c r="W310" s="324">
        <f t="shared" si="123"/>
        <v>6000</v>
      </c>
      <c r="X310" s="324">
        <f t="shared" si="123"/>
        <v>6000</v>
      </c>
      <c r="Y310" s="324">
        <f t="shared" si="123"/>
        <v>6000</v>
      </c>
      <c r="Z310" s="324">
        <f t="shared" si="123"/>
        <v>6000</v>
      </c>
      <c r="AA310" s="324">
        <f t="shared" si="123"/>
        <v>6000</v>
      </c>
      <c r="AB310" s="324">
        <f t="shared" si="123"/>
        <v>6000</v>
      </c>
      <c r="AC310" s="325">
        <f t="shared" si="123"/>
        <v>6000</v>
      </c>
    </row>
    <row r="311" spans="2:31" x14ac:dyDescent="0.4">
      <c r="C311" s="326" t="s">
        <v>701</v>
      </c>
      <c r="D311" s="327"/>
      <c r="E311" s="328"/>
      <c r="F311" s="328"/>
      <c r="G311" s="328"/>
      <c r="H311" s="328"/>
      <c r="I311" s="328"/>
      <c r="J311" s="328"/>
      <c r="K311" s="328"/>
      <c r="L311" s="328"/>
      <c r="M311" s="329"/>
      <c r="N311" s="329"/>
      <c r="O311" s="329"/>
      <c r="P311" s="329"/>
      <c r="Q311" s="329"/>
      <c r="R311" s="329">
        <f>+R309+R310</f>
        <v>86000</v>
      </c>
      <c r="S311" s="329">
        <f t="shared" ref="S311:AC311" si="124">+S309+S310</f>
        <v>0</v>
      </c>
      <c r="T311" s="329">
        <f t="shared" si="124"/>
        <v>86000</v>
      </c>
      <c r="U311" s="329">
        <f t="shared" si="124"/>
        <v>86000</v>
      </c>
      <c r="V311" s="329">
        <f t="shared" si="124"/>
        <v>86000</v>
      </c>
      <c r="W311" s="329">
        <f t="shared" si="124"/>
        <v>86000</v>
      </c>
      <c r="X311" s="329">
        <f t="shared" si="124"/>
        <v>86000</v>
      </c>
      <c r="Y311" s="329">
        <f t="shared" si="124"/>
        <v>86000</v>
      </c>
      <c r="Z311" s="329">
        <f t="shared" si="124"/>
        <v>86000</v>
      </c>
      <c r="AA311" s="329">
        <f t="shared" si="124"/>
        <v>166000</v>
      </c>
      <c r="AB311" s="329">
        <f t="shared" si="124"/>
        <v>166000</v>
      </c>
      <c r="AC311" s="330">
        <f t="shared" si="124"/>
        <v>86000</v>
      </c>
    </row>
    <row r="312" spans="2:31" x14ac:dyDescent="0.4">
      <c r="D312" s="108"/>
      <c r="E312" s="331"/>
      <c r="F312" s="331"/>
      <c r="G312" s="331"/>
      <c r="H312" s="331"/>
      <c r="I312" s="331"/>
      <c r="J312" s="331"/>
      <c r="K312" s="331"/>
      <c r="L312" s="331"/>
      <c r="M312" s="111"/>
      <c r="N312" s="111"/>
      <c r="O312" s="111"/>
      <c r="P312" s="111"/>
      <c r="Q312" s="111"/>
      <c r="R312" s="111"/>
      <c r="S312" s="332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</row>
    <row r="313" spans="2:31" x14ac:dyDescent="0.4">
      <c r="E313" s="130"/>
      <c r="F313" s="130"/>
      <c r="G313" s="130"/>
      <c r="H313" s="130"/>
      <c r="I313" s="130"/>
      <c r="J313" s="130"/>
      <c r="K313" s="130"/>
      <c r="L313" s="130"/>
      <c r="M313" s="111"/>
      <c r="N313" s="111"/>
      <c r="O313" s="111"/>
      <c r="P313" s="111"/>
      <c r="Q313" s="111"/>
      <c r="R313" s="111"/>
      <c r="S313" s="332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</row>
    <row r="314" spans="2:31" x14ac:dyDescent="0.4">
      <c r="C314" s="110" t="s">
        <v>702</v>
      </c>
      <c r="E314" s="122"/>
      <c r="F314" s="122"/>
      <c r="G314" s="122"/>
      <c r="H314" s="122"/>
      <c r="I314" s="122"/>
      <c r="J314" s="122"/>
      <c r="K314" s="122"/>
      <c r="L314" s="122"/>
      <c r="M314" s="111"/>
      <c r="N314" s="111"/>
      <c r="O314" s="111"/>
      <c r="P314" s="111"/>
      <c r="Q314" s="111"/>
      <c r="R314" s="111"/>
      <c r="S314" s="111">
        <f>+S306-100000</f>
        <v>0</v>
      </c>
      <c r="T314" s="111">
        <f t="shared" ref="T314:AC314" si="125">+T306-100000</f>
        <v>0</v>
      </c>
      <c r="U314" s="111">
        <f t="shared" si="125"/>
        <v>0</v>
      </c>
      <c r="V314" s="111">
        <f t="shared" si="125"/>
        <v>0</v>
      </c>
      <c r="W314" s="111">
        <f t="shared" si="125"/>
        <v>0</v>
      </c>
      <c r="X314" s="111">
        <f t="shared" si="125"/>
        <v>0</v>
      </c>
      <c r="Y314" s="111">
        <f t="shared" si="125"/>
        <v>1.3096723705530167E-10</v>
      </c>
      <c r="Z314" s="111">
        <f t="shared" si="125"/>
        <v>1.7462298274040222E-10</v>
      </c>
      <c r="AA314" s="111">
        <f t="shared" si="125"/>
        <v>2.1827872842550278E-10</v>
      </c>
      <c r="AB314" s="111">
        <f t="shared" si="125"/>
        <v>2.1827872842550278E-10</v>
      </c>
      <c r="AC314" s="111">
        <f t="shared" si="125"/>
        <v>2.4738255888223648E-10</v>
      </c>
    </row>
    <row r="315" spans="2:31" x14ac:dyDescent="0.4">
      <c r="D315" s="126"/>
      <c r="E315" s="112"/>
      <c r="F315" s="112"/>
      <c r="G315" s="112"/>
      <c r="H315" s="112"/>
      <c r="I315" s="112"/>
      <c r="J315" s="112"/>
      <c r="K315" s="112"/>
      <c r="L315" s="112"/>
      <c r="M315" s="111"/>
      <c r="N315" s="111"/>
      <c r="O315" s="111"/>
      <c r="P315" s="111"/>
      <c r="Q315" s="111"/>
      <c r="R315" s="111"/>
      <c r="S315" s="111">
        <v>20599.256042873749</v>
      </c>
      <c r="T315" s="111">
        <v>29454.11015922029</v>
      </c>
      <c r="U315" s="111">
        <v>53456.977638134966</v>
      </c>
      <c r="V315" s="111">
        <v>50757.53966448037</v>
      </c>
      <c r="W315" s="111">
        <v>65582.716334311175</v>
      </c>
      <c r="X315" s="111">
        <v>70693.124745054462</v>
      </c>
      <c r="Y315" s="111">
        <v>80320.53953630029</v>
      </c>
      <c r="Z315" s="111">
        <v>89059.927557580988</v>
      </c>
      <c r="AA315" s="111">
        <v>97981.922320031095</v>
      </c>
      <c r="AB315" s="111">
        <v>108475.01050129195</v>
      </c>
      <c r="AC315" s="111">
        <v>124779.95799391042</v>
      </c>
      <c r="AD315" s="111"/>
    </row>
    <row r="316" spans="2:31" x14ac:dyDescent="0.4">
      <c r="D316" s="108"/>
      <c r="E316" s="331"/>
      <c r="F316" s="331"/>
      <c r="G316" s="331"/>
      <c r="H316" s="331"/>
      <c r="I316" s="331"/>
      <c r="J316" s="331"/>
      <c r="K316" s="331"/>
      <c r="L316" s="331"/>
      <c r="M316" s="111"/>
      <c r="N316" s="111"/>
      <c r="O316" s="331"/>
      <c r="P316" s="331"/>
      <c r="Q316" s="331"/>
      <c r="R316" s="331"/>
      <c r="S316" s="331"/>
      <c r="T316" s="331"/>
      <c r="U316" s="331"/>
      <c r="V316" s="331"/>
      <c r="W316" s="331"/>
      <c r="X316" s="331"/>
      <c r="Y316" s="331"/>
      <c r="Z316" s="331"/>
      <c r="AA316" s="331"/>
      <c r="AB316" s="331"/>
      <c r="AC316" s="331"/>
      <c r="AD316" s="112"/>
    </row>
    <row r="317" spans="2:31" x14ac:dyDescent="0.4">
      <c r="C317" s="188"/>
      <c r="D317" s="108"/>
      <c r="E317" s="331"/>
      <c r="F317" s="331"/>
      <c r="G317" s="331"/>
      <c r="H317" s="331"/>
      <c r="I317" s="331"/>
      <c r="J317" s="331"/>
      <c r="K317" s="331"/>
      <c r="L317" s="331"/>
      <c r="M317" s="111"/>
      <c r="N317" s="331"/>
      <c r="O317" s="331"/>
      <c r="P317" s="331"/>
      <c r="Q317" s="331"/>
      <c r="R317" s="331"/>
      <c r="S317" s="182"/>
      <c r="T317" s="331"/>
      <c r="U317" s="331"/>
      <c r="V317" s="331"/>
      <c r="W317" s="331"/>
      <c r="X317" s="331"/>
      <c r="Y317" s="331"/>
      <c r="Z317" s="331"/>
      <c r="AA317" s="331"/>
      <c r="AB317" s="331"/>
      <c r="AC317" s="331"/>
      <c r="AD317" s="112"/>
      <c r="AE317" s="112"/>
    </row>
    <row r="318" spans="2:31" x14ac:dyDescent="0.4">
      <c r="C318" s="188"/>
      <c r="D318" s="108"/>
      <c r="E318" s="331"/>
      <c r="F318" s="331"/>
      <c r="G318" s="331"/>
      <c r="H318" s="331"/>
      <c r="I318" s="331"/>
      <c r="J318" s="331"/>
      <c r="K318" s="331"/>
      <c r="L318" s="331"/>
      <c r="M318" s="331"/>
      <c r="N318" s="331"/>
      <c r="O318" s="331"/>
      <c r="P318" s="331"/>
      <c r="Q318" s="331"/>
      <c r="R318" s="331"/>
      <c r="S318" s="333"/>
      <c r="T318" s="331"/>
      <c r="U318" s="331"/>
      <c r="V318" s="331"/>
      <c r="W318" s="331"/>
      <c r="X318" s="331"/>
      <c r="Y318" s="331"/>
      <c r="Z318" s="331"/>
      <c r="AA318" s="331"/>
      <c r="AB318" s="331"/>
      <c r="AC318" s="331"/>
    </row>
    <row r="319" spans="2:31" x14ac:dyDescent="0.4">
      <c r="C319" s="188"/>
      <c r="D319" s="108"/>
      <c r="E319" s="331"/>
      <c r="F319" s="331"/>
      <c r="G319" s="331"/>
      <c r="H319" s="331"/>
      <c r="I319" s="331"/>
      <c r="J319" s="331"/>
      <c r="K319" s="331"/>
      <c r="L319" s="331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  <c r="AB319" s="182"/>
      <c r="AC319" s="182"/>
    </row>
    <row r="320" spans="2:31" x14ac:dyDescent="0.4">
      <c r="D320" s="108"/>
      <c r="E320" s="179"/>
      <c r="F320" s="179"/>
      <c r="G320" s="179"/>
      <c r="H320" s="179"/>
      <c r="I320" s="179"/>
      <c r="J320" s="179"/>
      <c r="K320" s="179"/>
      <c r="L320" s="179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  <c r="AB320" s="182"/>
      <c r="AC320" s="182"/>
      <c r="AD320" s="112"/>
    </row>
    <row r="321" spans="2:29" x14ac:dyDescent="0.4">
      <c r="B321" s="110"/>
      <c r="C321" s="110"/>
      <c r="E321" s="122"/>
      <c r="F321" s="122"/>
      <c r="G321" s="122"/>
      <c r="H321" s="122"/>
      <c r="I321" s="122"/>
      <c r="J321" s="122"/>
      <c r="K321" s="122"/>
      <c r="L321" s="122"/>
      <c r="M321" s="334"/>
      <c r="N321" s="334"/>
      <c r="O321" s="334"/>
      <c r="P321" s="334"/>
      <c r="Q321" s="334"/>
      <c r="R321" s="334"/>
      <c r="S321" s="334"/>
      <c r="T321" s="182"/>
      <c r="U321" s="111"/>
      <c r="V321" s="111"/>
      <c r="W321" s="111"/>
      <c r="X321" s="111"/>
      <c r="Y321" s="111"/>
      <c r="Z321" s="111"/>
      <c r="AA321" s="111"/>
      <c r="AB321" s="111"/>
      <c r="AC321" s="111"/>
    </row>
    <row r="322" spans="2:29" x14ac:dyDescent="0.4">
      <c r="B322" s="12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11"/>
      <c r="V322" s="111"/>
      <c r="W322" s="111"/>
      <c r="X322" s="111"/>
      <c r="Y322" s="111"/>
      <c r="Z322" s="111"/>
      <c r="AA322" s="111"/>
      <c r="AB322" s="111"/>
      <c r="AC322" s="111"/>
    </row>
    <row r="323" spans="2:29" x14ac:dyDescent="0.4">
      <c r="B323" s="122"/>
      <c r="D323" s="108"/>
      <c r="E323" s="334"/>
      <c r="F323" s="334"/>
      <c r="G323" s="334"/>
      <c r="H323" s="334"/>
      <c r="I323" s="334"/>
      <c r="J323" s="334"/>
      <c r="K323" s="334"/>
      <c r="L323" s="334"/>
      <c r="M323" s="334"/>
      <c r="N323" s="182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  <c r="AB323" s="334"/>
      <c r="AC323" s="334"/>
    </row>
    <row r="324" spans="2:29" x14ac:dyDescent="0.4">
      <c r="B324" s="122"/>
      <c r="D324" s="108"/>
      <c r="E324" s="334"/>
      <c r="F324" s="334"/>
      <c r="G324" s="334"/>
      <c r="H324" s="334"/>
      <c r="I324" s="334"/>
      <c r="J324" s="334"/>
      <c r="K324" s="334"/>
      <c r="L324" s="334"/>
      <c r="M324" s="334"/>
      <c r="N324" s="182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  <c r="AB324" s="334"/>
      <c r="AC324" s="334"/>
    </row>
    <row r="325" spans="2:29" x14ac:dyDescent="0.4">
      <c r="B325" s="122"/>
      <c r="D325" s="108"/>
      <c r="E325" s="334"/>
      <c r="F325" s="334"/>
      <c r="G325" s="334"/>
      <c r="H325" s="334"/>
      <c r="I325" s="334"/>
      <c r="J325" s="334"/>
      <c r="K325" s="334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  <c r="AB325" s="334"/>
      <c r="AC325" s="334"/>
    </row>
    <row r="326" spans="2:29" x14ac:dyDescent="0.4">
      <c r="B326" s="122"/>
      <c r="D326" s="108"/>
      <c r="E326" s="334"/>
      <c r="F326" s="334"/>
      <c r="G326" s="334"/>
      <c r="H326" s="334"/>
      <c r="I326" s="334"/>
      <c r="J326" s="334"/>
      <c r="K326" s="334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  <c r="AB326" s="334"/>
      <c r="AC326" s="334"/>
    </row>
    <row r="327" spans="2:29" x14ac:dyDescent="0.4">
      <c r="B327" s="122"/>
      <c r="D327" s="108"/>
      <c r="E327" s="334"/>
      <c r="F327" s="334"/>
      <c r="G327" s="334"/>
      <c r="H327" s="334"/>
      <c r="I327" s="334"/>
      <c r="J327" s="335"/>
      <c r="K327" s="335"/>
      <c r="L327" s="335"/>
      <c r="M327" s="335"/>
      <c r="N327" s="334"/>
      <c r="O327" s="334"/>
      <c r="P327" s="334"/>
      <c r="Q327" s="334"/>
      <c r="R327" s="335"/>
      <c r="S327" s="335"/>
      <c r="T327" s="335"/>
      <c r="U327" s="336"/>
      <c r="V327" s="336"/>
      <c r="W327" s="336"/>
      <c r="X327" s="336"/>
      <c r="Y327" s="336"/>
      <c r="Z327" s="336"/>
      <c r="AA327" s="336"/>
      <c r="AB327" s="336"/>
      <c r="AC327" s="336"/>
    </row>
    <row r="328" spans="2:29" x14ac:dyDescent="0.4">
      <c r="B328" s="122"/>
      <c r="E328" s="130"/>
      <c r="F328" s="112"/>
      <c r="G328" s="112"/>
      <c r="H328" s="112"/>
      <c r="I328" s="112"/>
      <c r="J328" s="112"/>
      <c r="K328" s="112"/>
      <c r="L328" s="112"/>
      <c r="M328" s="112"/>
    </row>
    <row r="329" spans="2:29" x14ac:dyDescent="0.4">
      <c r="B329" s="122"/>
      <c r="K329" s="112"/>
      <c r="L329" s="112"/>
      <c r="M329" s="112"/>
      <c r="N329" s="334"/>
    </row>
    <row r="330" spans="2:29" x14ac:dyDescent="0.4">
      <c r="B330" s="122"/>
      <c r="C330" s="188"/>
      <c r="D330" s="177"/>
      <c r="E330" s="190"/>
      <c r="F330" s="190"/>
      <c r="G330" s="190"/>
      <c r="H330" s="190"/>
      <c r="I330" s="190"/>
      <c r="J330" s="190"/>
      <c r="K330" s="190"/>
      <c r="L330" s="190"/>
      <c r="M330" s="190"/>
      <c r="N330" s="334"/>
      <c r="O330" s="190"/>
      <c r="P330" s="190"/>
      <c r="Q330" s="190"/>
      <c r="R330" s="190"/>
      <c r="S330" s="190"/>
    </row>
    <row r="331" spans="2:29" x14ac:dyDescent="0.4">
      <c r="B331" s="122"/>
      <c r="E331" s="182"/>
      <c r="F331" s="182"/>
      <c r="G331" s="182"/>
      <c r="H331" s="182"/>
      <c r="I331" s="182"/>
      <c r="J331" s="182"/>
      <c r="K331" s="182"/>
      <c r="L331" s="182"/>
      <c r="M331" s="182"/>
      <c r="N331" s="334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  <c r="AB331" s="182"/>
      <c r="AC331" s="182"/>
    </row>
    <row r="332" spans="2:29" x14ac:dyDescent="0.4">
      <c r="B332" s="122"/>
      <c r="E332" s="337"/>
      <c r="F332" s="337"/>
      <c r="G332" s="337"/>
      <c r="H332" s="337"/>
      <c r="I332" s="337"/>
      <c r="J332" s="337"/>
      <c r="K332" s="337"/>
      <c r="L332" s="337"/>
      <c r="M332" s="337"/>
    </row>
    <row r="333" spans="2:29" x14ac:dyDescent="0.4">
      <c r="B333" s="122"/>
      <c r="C333" s="188"/>
      <c r="D333" s="177"/>
      <c r="E333" s="188"/>
      <c r="F333" s="190"/>
      <c r="G333" s="338"/>
      <c r="H333" s="338"/>
      <c r="I333" s="338"/>
      <c r="J333" s="338"/>
      <c r="K333" s="338"/>
      <c r="L333" s="338"/>
      <c r="M333" s="338"/>
    </row>
    <row r="334" spans="2:29" x14ac:dyDescent="0.4">
      <c r="F334" s="179"/>
      <c r="G334" s="331"/>
      <c r="H334" s="179"/>
      <c r="I334" s="179"/>
      <c r="J334" s="179"/>
      <c r="K334" s="179"/>
    </row>
    <row r="335" spans="2:29" x14ac:dyDescent="0.4">
      <c r="F335" s="130"/>
      <c r="G335" s="339"/>
    </row>
    <row r="336" spans="2:29" x14ac:dyDescent="0.4">
      <c r="F336" s="122"/>
      <c r="G336" s="122"/>
      <c r="H336" s="122"/>
      <c r="I336" s="122"/>
      <c r="J336" s="122"/>
      <c r="K336" s="122"/>
      <c r="L336" s="122"/>
      <c r="M336" s="122"/>
    </row>
    <row r="337" spans="4:13" x14ac:dyDescent="0.4">
      <c r="D337" s="108"/>
      <c r="F337" s="340"/>
      <c r="G337" s="340"/>
      <c r="H337" s="340"/>
      <c r="I337" s="340"/>
      <c r="J337" s="340"/>
      <c r="K337" s="340"/>
      <c r="L337" s="340"/>
      <c r="M337" s="340"/>
    </row>
    <row r="338" spans="4:13" x14ac:dyDescent="0.4">
      <c r="D338" s="108"/>
      <c r="F338" s="340"/>
      <c r="G338" s="340"/>
      <c r="H338" s="341"/>
      <c r="I338" s="341"/>
      <c r="J338" s="341"/>
      <c r="K338" s="341"/>
      <c r="L338" s="341"/>
      <c r="M338" s="341"/>
    </row>
    <row r="339" spans="4:13" x14ac:dyDescent="0.4">
      <c r="D339" s="108"/>
      <c r="F339" s="341"/>
      <c r="G339" s="341"/>
      <c r="H339" s="341"/>
      <c r="I339" s="341"/>
      <c r="J339" s="341"/>
      <c r="K339" s="341"/>
      <c r="L339" s="341"/>
      <c r="M339" s="341"/>
    </row>
    <row r="340" spans="4:13" x14ac:dyDescent="0.4">
      <c r="D340" s="108"/>
      <c r="F340" s="340"/>
      <c r="G340" s="340"/>
      <c r="H340" s="340"/>
      <c r="I340" s="340"/>
      <c r="J340" s="340"/>
      <c r="K340" s="340"/>
      <c r="L340" s="340"/>
      <c r="M340" s="340"/>
    </row>
    <row r="341" spans="4:13" x14ac:dyDescent="0.4">
      <c r="D341" s="126"/>
    </row>
    <row r="343" spans="4:13" x14ac:dyDescent="0.4">
      <c r="E343" s="122"/>
      <c r="F343" s="122"/>
      <c r="G343" s="122"/>
      <c r="H343" s="122"/>
      <c r="I343" s="122"/>
      <c r="J343" s="122"/>
      <c r="K343" s="122"/>
      <c r="L343" s="122"/>
      <c r="M343" s="122"/>
    </row>
    <row r="344" spans="4:13" x14ac:dyDescent="0.4">
      <c r="E344" s="112"/>
      <c r="F344" s="112"/>
      <c r="G344" s="112"/>
      <c r="H344" s="112"/>
      <c r="I344" s="112"/>
      <c r="J344" s="112"/>
      <c r="K344" s="112"/>
      <c r="L344" s="112"/>
      <c r="M344" s="112"/>
    </row>
    <row r="345" spans="4:13" x14ac:dyDescent="0.4">
      <c r="F345" s="112"/>
      <c r="G345" s="112"/>
      <c r="H345" s="112"/>
      <c r="I345" s="112"/>
      <c r="J345" s="112"/>
      <c r="K345" s="112"/>
      <c r="L345" s="112"/>
      <c r="M345" s="112"/>
    </row>
    <row r="346" spans="4:13" x14ac:dyDescent="0.4">
      <c r="F346" s="112"/>
      <c r="G346" s="112"/>
      <c r="H346" s="112"/>
      <c r="I346" s="112"/>
      <c r="J346" s="112"/>
      <c r="K346" s="112"/>
      <c r="L346" s="112"/>
      <c r="M346" s="112"/>
    </row>
    <row r="347" spans="4:13" x14ac:dyDescent="0.4">
      <c r="F347" s="112"/>
      <c r="G347" s="112"/>
      <c r="H347" s="112"/>
      <c r="I347" s="112"/>
      <c r="J347" s="112"/>
      <c r="K347" s="112"/>
      <c r="L347" s="112"/>
    </row>
    <row r="348" spans="4:13" x14ac:dyDescent="0.4">
      <c r="F348" s="182"/>
      <c r="G348" s="182"/>
      <c r="H348" s="182"/>
      <c r="I348" s="182"/>
      <c r="J348" s="182"/>
      <c r="K348" s="182"/>
      <c r="L348" s="182"/>
    </row>
    <row r="349" spans="4:13" x14ac:dyDescent="0.4">
      <c r="E349" s="342"/>
      <c r="F349" s="342"/>
      <c r="G349" s="342"/>
      <c r="H349" s="342"/>
      <c r="I349" s="342"/>
      <c r="J349" s="342"/>
      <c r="K349" s="342"/>
      <c r="L349" s="342"/>
      <c r="M349" s="342"/>
    </row>
    <row r="350" spans="4:13" x14ac:dyDescent="0.4">
      <c r="F350" s="337"/>
      <c r="G350" s="337"/>
      <c r="H350" s="337"/>
      <c r="I350" s="337"/>
      <c r="J350" s="337"/>
      <c r="K350" s="337"/>
      <c r="L350" s="337"/>
      <c r="M350" s="337"/>
    </row>
    <row r="351" spans="4:13" x14ac:dyDescent="0.4">
      <c r="F351" s="182"/>
      <c r="G351" s="182"/>
      <c r="H351" s="182"/>
      <c r="I351" s="182"/>
      <c r="J351" s="182"/>
      <c r="K351" s="182"/>
      <c r="L351" s="182"/>
      <c r="M351" s="182"/>
    </row>
    <row r="352" spans="4:13" x14ac:dyDescent="0.4">
      <c r="F352" s="112"/>
      <c r="G352" s="112"/>
      <c r="H352" s="112"/>
      <c r="I352" s="112"/>
      <c r="J352" s="112"/>
      <c r="K352" s="112"/>
      <c r="L352" s="112"/>
      <c r="M352" s="112"/>
    </row>
    <row r="355" spans="5:13" x14ac:dyDescent="0.4">
      <c r="E355" s="342"/>
      <c r="F355" s="342"/>
      <c r="G355" s="342"/>
      <c r="H355" s="342"/>
      <c r="I355" s="342"/>
      <c r="J355" s="342"/>
      <c r="K355" s="342"/>
      <c r="L355" s="342"/>
      <c r="M355" s="342"/>
    </row>
    <row r="356" spans="5:13" x14ac:dyDescent="0.4">
      <c r="G356" s="112"/>
      <c r="H356" s="112"/>
      <c r="I356" s="112"/>
      <c r="J356" s="112"/>
      <c r="K356" s="112"/>
      <c r="L356" s="112"/>
      <c r="M356" s="112"/>
    </row>
    <row r="357" spans="5:13" x14ac:dyDescent="0.4">
      <c r="G357" s="112"/>
      <c r="H357" s="112"/>
      <c r="I357" s="112"/>
      <c r="J357" s="112"/>
      <c r="K357" s="112"/>
      <c r="L357" s="112"/>
      <c r="M357" s="112"/>
    </row>
    <row r="358" spans="5:13" x14ac:dyDescent="0.4">
      <c r="G358" s="112"/>
      <c r="H358" s="112"/>
      <c r="I358" s="112"/>
      <c r="J358" s="112"/>
      <c r="K358" s="112"/>
      <c r="L358" s="112"/>
      <c r="M358" s="112"/>
    </row>
    <row r="361" spans="5:13" x14ac:dyDescent="0.4">
      <c r="G361" s="112"/>
      <c r="H361" s="112"/>
      <c r="I361" s="112"/>
      <c r="J361" s="112"/>
      <c r="K361" s="112"/>
      <c r="L361" s="112"/>
      <c r="M361" s="112"/>
    </row>
    <row r="362" spans="5:13" x14ac:dyDescent="0.4">
      <c r="E362" s="182"/>
      <c r="F362" s="182"/>
      <c r="G362" s="182"/>
      <c r="H362" s="182"/>
      <c r="I362" s="182"/>
      <c r="J362" s="182"/>
      <c r="K362" s="182"/>
    </row>
  </sheetData>
  <mergeCells count="3">
    <mergeCell ref="O10:P10"/>
    <mergeCell ref="B28:B30"/>
    <mergeCell ref="B31:B36"/>
  </mergeCells>
  <conditionalFormatting sqref="A194:D194 AD194:XFD194 A237:D237 AD237:XFD237 A244:D244 AD244:XFD244 A248:D248 AD248:XFD248">
    <cfRule type="cellIs" dxfId="463" priority="2" operator="lessThan">
      <formula>0</formula>
    </cfRule>
  </conditionalFormatting>
  <conditionalFormatting sqref="C249">
    <cfRule type="cellIs" dxfId="462" priority="1" operator="lessThan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ED961-24F5-47B3-8A4D-2914AE835946}">
  <dimension ref="A1:E4"/>
  <sheetViews>
    <sheetView workbookViewId="0">
      <selection activeCell="A3" sqref="A3"/>
    </sheetView>
  </sheetViews>
  <sheetFormatPr baseColWidth="10" defaultRowHeight="14.4" x14ac:dyDescent="0.3"/>
  <cols>
    <col min="1" max="1" width="24.33203125" bestFit="1" customWidth="1"/>
  </cols>
  <sheetData>
    <row r="1" spans="1:5" x14ac:dyDescent="0.3">
      <c r="A1" t="s">
        <v>712</v>
      </c>
      <c r="B1" t="s">
        <v>705</v>
      </c>
      <c r="C1" t="s">
        <v>706</v>
      </c>
      <c r="D1" t="s">
        <v>707</v>
      </c>
      <c r="E1" t="s">
        <v>708</v>
      </c>
    </row>
    <row r="2" spans="1:5" x14ac:dyDescent="0.3">
      <c r="A2" t="s">
        <v>713</v>
      </c>
      <c r="B2" s="102">
        <f>+'MODELO FINANCIERO BARRANQUERO'!R248</f>
        <v>-4.7407085439337561E-2</v>
      </c>
      <c r="C2" s="102">
        <f>+'MODELO FINANCIERO BARRANQUERO'!S248</f>
        <v>-8.6654956951740303E-2</v>
      </c>
      <c r="D2" s="102">
        <f>+'MODELO FINANCIERO BARRANQUERO'!T248</f>
        <v>-8.5772566565898503E-2</v>
      </c>
      <c r="E2" s="102">
        <f>+'MODELO FINANCIERO BARRANQUERO'!U248</f>
        <v>-4.7847346011525592E-2</v>
      </c>
    </row>
    <row r="3" spans="1:5" x14ac:dyDescent="0.3">
      <c r="A3" s="350" t="s">
        <v>714</v>
      </c>
      <c r="B3" s="102">
        <f>+'MODELO FINANCIERO BARRANQUERO'!R249</f>
        <v>-1.056167924416191E-2</v>
      </c>
      <c r="C3" s="102">
        <f>+'MODELO FINANCIERO BARRANQUERO'!S249</f>
        <v>-4.5523318214866937E-2</v>
      </c>
      <c r="D3" s="102">
        <f>+'MODELO FINANCIERO BARRANQUERO'!T249</f>
        <v>5.9894423416603552E-2</v>
      </c>
      <c r="E3" s="102">
        <f>+'MODELO FINANCIERO BARRANQUERO'!U249</f>
        <v>-0.21114738538681938</v>
      </c>
    </row>
    <row r="4" spans="1:5" x14ac:dyDescent="0.3">
      <c r="A4" s="346"/>
    </row>
  </sheetData>
  <phoneticPr fontId="46" type="noConversion"/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B181-BC3C-44B9-A929-26CB4127E49C}">
  <dimension ref="A1:B4"/>
  <sheetViews>
    <sheetView workbookViewId="0">
      <selection activeCell="B4" sqref="B4"/>
    </sheetView>
  </sheetViews>
  <sheetFormatPr baseColWidth="10" defaultRowHeight="14.4" x14ac:dyDescent="0.3"/>
  <cols>
    <col min="1" max="1" width="24.33203125" bestFit="1" customWidth="1"/>
    <col min="2" max="2" width="12.77734375" bestFit="1" customWidth="1"/>
  </cols>
  <sheetData>
    <row r="1" spans="1:2" x14ac:dyDescent="0.3">
      <c r="A1" t="s">
        <v>712</v>
      </c>
      <c r="B1" t="s">
        <v>715</v>
      </c>
    </row>
    <row r="2" spans="1:2" x14ac:dyDescent="0.3">
      <c r="A2" t="s">
        <v>709</v>
      </c>
      <c r="B2" s="88">
        <v>279997</v>
      </c>
    </row>
    <row r="3" spans="1:2" x14ac:dyDescent="0.3">
      <c r="A3" t="s">
        <v>710</v>
      </c>
      <c r="B3" s="88">
        <v>-9197.1000000000022</v>
      </c>
    </row>
    <row r="4" spans="1:2" x14ac:dyDescent="0.3">
      <c r="A4" t="s">
        <v>711</v>
      </c>
      <c r="B4" s="102">
        <v>-3.2847137647903375E-2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2A62-2EAA-4CBA-9D91-CAE5C7C4231F}">
  <sheetPr>
    <tabColor theme="7"/>
  </sheetPr>
  <dimension ref="A1:G7"/>
  <sheetViews>
    <sheetView zoomScaleNormal="100" zoomScaleSheetLayoutView="100" workbookViewId="0">
      <selection activeCell="A6" sqref="A6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s="86" t="s">
        <v>432</v>
      </c>
      <c r="B1" t="s" vm="15">
        <v>444</v>
      </c>
      <c r="F1" s="86" t="s">
        <v>432</v>
      </c>
      <c r="G1" t="s" vm="15">
        <v>444</v>
      </c>
    </row>
    <row r="2" spans="1:7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7" x14ac:dyDescent="0.3">
      <c r="A3" s="86" t="s">
        <v>435</v>
      </c>
      <c r="B3" t="s" vm="24">
        <v>340</v>
      </c>
      <c r="F3" s="86" t="s">
        <v>435</v>
      </c>
      <c r="G3" t="s" vm="13">
        <v>106</v>
      </c>
    </row>
    <row r="4" spans="1:7" x14ac:dyDescent="0.3">
      <c r="B4" s="98" t="s">
        <v>435</v>
      </c>
      <c r="G4" s="98" t="s">
        <v>436</v>
      </c>
    </row>
    <row r="5" spans="1:7" x14ac:dyDescent="0.3">
      <c r="A5" s="86" t="s">
        <v>39</v>
      </c>
      <c r="B5"/>
      <c r="F5" s="86" t="s">
        <v>39</v>
      </c>
      <c r="G5"/>
    </row>
    <row r="6" spans="1:7" x14ac:dyDescent="0.3">
      <c r="A6" s="99" t="s">
        <v>437</v>
      </c>
      <c r="B6" s="4">
        <v>-32496481.053536408</v>
      </c>
      <c r="F6" s="99" t="s">
        <v>437</v>
      </c>
      <c r="G6" s="4">
        <v>-196581232.67108333</v>
      </c>
    </row>
    <row r="7" spans="1:7" x14ac:dyDescent="0.3">
      <c r="A7" s="99" t="s">
        <v>438</v>
      </c>
      <c r="B7" s="85">
        <v>-4.9950046164276296</v>
      </c>
      <c r="F7" s="99" t="s">
        <v>438</v>
      </c>
      <c r="G7" s="85">
        <v>-0.22535671730589582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96A0-10EB-4C0C-B8C5-7E446DE412CB}">
  <dimension ref="A1:G6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'rentabilidad exportaciones'!A5</f>
        <v>Values</v>
      </c>
      <c r="B1">
        <f>'rentabilidad exportaciones'!B5</f>
        <v>0</v>
      </c>
      <c r="F1"/>
      <c r="G1"/>
    </row>
    <row r="2" spans="1:7" x14ac:dyDescent="0.3">
      <c r="A2" t="str">
        <f>'rentabilidad exportaciones'!A6</f>
        <v>UTILIDAD NETA FINAL</v>
      </c>
      <c r="B2">
        <f>'rentabilidad exportaciones'!B6</f>
        <v>-32496481.053536408</v>
      </c>
      <c r="F2"/>
      <c r="G2"/>
    </row>
    <row r="3" spans="1:7" x14ac:dyDescent="0.3">
      <c r="A3" t="str">
        <f>'rentabilidad exportaciones'!A7</f>
        <v>MARGEN NETO FINAL</v>
      </c>
      <c r="B3" s="87">
        <f>'rentabilidad exportaciones'!B7</f>
        <v>-4.9950046164276296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7B83-3CA5-4AC7-A380-EA4AA962DA47}">
  <dimension ref="A1:G6"/>
  <sheetViews>
    <sheetView zoomScaleNormal="100" zoomScaleSheetLayoutView="100" workbookViewId="0">
      <selection activeCell="C4" sqref="C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+'rentabilidad exportaciones'!F5</f>
        <v>Values</v>
      </c>
      <c r="B1">
        <f>+'rentabilidad exportaciones'!G5</f>
        <v>0</v>
      </c>
      <c r="F1"/>
      <c r="G1"/>
    </row>
    <row r="2" spans="1:7" x14ac:dyDescent="0.3">
      <c r="A2" t="str">
        <f>+'rentabilidad exportaciones'!F6</f>
        <v>UTILIDAD NETA FINAL</v>
      </c>
      <c r="B2">
        <f>+'rentabilidad exportaciones'!G6</f>
        <v>-196581232.67108333</v>
      </c>
      <c r="F2"/>
      <c r="G2"/>
    </row>
    <row r="3" spans="1:7" x14ac:dyDescent="0.3">
      <c r="A3" t="str">
        <f>+'rentabilidad exportaciones'!F7</f>
        <v>MARGEN NETO FINAL</v>
      </c>
      <c r="B3" s="87">
        <f>+'rentabilidad exportaciones'!G7</f>
        <v>-0.22535671730589582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D95C-A661-4B1C-8154-765191261972}">
  <sheetPr>
    <tabColor theme="7"/>
  </sheetPr>
  <dimension ref="A1:E8"/>
  <sheetViews>
    <sheetView zoomScaleNormal="100" zoomScaleSheetLayoutView="100" workbookViewId="0">
      <selection activeCell="F24" sqref="F24"/>
    </sheetView>
  </sheetViews>
  <sheetFormatPr baseColWidth="10" defaultColWidth="8.88671875" defaultRowHeight="14.4" x14ac:dyDescent="0.3"/>
  <cols>
    <col min="1" max="1" width="20.109375" style="98" bestFit="1" customWidth="1"/>
    <col min="2" max="2" width="12.6640625" style="98" bestFit="1" customWidth="1"/>
    <col min="3" max="3" width="19.21875" style="98" bestFit="1" customWidth="1"/>
    <col min="4" max="4" width="20.109375" style="98" bestFit="1" customWidth="1"/>
    <col min="5" max="5" width="12.6640625" style="98" bestFit="1" customWidth="1"/>
    <col min="6" max="6" width="19.21875" style="98" bestFit="1" customWidth="1"/>
    <col min="7" max="16384" width="8.88671875" style="98"/>
  </cols>
  <sheetData>
    <row r="1" spans="1:5" x14ac:dyDescent="0.3">
      <c r="A1" s="86" t="s">
        <v>432</v>
      </c>
      <c r="B1" t="s" vm="14">
        <v>106</v>
      </c>
      <c r="D1" s="86" t="s">
        <v>432</v>
      </c>
      <c r="E1" t="s" vm="14">
        <v>106</v>
      </c>
    </row>
    <row r="2" spans="1:5" x14ac:dyDescent="0.3">
      <c r="A2" s="86" t="s">
        <v>434</v>
      </c>
      <c r="B2" t="s" vm="11">
        <v>384</v>
      </c>
      <c r="D2" s="86" t="s">
        <v>434</v>
      </c>
      <c r="E2" t="s" vm="11">
        <v>384</v>
      </c>
    </row>
    <row r="3" spans="1:5" x14ac:dyDescent="0.3">
      <c r="A3" s="86" t="s">
        <v>435</v>
      </c>
      <c r="B3" t="s" vm="13">
        <v>106</v>
      </c>
      <c r="D3" s="86" t="s">
        <v>435</v>
      </c>
      <c r="E3" t="s" vm="24">
        <v>340</v>
      </c>
    </row>
    <row r="4" spans="1:5" x14ac:dyDescent="0.3">
      <c r="B4" s="98" t="s">
        <v>435</v>
      </c>
      <c r="E4" s="98" t="s">
        <v>435</v>
      </c>
    </row>
    <row r="5" spans="1:5" x14ac:dyDescent="0.3">
      <c r="A5" s="86" t="s">
        <v>39</v>
      </c>
      <c r="B5"/>
      <c r="D5" s="86" t="s">
        <v>39</v>
      </c>
      <c r="E5"/>
    </row>
    <row r="6" spans="1:5" x14ac:dyDescent="0.3">
      <c r="A6" s="99" t="s">
        <v>446</v>
      </c>
      <c r="B6" s="85">
        <v>0.50849825181957009</v>
      </c>
      <c r="D6" s="99" t="s">
        <v>446</v>
      </c>
      <c r="E6" s="85">
        <v>0.47617542741768004</v>
      </c>
    </row>
    <row r="7" spans="1:5" x14ac:dyDescent="0.3">
      <c r="A7" s="99" t="s">
        <v>437</v>
      </c>
      <c r="B7" s="4">
        <v>9229092315.2970791</v>
      </c>
      <c r="D7" s="99" t="s">
        <v>437</v>
      </c>
      <c r="E7" s="4">
        <v>1700189031.6170731</v>
      </c>
    </row>
    <row r="8" spans="1:5" x14ac:dyDescent="0.3">
      <c r="A8" s="99" t="s">
        <v>438</v>
      </c>
      <c r="B8" s="85">
        <v>0.18156725520910766</v>
      </c>
      <c r="D8" s="99" t="s">
        <v>438</v>
      </c>
      <c r="E8" s="85">
        <v>0.15363736262114527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67E3-7236-4401-B314-711621FE1BEB}">
  <dimension ref="A1:B6"/>
  <sheetViews>
    <sheetView zoomScaleNormal="100" zoomScaleSheetLayoutView="100" workbookViewId="0">
      <selection activeCell="B12" sqref="B12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financiera!D5</f>
        <v>Values</v>
      </c>
      <c r="B1"/>
    </row>
    <row r="2" spans="1:2" x14ac:dyDescent="0.3">
      <c r="A2" t="str">
        <f>financiera!D6</f>
        <v>MARGEN BRUTO FINAL</v>
      </c>
      <c r="B2" s="102">
        <f>financiera!E6</f>
        <v>0.47617542741768004</v>
      </c>
    </row>
    <row r="3" spans="1:2" x14ac:dyDescent="0.3">
      <c r="A3" t="str">
        <f>financiera!D7</f>
        <v>UTILIDAD NETA FINAL</v>
      </c>
      <c r="B3" s="88">
        <f>financiera!E7</f>
        <v>1700189031.6170731</v>
      </c>
    </row>
    <row r="4" spans="1:2" x14ac:dyDescent="0.3">
      <c r="A4" t="str">
        <f>financiera!D8</f>
        <v>MARGEN NETO FINAL</v>
      </c>
      <c r="B4" s="102">
        <f>financiera!E8</f>
        <v>0.15363736262114527</v>
      </c>
    </row>
    <row r="5" spans="1:2" x14ac:dyDescent="0.3">
      <c r="A5"/>
      <c r="B5"/>
    </row>
    <row r="6" spans="1:2" x14ac:dyDescent="0.3">
      <c r="A6"/>
      <c r="B6"/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B547-D119-4339-91A2-838ABBEC63BB}">
  <dimension ref="A1:B7"/>
  <sheetViews>
    <sheetView zoomScaleNormal="100" zoomScaleSheetLayoutView="100" workbookViewId="0">
      <selection activeCell="A34" sqref="A3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+financiera!A5</f>
        <v>Values</v>
      </c>
      <c r="B1"/>
    </row>
    <row r="2" spans="1:2" x14ac:dyDescent="0.3">
      <c r="A2" t="str">
        <f>+financiera!A6</f>
        <v>MARGEN BRUTO FINAL</v>
      </c>
      <c r="B2" s="87">
        <f>+financiera!B6</f>
        <v>0.50849825181957009</v>
      </c>
    </row>
    <row r="3" spans="1:2" x14ac:dyDescent="0.3">
      <c r="A3" t="str">
        <f>+financiera!A7</f>
        <v>UTILIDAD NETA FINAL</v>
      </c>
      <c r="B3" s="88">
        <f>+financiera!B7</f>
        <v>9229092315.2970791</v>
      </c>
    </row>
    <row r="4" spans="1:2" x14ac:dyDescent="0.3">
      <c r="A4" t="str">
        <f>+financiera!A8</f>
        <v>MARGEN NETO FINAL</v>
      </c>
      <c r="B4" s="87">
        <f>+financiera!B8</f>
        <v>0.18156725520910766</v>
      </c>
    </row>
    <row r="5" spans="1:2" x14ac:dyDescent="0.3">
      <c r="A5"/>
      <c r="B5"/>
    </row>
    <row r="6" spans="1:2" x14ac:dyDescent="0.3">
      <c r="A6"/>
      <c r="B6"/>
    </row>
    <row r="7" spans="1:2" x14ac:dyDescent="0.3">
      <c r="A7"/>
      <c r="B7"/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78FA-6C8A-4581-B4BF-3B263C19EEC6}">
  <sheetPr>
    <tabColor theme="7"/>
  </sheetPr>
  <dimension ref="A1:H31"/>
  <sheetViews>
    <sheetView topLeftCell="A12" zoomScaleNormal="100" zoomScaleSheetLayoutView="100" workbookViewId="0">
      <selection activeCell="A24" sqref="A24"/>
    </sheetView>
  </sheetViews>
  <sheetFormatPr baseColWidth="10" defaultColWidth="8.88671875" defaultRowHeight="14.4" x14ac:dyDescent="0.3"/>
  <cols>
    <col min="1" max="1" width="19.109375" style="98" bestFit="1" customWidth="1"/>
    <col min="2" max="2" width="22.109375" style="98" bestFit="1" customWidth="1"/>
    <col min="3" max="3" width="19.21875" style="98" bestFit="1" customWidth="1"/>
    <col min="4" max="5" width="8.88671875" style="98"/>
    <col min="6" max="6" width="26.33203125" style="98" bestFit="1" customWidth="1"/>
    <col min="7" max="7" width="22.109375" style="98" bestFit="1" customWidth="1"/>
    <col min="8" max="8" width="19.21875" style="98" bestFit="1" customWidth="1"/>
    <col min="9" max="16384" width="8.88671875" style="98"/>
  </cols>
  <sheetData>
    <row r="1" spans="1:8" x14ac:dyDescent="0.3">
      <c r="A1" s="86" t="s">
        <v>432</v>
      </c>
      <c r="B1" t="s" vm="10">
        <v>433</v>
      </c>
      <c r="F1" s="86" t="s">
        <v>432</v>
      </c>
      <c r="G1" t="s" vm="10">
        <v>433</v>
      </c>
    </row>
    <row r="2" spans="1:8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8" x14ac:dyDescent="0.3">
      <c r="A3" s="86" t="s">
        <v>435</v>
      </c>
      <c r="B3" t="s" vm="12">
        <v>339</v>
      </c>
      <c r="F3" s="86" t="s">
        <v>435</v>
      </c>
      <c r="G3" t="s" vm="13">
        <v>106</v>
      </c>
    </row>
    <row r="4" spans="1:8" x14ac:dyDescent="0.3">
      <c r="B4" s="98" t="s">
        <v>435</v>
      </c>
      <c r="G4" s="98" t="s">
        <v>436</v>
      </c>
    </row>
    <row r="5" spans="1:8" x14ac:dyDescent="0.3">
      <c r="A5" s="86" t="s">
        <v>39</v>
      </c>
      <c r="B5"/>
      <c r="F5" s="86" t="s">
        <v>39</v>
      </c>
      <c r="G5"/>
    </row>
    <row r="6" spans="1:8" x14ac:dyDescent="0.3">
      <c r="A6" s="99" t="s">
        <v>437</v>
      </c>
      <c r="B6" s="4">
        <v>578871102.40072167</v>
      </c>
      <c r="F6" s="99" t="s">
        <v>437</v>
      </c>
      <c r="G6" s="4">
        <v>4424394517.4075785</v>
      </c>
    </row>
    <row r="7" spans="1:8" x14ac:dyDescent="0.3">
      <c r="A7" s="99" t="s">
        <v>438</v>
      </c>
      <c r="B7" s="85">
        <v>0.12116810981302055</v>
      </c>
      <c r="F7" s="99" t="s">
        <v>438</v>
      </c>
      <c r="G7" s="85">
        <v>0.18264784173954032</v>
      </c>
    </row>
    <row r="11" spans="1:8" x14ac:dyDescent="0.3">
      <c r="A11" s="86" t="s">
        <v>432</v>
      </c>
      <c r="B11" t="s" vm="10">
        <v>433</v>
      </c>
      <c r="F11" s="86" t="s">
        <v>432</v>
      </c>
      <c r="G11" t="s" vm="10">
        <v>433</v>
      </c>
    </row>
    <row r="12" spans="1:8" x14ac:dyDescent="0.3">
      <c r="A12" s="86" t="s">
        <v>434</v>
      </c>
      <c r="B12" t="s" vm="11">
        <v>384</v>
      </c>
      <c r="F12" s="86" t="s">
        <v>434</v>
      </c>
      <c r="G12" t="s" vm="11">
        <v>384</v>
      </c>
    </row>
    <row r="13" spans="1:8" x14ac:dyDescent="0.3">
      <c r="A13" s="86" t="s">
        <v>435</v>
      </c>
      <c r="B13" t="s" vm="24">
        <v>340</v>
      </c>
      <c r="F13" s="86" t="s">
        <v>435</v>
      </c>
      <c r="G13" t="s" vm="13">
        <v>106</v>
      </c>
    </row>
    <row r="14" spans="1:8" x14ac:dyDescent="0.3">
      <c r="B14" s="98" t="s">
        <v>435</v>
      </c>
      <c r="G14" s="101" t="s">
        <v>445</v>
      </c>
    </row>
    <row r="15" spans="1:8" x14ac:dyDescent="0.3">
      <c r="A15"/>
      <c r="B15" s="86" t="s">
        <v>39</v>
      </c>
      <c r="C15"/>
      <c r="F15"/>
      <c r="G15" s="86" t="s">
        <v>39</v>
      </c>
      <c r="H15"/>
    </row>
    <row r="16" spans="1:8" x14ac:dyDescent="0.3">
      <c r="A16" s="86" t="s">
        <v>439</v>
      </c>
      <c r="B16" t="s">
        <v>437</v>
      </c>
      <c r="C16" t="s">
        <v>438</v>
      </c>
      <c r="F16" s="86" t="s">
        <v>439</v>
      </c>
      <c r="G16" t="s">
        <v>437</v>
      </c>
      <c r="H16" t="s">
        <v>438</v>
      </c>
    </row>
    <row r="17" spans="1:8" x14ac:dyDescent="0.3">
      <c r="A17" s="100" t="s">
        <v>431</v>
      </c>
      <c r="B17" s="4">
        <v>431041099.82330203</v>
      </c>
      <c r="C17" s="85">
        <v>0.11595627233930955</v>
      </c>
      <c r="F17" s="100" t="s">
        <v>431</v>
      </c>
      <c r="G17" s="4">
        <v>1786397951.3125753</v>
      </c>
      <c r="H17" s="85">
        <v>0.13539259021381794</v>
      </c>
    </row>
    <row r="18" spans="1:8" x14ac:dyDescent="0.3">
      <c r="A18" s="100" t="s">
        <v>402</v>
      </c>
      <c r="B18" s="4">
        <v>156335134.78463095</v>
      </c>
      <c r="C18" s="85">
        <v>0.2697570396879031</v>
      </c>
      <c r="F18" s="100" t="s">
        <v>402</v>
      </c>
      <c r="G18" s="4">
        <v>1145768481.6384127</v>
      </c>
      <c r="H18" s="85">
        <v>0.28985506180584908</v>
      </c>
    </row>
    <row r="19" spans="1:8" x14ac:dyDescent="0.3">
      <c r="A19" s="100" t="s">
        <v>399</v>
      </c>
      <c r="B19" s="4">
        <v>97400838.161024883</v>
      </c>
      <c r="C19" s="85">
        <v>0.14453615972156592</v>
      </c>
      <c r="F19" s="100" t="s">
        <v>399</v>
      </c>
      <c r="G19" s="4">
        <v>653296262.10777152</v>
      </c>
      <c r="H19" s="85">
        <v>0.21128009364567243</v>
      </c>
    </row>
    <row r="20" spans="1:8" x14ac:dyDescent="0.3">
      <c r="A20" s="354" t="s">
        <v>391</v>
      </c>
      <c r="B20" s="352">
        <v>92427548.198594168</v>
      </c>
      <c r="C20" s="353">
        <v>0.41028938704302004</v>
      </c>
      <c r="F20" s="100" t="s">
        <v>401</v>
      </c>
      <c r="G20" s="4">
        <v>519105283.21707428</v>
      </c>
      <c r="H20" s="85">
        <v>0.22413542332611153</v>
      </c>
    </row>
    <row r="21" spans="1:8" x14ac:dyDescent="0.3">
      <c r="A21" s="100" t="s">
        <v>401</v>
      </c>
      <c r="B21" s="4">
        <v>77132819.179569483</v>
      </c>
      <c r="C21" s="85">
        <v>0.17352056277271063</v>
      </c>
      <c r="F21" s="99" t="s">
        <v>391</v>
      </c>
      <c r="G21" s="4">
        <v>142443813.33875525</v>
      </c>
      <c r="H21" s="85">
        <v>0.22497767145924655</v>
      </c>
    </row>
    <row r="22" spans="1:8" x14ac:dyDescent="0.3">
      <c r="A22" s="100" t="s">
        <v>398</v>
      </c>
      <c r="B22" s="4">
        <v>13301335.756478122</v>
      </c>
      <c r="C22" s="85">
        <v>0.20614282928282102</v>
      </c>
      <c r="F22" s="100" t="s">
        <v>398</v>
      </c>
      <c r="G22" s="4">
        <v>136383873.73115757</v>
      </c>
      <c r="H22" s="85">
        <v>0.19837398249263849</v>
      </c>
    </row>
    <row r="23" spans="1:8" x14ac:dyDescent="0.3">
      <c r="A23" s="100" t="s">
        <v>400</v>
      </c>
      <c r="B23" s="4">
        <v>7496418.0684225466</v>
      </c>
      <c r="C23" s="85">
        <v>0.18988699107843202</v>
      </c>
      <c r="F23" s="100" t="s">
        <v>400</v>
      </c>
      <c r="G23" s="4">
        <v>63656349.872820459</v>
      </c>
      <c r="H23" s="85">
        <v>0.20848092735649304</v>
      </c>
    </row>
    <row r="24" spans="1:8" x14ac:dyDescent="0.3">
      <c r="A24" s="100" t="s">
        <v>440</v>
      </c>
      <c r="B24" s="4">
        <v>735538.10245618247</v>
      </c>
      <c r="C24" s="85">
        <v>0.14364320494571475</v>
      </c>
      <c r="F24" s="100" t="s">
        <v>440</v>
      </c>
      <c r="G24" s="4">
        <v>8830209.0400543604</v>
      </c>
      <c r="H24" s="85">
        <v>0.26690688241504812</v>
      </c>
    </row>
    <row r="25" spans="1:8" x14ac:dyDescent="0.3">
      <c r="A25" s="354" t="s">
        <v>30</v>
      </c>
      <c r="B25" s="352">
        <v>539289.60948128207</v>
      </c>
      <c r="C25" s="353">
        <v>0.38697700731150353</v>
      </c>
      <c r="F25" s="99" t="s">
        <v>30</v>
      </c>
      <c r="G25" s="4">
        <v>2453871.1927010571</v>
      </c>
      <c r="H25" s="85">
        <v>0.32724696609882964</v>
      </c>
    </row>
    <row r="26" spans="1:8" x14ac:dyDescent="0.3">
      <c r="A26" s="354" t="s">
        <v>441</v>
      </c>
      <c r="B26" s="352">
        <v>0</v>
      </c>
      <c r="C26" s="353">
        <v>0</v>
      </c>
      <c r="F26" s="99" t="s">
        <v>444</v>
      </c>
      <c r="G26" s="4">
        <v>0</v>
      </c>
      <c r="H26" s="85">
        <v>0</v>
      </c>
    </row>
    <row r="27" spans="1:8" x14ac:dyDescent="0.3">
      <c r="A27" s="354" t="s">
        <v>443</v>
      </c>
      <c r="B27" s="352">
        <v>-503157.71251130989</v>
      </c>
      <c r="C27" s="353">
        <v>-1.69547524981487</v>
      </c>
      <c r="F27" s="99" t="s">
        <v>441</v>
      </c>
      <c r="G27" s="4">
        <v>0</v>
      </c>
      <c r="H27" s="85">
        <v>0</v>
      </c>
    </row>
    <row r="28" spans="1:8" x14ac:dyDescent="0.3">
      <c r="A28" s="99" t="s">
        <v>6</v>
      </c>
      <c r="B28" s="4">
        <v>875906863.97144866</v>
      </c>
      <c r="C28" s="85">
        <v>0.15229709042368858</v>
      </c>
      <c r="F28" s="99" t="s">
        <v>442</v>
      </c>
      <c r="G28" s="4">
        <v>0</v>
      </c>
      <c r="H28" s="85">
        <v>0</v>
      </c>
    </row>
    <row r="29" spans="1:8" x14ac:dyDescent="0.3">
      <c r="A29"/>
      <c r="B29"/>
      <c r="C29"/>
      <c r="F29" s="99" t="s">
        <v>443</v>
      </c>
      <c r="G29" s="4">
        <v>-33941578.043753073</v>
      </c>
      <c r="H29" s="85">
        <v>-18.51297541267893</v>
      </c>
    </row>
    <row r="30" spans="1:8" x14ac:dyDescent="0.3">
      <c r="A30"/>
      <c r="B30"/>
      <c r="C30"/>
      <c r="F30" s="99" t="s">
        <v>6</v>
      </c>
      <c r="G30" s="4">
        <v>4424394517.4075785</v>
      </c>
      <c r="H30" s="85">
        <v>0.18264784173954032</v>
      </c>
    </row>
    <row r="31" spans="1:8" x14ac:dyDescent="0.3">
      <c r="A31"/>
      <c r="B31"/>
      <c r="C31"/>
      <c r="F31"/>
      <c r="G31"/>
      <c r="H31"/>
    </row>
  </sheetData>
  <pageMargins left="0" right="0" top="0" bottom="0" header="0" footer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C2FA-EFA5-470D-9EAE-A5634CC2A9E8}">
  <dimension ref="A1:C15"/>
  <sheetViews>
    <sheetView zoomScaleNormal="100" zoomScaleSheetLayoutView="100" workbookViewId="0"/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98" t="str">
        <f>+'rentabilidad comercial'!A16</f>
        <v>Etiquetas de fila</v>
      </c>
      <c r="B1" s="103" t="str">
        <f>+'rentabilidad comercial'!B16</f>
        <v>UTILIDAD NETA FINAL</v>
      </c>
      <c r="C1" s="104" t="str">
        <f>+'rentabilidad comercial'!C16</f>
        <v>MARGEN NETO FINAL</v>
      </c>
    </row>
    <row r="2" spans="1:3" x14ac:dyDescent="0.3">
      <c r="A2" s="98" t="str">
        <f>+'rentabilidad comercial'!A17</f>
        <v>GRANDES SUPERFICIES</v>
      </c>
      <c r="B2" s="103">
        <f>+'rentabilidad comercial'!B17</f>
        <v>431041099.82330203</v>
      </c>
      <c r="C2" s="104">
        <f>+'rentabilidad comercial'!C17</f>
        <v>0.11595627233930955</v>
      </c>
    </row>
    <row r="3" spans="1:3" x14ac:dyDescent="0.3">
      <c r="A3" s="98" t="str">
        <f>+'rentabilidad comercial'!A18</f>
        <v>TIENDA ESPECIALIZADA</v>
      </c>
      <c r="B3" s="103">
        <f>+'rentabilidad comercial'!B18</f>
        <v>156335134.78463095</v>
      </c>
      <c r="C3" s="104">
        <f>+'rentabilidad comercial'!C18</f>
        <v>0.2697570396879031</v>
      </c>
    </row>
    <row r="4" spans="1:3" x14ac:dyDescent="0.3">
      <c r="A4" s="98" t="str">
        <f>+'rentabilidad comercial'!A19</f>
        <v>CADENAS REGIONALES</v>
      </c>
      <c r="B4" s="103">
        <f>+'rentabilidad comercial'!B19</f>
        <v>97400838.161024883</v>
      </c>
      <c r="C4" s="104">
        <f>+'rentabilidad comercial'!C19</f>
        <v>0.14453615972156592</v>
      </c>
    </row>
    <row r="5" spans="1:3" x14ac:dyDescent="0.3">
      <c r="A5" s="98" t="str">
        <f>+'rentabilidad comercial'!A20</f>
        <v>OTROS</v>
      </c>
      <c r="B5" s="103">
        <f>+'rentabilidad comercial'!B20</f>
        <v>92427548.198594168</v>
      </c>
      <c r="C5" s="104">
        <f>+'rentabilidad comercial'!C20</f>
        <v>0.41028938704302004</v>
      </c>
    </row>
    <row r="6" spans="1:3" x14ac:dyDescent="0.3">
      <c r="A6" s="98" t="str">
        <f>+'rentabilidad comercial'!A21</f>
        <v>FOOD SERVICE PREMIUM</v>
      </c>
      <c r="B6" s="103">
        <f>+'rentabilidad comercial'!B21</f>
        <v>77132819.179569483</v>
      </c>
      <c r="C6" s="104">
        <f>+'rentabilidad comercial'!C21</f>
        <v>0.17352056277271063</v>
      </c>
    </row>
    <row r="7" spans="1:3" x14ac:dyDescent="0.3">
      <c r="A7" s="98" t="str">
        <f>+'rentabilidad comercial'!A22</f>
        <v>AUTOSERVICIOS</v>
      </c>
      <c r="B7" s="103">
        <f>+'rentabilidad comercial'!B22</f>
        <v>13301335.756478122</v>
      </c>
      <c r="C7" s="104">
        <f>+'rentabilidad comercial'!C22</f>
        <v>0.20614282928282102</v>
      </c>
    </row>
    <row r="8" spans="1:3" x14ac:dyDescent="0.3">
      <c r="A8" s="98" t="str">
        <f>+'rentabilidad comercial'!A23</f>
        <v>DISTRIBUIDOR</v>
      </c>
      <c r="B8" s="103">
        <f>+'rentabilidad comercial'!B23</f>
        <v>7496418.0684225466</v>
      </c>
      <c r="C8" s="104">
        <f>+'rentabilidad comercial'!C23</f>
        <v>0.18988699107843202</v>
      </c>
    </row>
    <row r="9" spans="1:3" x14ac:dyDescent="0.3">
      <c r="A9" s="98" t="str">
        <f>+'rentabilidad comercial'!A24</f>
        <v>OTROS CLIENTES NACIONALES</v>
      </c>
      <c r="B9" s="103">
        <f>+'rentabilidad comercial'!B24</f>
        <v>735538.10245618247</v>
      </c>
      <c r="C9" s="104">
        <f>+'rentabilidad comercial'!C24</f>
        <v>0.14364320494571475</v>
      </c>
    </row>
    <row r="10" spans="1:3" x14ac:dyDescent="0.3">
      <c r="A10" s="98" t="str">
        <f>+'rentabilidad comercial'!A25</f>
        <v>RESTAURANTE</v>
      </c>
      <c r="B10" s="103">
        <f>+'rentabilidad comercial'!B25</f>
        <v>539289.60948128207</v>
      </c>
      <c r="C10" s="104">
        <f>+'rentabilidad comercial'!C25</f>
        <v>0.38697700731150353</v>
      </c>
    </row>
    <row r="11" spans="1:3" x14ac:dyDescent="0.3">
      <c r="A11" s="98" t="str">
        <f>+'rentabilidad comercial'!A26</f>
        <v>CAFÉ QUINDÍO S.A.S.</v>
      </c>
      <c r="B11" s="103">
        <f>+'rentabilidad comercial'!B26</f>
        <v>0</v>
      </c>
      <c r="C11" s="104">
        <f>+'rentabilidad comercial'!C26</f>
        <v>0</v>
      </c>
    </row>
    <row r="12" spans="1:3" x14ac:dyDescent="0.3">
      <c r="A12" s="98" t="str">
        <f>+'rentabilidad comercial'!A27</f>
        <v>EMPLEADOS</v>
      </c>
      <c r="B12" s="103">
        <f>+'rentabilidad comercial'!B27</f>
        <v>-503157.71251130989</v>
      </c>
      <c r="C12" s="104">
        <f>+'rentabilidad comercial'!C27</f>
        <v>-1.69547524981487</v>
      </c>
    </row>
    <row r="13" spans="1:3" x14ac:dyDescent="0.3">
      <c r="A13" s="98" t="str">
        <f>+'rentabilidad comercial'!A28</f>
        <v>Total general</v>
      </c>
      <c r="B13" s="103">
        <f>+'rentabilidad comercial'!B28</f>
        <v>875906863.97144866</v>
      </c>
      <c r="C13" s="104">
        <f>+'rentabilidad comercial'!C28</f>
        <v>0.15229709042368858</v>
      </c>
    </row>
    <row r="14" spans="1:3" x14ac:dyDescent="0.3">
      <c r="A14" s="98">
        <f>+'rentabilidad comercial'!A29</f>
        <v>0</v>
      </c>
      <c r="B14" s="103">
        <f>+'rentabilidad comercial'!B29</f>
        <v>0</v>
      </c>
      <c r="C14" s="104">
        <f>+'rentabilidad comercial'!C29</f>
        <v>0</v>
      </c>
    </row>
    <row r="15" spans="1:3" x14ac:dyDescent="0.3">
      <c r="A15" s="98">
        <f>+'rentabilidad comercial'!A30</f>
        <v>0</v>
      </c>
      <c r="B15" s="103">
        <f>+'rentabilidad comercial'!B30</f>
        <v>0</v>
      </c>
      <c r="C15" s="104">
        <f>+'rentabilidad comercial'!C30</f>
        <v>0</v>
      </c>
    </row>
  </sheetData>
  <pageMargins left="0" right="0" top="0" bottom="0" header="0" footer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194A-FD89-4DD8-80D3-2198206B64F8}">
  <dimension ref="A1:C15"/>
  <sheetViews>
    <sheetView zoomScaleNormal="100" zoomScaleSheetLayoutView="100" workbookViewId="0">
      <selection activeCell="B25" sqref="B25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101" t="s">
        <v>447</v>
      </c>
      <c r="B1" s="103" t="str">
        <f>'rentabilidad comercial'!G16</f>
        <v>UTILIDAD NETA FINAL</v>
      </c>
      <c r="C1" s="104" t="str">
        <f>'rentabilidad comercial'!H16</f>
        <v>MARGEN NETO FINAL</v>
      </c>
    </row>
    <row r="2" spans="1:3" x14ac:dyDescent="0.3">
      <c r="A2" s="98" t="str">
        <f>'rentabilidad comercial'!F17</f>
        <v>GRANDES SUPERFICIES</v>
      </c>
      <c r="B2" s="103">
        <f>'rentabilidad comercial'!G17</f>
        <v>1786397951.3125753</v>
      </c>
      <c r="C2" s="104">
        <f>'rentabilidad comercial'!H17</f>
        <v>0.13539259021381794</v>
      </c>
    </row>
    <row r="3" spans="1:3" x14ac:dyDescent="0.3">
      <c r="A3" s="98" t="str">
        <f>'rentabilidad comercial'!F18</f>
        <v>TIENDA ESPECIALIZADA</v>
      </c>
      <c r="B3" s="103">
        <f>'rentabilidad comercial'!G18</f>
        <v>1145768481.6384127</v>
      </c>
      <c r="C3" s="104">
        <f>'rentabilidad comercial'!H18</f>
        <v>0.28985506180584908</v>
      </c>
    </row>
    <row r="4" spans="1:3" x14ac:dyDescent="0.3">
      <c r="A4" s="98" t="str">
        <f>'rentabilidad comercial'!F19</f>
        <v>CADENAS REGIONALES</v>
      </c>
      <c r="B4" s="103">
        <f>'rentabilidad comercial'!G19</f>
        <v>653296262.10777152</v>
      </c>
      <c r="C4" s="104">
        <f>'rentabilidad comercial'!H19</f>
        <v>0.21128009364567243</v>
      </c>
    </row>
    <row r="5" spans="1:3" x14ac:dyDescent="0.3">
      <c r="A5" s="98" t="str">
        <f>'rentabilidad comercial'!F20</f>
        <v>FOOD SERVICE PREMIUM</v>
      </c>
      <c r="B5" s="103">
        <f>'rentabilidad comercial'!G20</f>
        <v>519105283.21707428</v>
      </c>
      <c r="C5" s="104">
        <f>'rentabilidad comercial'!H20</f>
        <v>0.22413542332611153</v>
      </c>
    </row>
    <row r="6" spans="1:3" x14ac:dyDescent="0.3">
      <c r="A6" s="98" t="str">
        <f>'rentabilidad comercial'!F21</f>
        <v>OTROS</v>
      </c>
      <c r="B6" s="103">
        <f>'rentabilidad comercial'!G21</f>
        <v>142443813.33875525</v>
      </c>
      <c r="C6" s="104">
        <f>'rentabilidad comercial'!H21</f>
        <v>0.22497767145924655</v>
      </c>
    </row>
    <row r="7" spans="1:3" x14ac:dyDescent="0.3">
      <c r="A7" s="98" t="str">
        <f>'rentabilidad comercial'!F22</f>
        <v>AUTOSERVICIOS</v>
      </c>
      <c r="B7" s="103">
        <f>'rentabilidad comercial'!G22</f>
        <v>136383873.73115757</v>
      </c>
      <c r="C7" s="104">
        <f>'rentabilidad comercial'!H22</f>
        <v>0.19837398249263849</v>
      </c>
    </row>
    <row r="8" spans="1:3" x14ac:dyDescent="0.3">
      <c r="A8" s="98" t="str">
        <f>'rentabilidad comercial'!F23</f>
        <v>DISTRIBUIDOR</v>
      </c>
      <c r="B8" s="103">
        <f>'rentabilidad comercial'!G23</f>
        <v>63656349.872820459</v>
      </c>
      <c r="C8" s="104">
        <f>'rentabilidad comercial'!H23</f>
        <v>0.20848092735649304</v>
      </c>
    </row>
    <row r="9" spans="1:3" x14ac:dyDescent="0.3">
      <c r="A9" s="98" t="str">
        <f>'rentabilidad comercial'!F24</f>
        <v>OTROS CLIENTES NACIONALES</v>
      </c>
      <c r="B9" s="103">
        <f>'rentabilidad comercial'!G24</f>
        <v>8830209.0400543604</v>
      </c>
      <c r="C9" s="104">
        <f>'rentabilidad comercial'!H24</f>
        <v>0.26690688241504812</v>
      </c>
    </row>
    <row r="10" spans="1:3" x14ac:dyDescent="0.3">
      <c r="A10" s="98" t="str">
        <f>'rentabilidad comercial'!F25</f>
        <v>RESTAURANTE</v>
      </c>
      <c r="B10" s="103">
        <f>'rentabilidad comercial'!G25</f>
        <v>2453871.1927010571</v>
      </c>
      <c r="C10" s="104">
        <f>'rentabilidad comercial'!H25</f>
        <v>0.32724696609882964</v>
      </c>
    </row>
    <row r="11" spans="1:3" x14ac:dyDescent="0.3">
      <c r="A11" s="98" t="str">
        <f>'rentabilidad comercial'!F26</f>
        <v>EXPORTACIONES</v>
      </c>
      <c r="B11" s="103">
        <f>'rentabilidad comercial'!G26</f>
        <v>0</v>
      </c>
      <c r="C11" s="104">
        <f>'rentabilidad comercial'!H26</f>
        <v>0</v>
      </c>
    </row>
    <row r="12" spans="1:3" x14ac:dyDescent="0.3">
      <c r="A12" s="98" t="str">
        <f>'rentabilidad comercial'!F27</f>
        <v>CAFÉ QUINDÍO S.A.S.</v>
      </c>
      <c r="B12" s="103">
        <f>'rentabilidad comercial'!G27</f>
        <v>0</v>
      </c>
      <c r="C12" s="104">
        <f>'rentabilidad comercial'!H27</f>
        <v>0</v>
      </c>
    </row>
    <row r="13" spans="1:3" x14ac:dyDescent="0.3">
      <c r="A13" s="98" t="str">
        <f>'rentabilidad comercial'!F28</f>
        <v>FERIAS Y EVENTOS</v>
      </c>
      <c r="B13" s="103">
        <f>'rentabilidad comercial'!G28</f>
        <v>0</v>
      </c>
      <c r="C13" s="104">
        <f>'rentabilidad comercial'!H28</f>
        <v>0</v>
      </c>
    </row>
    <row r="14" spans="1:3" x14ac:dyDescent="0.3">
      <c r="A14" s="98" t="str">
        <f>'rentabilidad comercial'!F29</f>
        <v>EMPLEADOS</v>
      </c>
      <c r="B14" s="103">
        <f>'rentabilidad comercial'!G29</f>
        <v>-33941578.043753073</v>
      </c>
      <c r="C14" s="104">
        <f>'rentabilidad comercial'!H29</f>
        <v>-18.51297541267893</v>
      </c>
    </row>
    <row r="15" spans="1:3" x14ac:dyDescent="0.3">
      <c r="A15" s="98" t="str">
        <f>'rentabilidad comercial'!F30</f>
        <v>Total general</v>
      </c>
      <c r="B15" s="103">
        <f>'rentabilidad comercial'!G30</f>
        <v>4424394517.4075785</v>
      </c>
      <c r="C15" s="104">
        <f>'rentabilidad comercial'!H30</f>
        <v>0.18264784173954032</v>
      </c>
    </row>
  </sheetData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E23" sqref="E23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7">
        <v>99</v>
      </c>
    </row>
    <row r="8" spans="1:8" x14ac:dyDescent="0.3">
      <c r="A8" s="11" t="s">
        <v>360</v>
      </c>
      <c r="B8" s="12" t="s" vm="22">
        <v>99</v>
      </c>
      <c r="D8" t="s">
        <v>377</v>
      </c>
    </row>
    <row r="9" spans="1:8" x14ac:dyDescent="0.3">
      <c r="A9" s="11" t="s">
        <v>118</v>
      </c>
      <c r="B9" s="12" t="s" vm="21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20403828223</v>
      </c>
      <c r="C13" s="8">
        <v>26181637947</v>
      </c>
      <c r="D13" s="8">
        <v>5777809724</v>
      </c>
      <c r="E13" s="74">
        <v>0.28317282721911097</v>
      </c>
    </row>
    <row r="14" spans="1:8" x14ac:dyDescent="0.3">
      <c r="A14" s="28" t="s">
        <v>374</v>
      </c>
      <c r="B14" s="69">
        <v>14747434560</v>
      </c>
      <c r="C14" s="4">
        <v>22072767036</v>
      </c>
      <c r="D14" s="4">
        <v>7325332476</v>
      </c>
      <c r="E14" s="75">
        <v>0.49671910366490213</v>
      </c>
    </row>
    <row r="15" spans="1:8" x14ac:dyDescent="0.3">
      <c r="A15" s="28" t="s">
        <v>373</v>
      </c>
      <c r="B15" s="69">
        <v>4192905308</v>
      </c>
      <c r="C15" s="4">
        <v>5392189989</v>
      </c>
      <c r="D15" s="4">
        <v>1199284681</v>
      </c>
      <c r="E15" s="75">
        <v>0.28602713223973431</v>
      </c>
    </row>
    <row r="16" spans="1:8" x14ac:dyDescent="0.3">
      <c r="A16" s="28" t="s">
        <v>375</v>
      </c>
      <c r="B16" s="69">
        <v>581035317</v>
      </c>
      <c r="C16" s="4">
        <v>872311396</v>
      </c>
      <c r="D16" s="4">
        <v>291276079</v>
      </c>
      <c r="E16" s="75">
        <v>0.50130529156801673</v>
      </c>
    </row>
    <row r="17" spans="1:7" x14ac:dyDescent="0.3">
      <c r="A17" s="28" t="s">
        <v>376</v>
      </c>
      <c r="B17" s="69">
        <v>116150583</v>
      </c>
      <c r="C17" s="4">
        <v>142526358</v>
      </c>
      <c r="D17" s="4">
        <v>26375775</v>
      </c>
      <c r="E17" s="75">
        <v>0.22708258812613957</v>
      </c>
    </row>
    <row r="18" spans="1:7" x14ac:dyDescent="0.3">
      <c r="A18" s="6" t="s">
        <v>6</v>
      </c>
      <c r="B18" s="62">
        <v>40041353991</v>
      </c>
      <c r="C18" s="9">
        <v>54661432726</v>
      </c>
      <c r="D18" s="9">
        <v>14620078735</v>
      </c>
      <c r="E18" s="76">
        <v>0.36512448450884349</v>
      </c>
      <c r="F18" s="77">
        <v>0.36499999999999999</v>
      </c>
      <c r="G18" s="78">
        <f>E18-F18</f>
        <v>1.2448450884350315E-4</v>
      </c>
    </row>
  </sheetData>
  <pageMargins left="0" right="0" top="0" bottom="0" header="0" footer="0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6A12D-C5B6-44EF-841A-2CC2CEDE6211}">
  <dimension ref="A1:E10"/>
  <sheetViews>
    <sheetView workbookViewId="0">
      <selection activeCell="D4" sqref="D4"/>
    </sheetView>
  </sheetViews>
  <sheetFormatPr baseColWidth="10" defaultRowHeight="14.4" x14ac:dyDescent="0.3"/>
  <cols>
    <col min="1" max="1" width="30.5546875" bestFit="1" customWidth="1"/>
    <col min="2" max="2" width="18.6640625" bestFit="1" customWidth="1"/>
    <col min="3" max="3" width="13.6640625" bestFit="1" customWidth="1"/>
    <col min="4" max="4" width="25.33203125" bestFit="1" customWidth="1"/>
    <col min="5" max="6" width="14.44140625" bestFit="1" customWidth="1"/>
  </cols>
  <sheetData>
    <row r="1" spans="1:5" x14ac:dyDescent="0.3">
      <c r="A1" s="11" t="s">
        <v>356</v>
      </c>
      <c r="B1" s="12" t="s" vm="18">
        <v>99</v>
      </c>
    </row>
    <row r="2" spans="1:5" x14ac:dyDescent="0.3">
      <c r="A2" s="11" t="s">
        <v>449</v>
      </c>
      <c r="B2" s="12" t="s" vm="17">
        <v>106</v>
      </c>
    </row>
    <row r="3" spans="1:5" x14ac:dyDescent="0.3">
      <c r="A3" s="11" t="s">
        <v>45</v>
      </c>
      <c r="B3" s="12" t="s">
        <v>99</v>
      </c>
    </row>
    <row r="4" spans="1:5" x14ac:dyDescent="0.3">
      <c r="A4" s="11" t="s">
        <v>101</v>
      </c>
      <c r="B4" s="12" t="s" vm="7">
        <v>99</v>
      </c>
    </row>
    <row r="5" spans="1:5" x14ac:dyDescent="0.3">
      <c r="A5" s="11" t="s">
        <v>360</v>
      </c>
      <c r="B5" s="12" t="s" vm="19">
        <v>99</v>
      </c>
    </row>
    <row r="6" spans="1:5" x14ac:dyDescent="0.3">
      <c r="A6" s="11" t="s">
        <v>118</v>
      </c>
      <c r="B6" s="12" t="s" vm="16">
        <v>99</v>
      </c>
      <c r="D6" s="351" t="s">
        <v>716</v>
      </c>
    </row>
    <row r="7" spans="1:5" x14ac:dyDescent="0.3">
      <c r="E7" s="73" t="s">
        <v>379</v>
      </c>
    </row>
    <row r="8" spans="1:5" x14ac:dyDescent="0.3">
      <c r="A8" s="5" t="s">
        <v>39</v>
      </c>
      <c r="B8" s="2"/>
      <c r="C8" s="3"/>
    </row>
    <row r="9" spans="1:5" x14ac:dyDescent="0.3">
      <c r="A9" s="1" t="s">
        <v>448</v>
      </c>
      <c r="B9" s="71" t="s">
        <v>450</v>
      </c>
      <c r="C9" s="72" t="s">
        <v>451</v>
      </c>
    </row>
    <row r="10" spans="1:5" x14ac:dyDescent="0.3">
      <c r="A10" s="106">
        <v>7.7990949319127978E-2</v>
      </c>
      <c r="B10" s="9">
        <v>6235660473</v>
      </c>
      <c r="C10" s="105">
        <v>79953642409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58A5-427E-4541-A4DF-1050DEA4D50D}">
  <dimension ref="A1:C2"/>
  <sheetViews>
    <sheetView workbookViewId="0">
      <selection activeCell="C34" sqref="C34"/>
    </sheetView>
  </sheetViews>
  <sheetFormatPr baseColWidth="10" defaultRowHeight="14.4" x14ac:dyDescent="0.3"/>
  <cols>
    <col min="1" max="1" width="30.5546875" style="87" bestFit="1" customWidth="1"/>
    <col min="2" max="2" width="18.77734375" style="88" bestFit="1" customWidth="1"/>
    <col min="3" max="3" width="19" style="88" bestFit="1" customWidth="1"/>
  </cols>
  <sheetData>
    <row r="1" spans="1:3" x14ac:dyDescent="0.3">
      <c r="A1" s="87" t="str">
        <f>+lanzamiento_base!A9</f>
        <v>Porcentaje de Lanzamientos Activos</v>
      </c>
      <c r="B1" s="88" t="str">
        <f>+lanzamiento_base!B9</f>
        <v>Lanzamientos Activos</v>
      </c>
      <c r="C1" s="88" t="str">
        <f>+lanzamiento_base!C9</f>
        <v>Ventas</v>
      </c>
    </row>
    <row r="2" spans="1:3" x14ac:dyDescent="0.3">
      <c r="A2" s="102">
        <f>+lanzamiento_base!A10</f>
        <v>7.7990949319127978E-2</v>
      </c>
      <c r="B2" s="88">
        <f>+lanzamiento_base!B10</f>
        <v>6235660473</v>
      </c>
      <c r="C2" s="88">
        <f>+lanzamiento_base!C10</f>
        <v>79953642409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G34" sqref="G34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20403828223</v>
      </c>
      <c r="C2" s="79">
        <f>+mercadeo!C13</f>
        <v>26181637947</v>
      </c>
      <c r="D2" s="79">
        <f>+mercadeo!D13</f>
        <v>5777809724</v>
      </c>
      <c r="E2" s="80">
        <f>+mercadeo!E13</f>
        <v>0.28317282721911097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14747434560</v>
      </c>
      <c r="C3" s="79">
        <f>+mercadeo!C14</f>
        <v>22072767036</v>
      </c>
      <c r="D3" s="79">
        <f>+mercadeo!D14</f>
        <v>7325332476</v>
      </c>
      <c r="E3" s="80">
        <f>+mercadeo!E14</f>
        <v>0.49671910366490213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4192905308</v>
      </c>
      <c r="C4" s="79">
        <f>+mercadeo!C15</f>
        <v>5392189989</v>
      </c>
      <c r="D4" s="79">
        <f>+mercadeo!D15</f>
        <v>1199284681</v>
      </c>
      <c r="E4" s="80">
        <f>+mercadeo!E15</f>
        <v>0.28602713223973431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581035317</v>
      </c>
      <c r="C5" s="79">
        <f>+mercadeo!C16</f>
        <v>872311396</v>
      </c>
      <c r="D5" s="79">
        <f>+mercadeo!D16</f>
        <v>291276079</v>
      </c>
      <c r="E5" s="80">
        <f>+mercadeo!E16</f>
        <v>0.50130529156801673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116150583</v>
      </c>
      <c r="C6" s="79">
        <f>+mercadeo!C17</f>
        <v>142526358</v>
      </c>
      <c r="D6" s="79">
        <f>+mercadeo!D17</f>
        <v>26375775</v>
      </c>
      <c r="E6" s="80">
        <f>+mercadeo!E17</f>
        <v>0.22708258812613957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40041353991</v>
      </c>
      <c r="C7" s="79">
        <f>+mercadeo!C18</f>
        <v>54661432726</v>
      </c>
      <c r="D7" s="79">
        <f>+mercadeo!D18</f>
        <v>14620078735</v>
      </c>
      <c r="E7" s="80">
        <f>+mercadeo!E18</f>
        <v>0.36512448450884349</v>
      </c>
      <c r="F7" s="80">
        <f>+mercadeo!F18</f>
        <v>0.36499999999999999</v>
      </c>
      <c r="G7" s="80">
        <f>+mercadeo!G18</f>
        <v>1.2448450884350315E-4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80"/>
  <sheetViews>
    <sheetView showGridLines="0" topLeftCell="A41" zoomScale="73" zoomScaleNormal="73" zoomScaleSheetLayoutView="100" workbookViewId="0">
      <selection activeCell="G72" sqref="G72:G79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22.6640625" bestFit="1" customWidth="1"/>
    <col min="5" max="5" width="18.33203125" bestFit="1" customWidth="1"/>
    <col min="6" max="6" width="13" bestFit="1" customWidth="1"/>
    <col min="7" max="7" width="8.44140625" bestFit="1" customWidth="1"/>
    <col min="8" max="8" width="24.21875" bestFit="1" customWidth="1"/>
    <col min="9" max="9" width="17.109375" bestFit="1" customWidth="1"/>
    <col min="10" max="10" width="24.21875" bestFit="1" customWidth="1"/>
    <col min="11" max="11" width="17.109375" bestFit="1" customWidth="1"/>
    <col min="12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8">
        <v>420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9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20">
        <v>452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72218292</v>
      </c>
      <c r="D13" s="8">
        <v>297359313.49525458</v>
      </c>
      <c r="E13" s="83">
        <v>0.24286541138101095</v>
      </c>
      <c r="F13" s="8">
        <v>99119771.165084869</v>
      </c>
      <c r="G13" s="83">
        <v>0.33333333333333337</v>
      </c>
      <c r="H13" s="8">
        <v>-26901479.165084869</v>
      </c>
      <c r="I13" s="25">
        <v>-9.0467921952322422E-2</v>
      </c>
    </row>
    <row r="14" spans="1:9" x14ac:dyDescent="0.3">
      <c r="A14" s="1" t="s">
        <v>387</v>
      </c>
      <c r="B14" s="2"/>
      <c r="C14" s="61">
        <v>262318054</v>
      </c>
      <c r="D14" s="8">
        <v>2590850984.8429842</v>
      </c>
      <c r="E14" s="83">
        <v>0.10124783537710777</v>
      </c>
      <c r="F14" s="8">
        <v>863616994.9476614</v>
      </c>
      <c r="G14" s="83">
        <v>0.33333333333333331</v>
      </c>
      <c r="H14" s="8">
        <v>-601298940.9476614</v>
      </c>
      <c r="I14" s="25">
        <v>-0.23208549795622554</v>
      </c>
    </row>
    <row r="15" spans="1:9" x14ac:dyDescent="0.3">
      <c r="A15" s="1" t="s">
        <v>388</v>
      </c>
      <c r="B15" s="2"/>
      <c r="C15" s="61">
        <v>117804873</v>
      </c>
      <c r="D15" s="8">
        <v>394091826.29373264</v>
      </c>
      <c r="E15" s="83">
        <v>0.29892747106151663</v>
      </c>
      <c r="F15" s="8">
        <v>131363942.09791088</v>
      </c>
      <c r="G15" s="83">
        <v>0.33333333333333331</v>
      </c>
      <c r="H15" s="8">
        <v>-13559069.097910881</v>
      </c>
      <c r="I15" s="25">
        <v>-3.440586227181669E-2</v>
      </c>
    </row>
    <row r="16" spans="1:9" ht="13.2" customHeight="1" x14ac:dyDescent="0.3">
      <c r="A16" s="1" t="s">
        <v>389</v>
      </c>
      <c r="B16" s="2"/>
      <c r="C16" s="61">
        <v>332459041</v>
      </c>
      <c r="D16" s="8">
        <v>737795074.58915448</v>
      </c>
      <c r="E16" s="83">
        <v>0.45061162977420494</v>
      </c>
      <c r="F16" s="8">
        <v>245931691.52971816</v>
      </c>
      <c r="G16" s="83">
        <v>0.33333333333333331</v>
      </c>
      <c r="H16" s="8">
        <v>86527349.470281839</v>
      </c>
      <c r="I16" s="25">
        <v>0.11727829644087162</v>
      </c>
    </row>
    <row r="17" spans="1:11" x14ac:dyDescent="0.3">
      <c r="A17" s="1" t="s">
        <v>390</v>
      </c>
      <c r="B17" s="2"/>
      <c r="C17" s="61">
        <v>1082217817</v>
      </c>
      <c r="D17" s="8">
        <v>2580710863.5442953</v>
      </c>
      <c r="E17" s="83">
        <v>0.4193487276268153</v>
      </c>
      <c r="F17" s="8">
        <v>860236954.51476502</v>
      </c>
      <c r="G17" s="83">
        <v>0.33333333333333331</v>
      </c>
      <c r="H17" s="8">
        <v>221980862.48523498</v>
      </c>
      <c r="I17" s="25">
        <v>8.6015394293481984E-2</v>
      </c>
    </row>
    <row r="18" spans="1:11" x14ac:dyDescent="0.3">
      <c r="A18" s="1" t="s">
        <v>391</v>
      </c>
      <c r="B18" s="2"/>
      <c r="C18" s="61">
        <v>70519697</v>
      </c>
      <c r="D18" s="8">
        <v>263886618.42874223</v>
      </c>
      <c r="E18" s="83">
        <v>0.26723483524816383</v>
      </c>
      <c r="F18" s="8">
        <v>87962206.142914072</v>
      </c>
      <c r="G18" s="83">
        <v>0.33333333333333331</v>
      </c>
      <c r="H18" s="8">
        <v>-17442509.142914072</v>
      </c>
      <c r="I18" s="25">
        <v>-6.6098498085169488E-2</v>
      </c>
    </row>
    <row r="19" spans="1:11" x14ac:dyDescent="0.3">
      <c r="A19" s="6" t="s">
        <v>6</v>
      </c>
      <c r="B19" s="7"/>
      <c r="C19" s="62">
        <v>1937537774</v>
      </c>
      <c r="D19" s="9">
        <v>6864694681.1941633</v>
      </c>
      <c r="E19" s="84">
        <v>0.28224675152820505</v>
      </c>
      <c r="F19" s="9">
        <v>2288231560.3980546</v>
      </c>
      <c r="G19" s="84">
        <v>0.33333333333333337</v>
      </c>
      <c r="H19" s="9">
        <v>-350693786.3980546</v>
      </c>
      <c r="I19" s="81">
        <v>-5.1086581805128317E-2</v>
      </c>
    </row>
    <row r="24" spans="1:11" x14ac:dyDescent="0.3">
      <c r="A24" s="11" t="s">
        <v>356</v>
      </c>
      <c r="B24" s="12" t="s" vm="8">
        <v>420</v>
      </c>
    </row>
    <row r="25" spans="1:11" x14ac:dyDescent="0.3">
      <c r="A25" s="11" t="s">
        <v>45</v>
      </c>
      <c r="B25" s="12" t="s">
        <v>99</v>
      </c>
    </row>
    <row r="26" spans="1:11" x14ac:dyDescent="0.3">
      <c r="A26" s="11" t="s">
        <v>101</v>
      </c>
      <c r="B26" s="12" t="s" vm="9">
        <v>384</v>
      </c>
    </row>
    <row r="27" spans="1:11" x14ac:dyDescent="0.3">
      <c r="A27" s="11" t="s">
        <v>360</v>
      </c>
      <c r="B27" s="12" t="s" vm="6">
        <v>106</v>
      </c>
    </row>
    <row r="28" spans="1:11" x14ac:dyDescent="0.3">
      <c r="A28" s="11" t="s">
        <v>118</v>
      </c>
      <c r="B28" s="12" t="s" vm="20">
        <v>452</v>
      </c>
    </row>
    <row r="29" spans="1:11" x14ac:dyDescent="0.3">
      <c r="E29" s="73"/>
      <c r="F29" s="73"/>
      <c r="G29" s="73"/>
      <c r="H29" s="63"/>
    </row>
    <row r="30" spans="1:11" x14ac:dyDescent="0.3">
      <c r="A30" s="1"/>
      <c r="B30" s="2"/>
      <c r="C30" s="2"/>
      <c r="D30" s="2"/>
      <c r="E30" s="5" t="s">
        <v>39</v>
      </c>
      <c r="F30" s="2"/>
      <c r="G30" s="2"/>
      <c r="H30" s="2"/>
      <c r="I30" s="2"/>
      <c r="J30" s="2"/>
      <c r="K30" s="3"/>
    </row>
    <row r="31" spans="1:11" x14ac:dyDescent="0.3">
      <c r="A31" s="5" t="s">
        <v>430</v>
      </c>
      <c r="B31" s="5" t="s">
        <v>397</v>
      </c>
      <c r="C31" s="5" t="s">
        <v>385</v>
      </c>
      <c r="D31" s="5" t="s">
        <v>43</v>
      </c>
      <c r="E31" s="1" t="s">
        <v>359</v>
      </c>
      <c r="F31" s="71" t="s">
        <v>383</v>
      </c>
      <c r="G31" s="71" t="s">
        <v>392</v>
      </c>
      <c r="H31" s="71" t="s">
        <v>393</v>
      </c>
      <c r="I31" s="71" t="s">
        <v>394</v>
      </c>
      <c r="J31" s="71" t="s">
        <v>395</v>
      </c>
      <c r="K31" s="72" t="s">
        <v>396</v>
      </c>
    </row>
    <row r="32" spans="1:11" x14ac:dyDescent="0.3">
      <c r="A32" s="1" t="s">
        <v>398</v>
      </c>
      <c r="B32" s="2"/>
      <c r="C32" s="2"/>
      <c r="D32" s="2"/>
      <c r="E32" s="61">
        <v>13640836</v>
      </c>
      <c r="F32" s="8">
        <v>74966476.203024149</v>
      </c>
      <c r="G32" s="83">
        <v>0.18195914615298042</v>
      </c>
      <c r="H32" s="8">
        <v>24988825.401008051</v>
      </c>
      <c r="I32" s="83">
        <v>0.33333333333333337</v>
      </c>
      <c r="J32" s="8">
        <v>-11347989.401008051</v>
      </c>
      <c r="K32" s="25">
        <v>-0.15137418718035295</v>
      </c>
    </row>
    <row r="33" spans="1:11" x14ac:dyDescent="0.3">
      <c r="A33" s="1" t="s">
        <v>399</v>
      </c>
      <c r="B33" s="2"/>
      <c r="C33" s="2"/>
      <c r="D33" s="2"/>
      <c r="E33" s="61">
        <v>77982423</v>
      </c>
      <c r="F33" s="8">
        <v>636700732.00580192</v>
      </c>
      <c r="G33" s="83">
        <v>0.12247892782270178</v>
      </c>
      <c r="H33" s="8">
        <v>212233577.33526731</v>
      </c>
      <c r="I33" s="83">
        <v>0.33333333333333331</v>
      </c>
      <c r="J33" s="8">
        <v>-134251154.33526731</v>
      </c>
      <c r="K33" s="25">
        <v>-0.21085440551063153</v>
      </c>
    </row>
    <row r="34" spans="1:11" x14ac:dyDescent="0.3">
      <c r="A34" s="1" t="s">
        <v>400</v>
      </c>
      <c r="B34" s="2"/>
      <c r="C34" s="2"/>
      <c r="D34" s="2"/>
      <c r="E34" s="61">
        <v>4594112</v>
      </c>
      <c r="F34" s="8">
        <v>16012899.628335994</v>
      </c>
      <c r="G34" s="83">
        <v>0.28690069298070064</v>
      </c>
      <c r="H34" s="8">
        <v>5337633.2094453312</v>
      </c>
      <c r="I34" s="83">
        <v>0.33333333333333331</v>
      </c>
      <c r="J34" s="8">
        <v>-743521.20944533125</v>
      </c>
      <c r="K34" s="25">
        <v>-4.643264035263267E-2</v>
      </c>
    </row>
    <row r="35" spans="1:11" x14ac:dyDescent="0.3">
      <c r="A35" s="1" t="s">
        <v>401</v>
      </c>
      <c r="B35" s="2"/>
      <c r="C35" s="2"/>
      <c r="D35" s="2"/>
      <c r="E35" s="61">
        <v>167108034</v>
      </c>
      <c r="F35" s="8">
        <v>522794330.5847621</v>
      </c>
      <c r="G35" s="83">
        <v>0.3196439292160731</v>
      </c>
      <c r="H35" s="8">
        <v>174264776.86158738</v>
      </c>
      <c r="I35" s="83">
        <v>0.33333333333333337</v>
      </c>
      <c r="J35" s="8">
        <v>-7156742.8615873754</v>
      </c>
      <c r="K35" s="25">
        <v>-1.3689404117260273E-2</v>
      </c>
    </row>
    <row r="36" spans="1:11" x14ac:dyDescent="0.3">
      <c r="A36" s="1" t="s">
        <v>431</v>
      </c>
      <c r="B36" s="2"/>
      <c r="C36" s="2"/>
      <c r="D36" s="2"/>
      <c r="E36" s="61">
        <v>1428004181</v>
      </c>
      <c r="F36" s="8">
        <v>4655053299.6378603</v>
      </c>
      <c r="G36" s="83">
        <v>0.30676430302335989</v>
      </c>
      <c r="H36" s="8">
        <v>1551684433.21262</v>
      </c>
      <c r="I36" s="83">
        <v>0.33333333333333331</v>
      </c>
      <c r="J36" s="8">
        <v>-123680252.21262002</v>
      </c>
      <c r="K36" s="25">
        <v>-2.6569030309973429E-2</v>
      </c>
    </row>
    <row r="37" spans="1:11" x14ac:dyDescent="0.3">
      <c r="A37" s="1" t="s">
        <v>402</v>
      </c>
      <c r="B37" s="2"/>
      <c r="C37" s="2"/>
      <c r="D37" s="2"/>
      <c r="E37" s="61">
        <v>246208188</v>
      </c>
      <c r="F37" s="8">
        <v>809527484.671381</v>
      </c>
      <c r="G37" s="83">
        <v>0.30413814559976993</v>
      </c>
      <c r="H37" s="8">
        <v>269842494.89046031</v>
      </c>
      <c r="I37" s="83">
        <v>0.33333333333333331</v>
      </c>
      <c r="J37" s="8">
        <v>-23634306.890460312</v>
      </c>
      <c r="K37" s="25">
        <v>-2.9195187733563388E-2</v>
      </c>
    </row>
    <row r="38" spans="1:11" x14ac:dyDescent="0.3">
      <c r="A38" s="6" t="s">
        <v>6</v>
      </c>
      <c r="B38" s="7"/>
      <c r="C38" s="7"/>
      <c r="D38" s="7"/>
      <c r="E38" s="62">
        <v>1937537774</v>
      </c>
      <c r="F38" s="9">
        <v>6864694681.1941633</v>
      </c>
      <c r="G38" s="84">
        <v>0.28224675152820505</v>
      </c>
      <c r="H38" s="9">
        <v>2288231560.3980546</v>
      </c>
      <c r="I38" s="84">
        <v>0.33333333333333337</v>
      </c>
      <c r="J38" s="9">
        <v>-350693786.3980546</v>
      </c>
      <c r="K38" s="81">
        <v>-5.1086581805128317E-2</v>
      </c>
    </row>
    <row r="44" spans="1:11" x14ac:dyDescent="0.3">
      <c r="A44" s="11" t="s">
        <v>356</v>
      </c>
      <c r="B44" s="12" t="s" vm="8">
        <v>420</v>
      </c>
    </row>
    <row r="45" spans="1:11" x14ac:dyDescent="0.3">
      <c r="A45" s="11" t="s">
        <v>45</v>
      </c>
      <c r="B45" s="12" t="s">
        <v>99</v>
      </c>
    </row>
    <row r="46" spans="1:11" x14ac:dyDescent="0.3">
      <c r="A46" s="11" t="s">
        <v>101</v>
      </c>
      <c r="B46" s="12" t="s" vm="9">
        <v>384</v>
      </c>
    </row>
    <row r="47" spans="1:11" x14ac:dyDescent="0.3">
      <c r="A47" s="11" t="s">
        <v>360</v>
      </c>
      <c r="B47" s="12" t="s" vm="6">
        <v>106</v>
      </c>
    </row>
    <row r="48" spans="1:11" x14ac:dyDescent="0.3">
      <c r="A48" s="11" t="s">
        <v>118</v>
      </c>
      <c r="B48" s="12" t="s" vm="21">
        <v>99</v>
      </c>
    </row>
    <row r="49" spans="1:8" x14ac:dyDescent="0.3">
      <c r="E49" s="73"/>
      <c r="F49" s="73"/>
      <c r="G49" s="73"/>
      <c r="H49" s="63"/>
    </row>
    <row r="50" spans="1:8" x14ac:dyDescent="0.3">
      <c r="A50" s="1"/>
      <c r="B50" s="2"/>
      <c r="C50" s="5" t="s">
        <v>39</v>
      </c>
      <c r="D50" s="2"/>
      <c r="E50" s="2"/>
      <c r="F50" s="2"/>
      <c r="G50" s="3"/>
    </row>
    <row r="51" spans="1:8" x14ac:dyDescent="0.3">
      <c r="A51" s="5" t="s">
        <v>385</v>
      </c>
      <c r="B51" s="5" t="s">
        <v>43</v>
      </c>
      <c r="C51" s="1" t="s">
        <v>359</v>
      </c>
      <c r="D51" s="71" t="s">
        <v>383</v>
      </c>
      <c r="E51" s="71" t="s">
        <v>719</v>
      </c>
      <c r="F51" s="71" t="s">
        <v>718</v>
      </c>
      <c r="G51" s="72" t="s">
        <v>717</v>
      </c>
    </row>
    <row r="52" spans="1:8" x14ac:dyDescent="0.3">
      <c r="A52" s="1" t="s">
        <v>386</v>
      </c>
      <c r="B52" s="2"/>
      <c r="C52" s="61">
        <v>1312668569</v>
      </c>
      <c r="D52" s="8">
        <v>1477126909.2250028</v>
      </c>
      <c r="E52" s="83">
        <v>0.88866336453697914</v>
      </c>
      <c r="F52" s="8">
        <v>-164458340.22500277</v>
      </c>
      <c r="G52" s="25">
        <v>-0.11133663546302081</v>
      </c>
    </row>
    <row r="53" spans="1:8" x14ac:dyDescent="0.3">
      <c r="A53" s="1" t="s">
        <v>387</v>
      </c>
      <c r="B53" s="2"/>
      <c r="C53" s="61">
        <v>6192966353</v>
      </c>
      <c r="D53" s="8">
        <v>7990781428.0407801</v>
      </c>
      <c r="E53" s="83">
        <v>0.77501385925386557</v>
      </c>
      <c r="F53" s="8">
        <v>-1797815075.0407801</v>
      </c>
      <c r="G53" s="25">
        <v>-0.22498614074613443</v>
      </c>
    </row>
    <row r="54" spans="1:8" x14ac:dyDescent="0.3">
      <c r="A54" s="1" t="s">
        <v>388</v>
      </c>
      <c r="B54" s="2"/>
      <c r="C54" s="61">
        <v>1792316681</v>
      </c>
      <c r="D54" s="8">
        <v>2512598494.5667067</v>
      </c>
      <c r="E54" s="83">
        <v>0.71177156949956932</v>
      </c>
      <c r="F54" s="8">
        <v>-724202320.56670666</v>
      </c>
      <c r="G54" s="25">
        <v>-0.28822843050043062</v>
      </c>
    </row>
    <row r="55" spans="1:8" x14ac:dyDescent="0.3">
      <c r="A55" s="1" t="s">
        <v>389</v>
      </c>
      <c r="B55" s="2"/>
      <c r="C55" s="61">
        <v>3588370164</v>
      </c>
      <c r="D55" s="8">
        <v>4122948073.1670871</v>
      </c>
      <c r="E55" s="83">
        <v>0.87034085812377326</v>
      </c>
      <c r="F55" s="8">
        <v>-534577909.16708708</v>
      </c>
      <c r="G55" s="25">
        <v>-0.12965914187622676</v>
      </c>
    </row>
    <row r="56" spans="1:8" x14ac:dyDescent="0.3">
      <c r="A56" s="1" t="s">
        <v>390</v>
      </c>
      <c r="B56" s="2"/>
      <c r="C56" s="61">
        <v>12609186369</v>
      </c>
      <c r="D56" s="8">
        <v>13593822752.651354</v>
      </c>
      <c r="E56" s="83">
        <v>0.927384047768401</v>
      </c>
      <c r="F56" s="8">
        <v>-987128383.65135384</v>
      </c>
      <c r="G56" s="25">
        <v>-7.261595223159896E-2</v>
      </c>
    </row>
    <row r="57" spans="1:8" x14ac:dyDescent="0.3">
      <c r="A57" s="1" t="s">
        <v>391</v>
      </c>
      <c r="B57" s="2"/>
      <c r="C57" s="61">
        <v>682323114</v>
      </c>
      <c r="D57" s="8">
        <v>1474969824.3539028</v>
      </c>
      <c r="E57" s="83">
        <v>0.46151544442489445</v>
      </c>
      <c r="F57" s="8">
        <v>-794248470.35390282</v>
      </c>
      <c r="G57" s="25">
        <v>-0.53848455557510555</v>
      </c>
    </row>
    <row r="58" spans="1:8" x14ac:dyDescent="0.3">
      <c r="A58" s="6" t="s">
        <v>6</v>
      </c>
      <c r="B58" s="7"/>
      <c r="C58" s="62">
        <v>26177831250</v>
      </c>
      <c r="D58" s="9">
        <v>31172247482.004841</v>
      </c>
      <c r="E58" s="84">
        <v>0.83952294418640649</v>
      </c>
      <c r="F58" s="9">
        <v>-5002430499.0048409</v>
      </c>
      <c r="G58" s="81">
        <v>-0.16047705581359351</v>
      </c>
    </row>
    <row r="65" spans="1:9" x14ac:dyDescent="0.3">
      <c r="A65" s="11" t="s">
        <v>356</v>
      </c>
      <c r="B65" s="12" t="s" vm="8">
        <v>420</v>
      </c>
    </row>
    <row r="66" spans="1:9" x14ac:dyDescent="0.3">
      <c r="A66" s="11" t="s">
        <v>45</v>
      </c>
      <c r="B66" s="12" t="s">
        <v>99</v>
      </c>
    </row>
    <row r="67" spans="1:9" x14ac:dyDescent="0.3">
      <c r="A67" s="11" t="s">
        <v>101</v>
      </c>
      <c r="B67" s="12" t="s" vm="9">
        <v>384</v>
      </c>
    </row>
    <row r="68" spans="1:9" x14ac:dyDescent="0.3">
      <c r="A68" s="11" t="s">
        <v>360</v>
      </c>
      <c r="B68" s="12" t="s" vm="6">
        <v>106</v>
      </c>
    </row>
    <row r="69" spans="1:9" x14ac:dyDescent="0.3">
      <c r="A69" s="11" t="s">
        <v>118</v>
      </c>
      <c r="B69" s="12" t="s" vm="21">
        <v>99</v>
      </c>
    </row>
    <row r="70" spans="1:9" x14ac:dyDescent="0.3">
      <c r="E70" s="73"/>
      <c r="F70" s="73"/>
      <c r="G70" s="73"/>
      <c r="H70" s="63"/>
    </row>
    <row r="71" spans="1:9" x14ac:dyDescent="0.3">
      <c r="A71" s="1"/>
      <c r="B71" s="2"/>
      <c r="C71" s="2"/>
      <c r="D71" s="2"/>
      <c r="E71" s="5" t="s">
        <v>39</v>
      </c>
      <c r="F71" s="2"/>
      <c r="G71" s="2"/>
      <c r="H71" s="2"/>
      <c r="I71" s="3"/>
    </row>
    <row r="72" spans="1:9" x14ac:dyDescent="0.3">
      <c r="A72" s="5" t="s">
        <v>430</v>
      </c>
      <c r="B72" s="5" t="s">
        <v>397</v>
      </c>
      <c r="C72" s="5" t="s">
        <v>385</v>
      </c>
      <c r="D72" s="5" t="s">
        <v>43</v>
      </c>
      <c r="E72" s="1" t="s">
        <v>359</v>
      </c>
      <c r="F72" s="71" t="s">
        <v>383</v>
      </c>
      <c r="G72" s="71" t="s">
        <v>719</v>
      </c>
      <c r="H72" s="71" t="s">
        <v>718</v>
      </c>
      <c r="I72" s="72" t="s">
        <v>717</v>
      </c>
    </row>
    <row r="73" spans="1:9" x14ac:dyDescent="0.3">
      <c r="A73" s="1" t="s">
        <v>398</v>
      </c>
      <c r="B73" s="2"/>
      <c r="C73" s="2"/>
      <c r="D73" s="2"/>
      <c r="E73" s="61">
        <v>716899480</v>
      </c>
      <c r="F73" s="8">
        <v>731889123.19528532</v>
      </c>
      <c r="G73" s="83">
        <v>0.97951924311999139</v>
      </c>
      <c r="H73" s="8">
        <v>-14989643.19528532</v>
      </c>
      <c r="I73" s="25">
        <v>-2.0480756880008624E-2</v>
      </c>
    </row>
    <row r="74" spans="1:9" x14ac:dyDescent="0.3">
      <c r="A74" s="1" t="s">
        <v>399</v>
      </c>
      <c r="B74" s="2"/>
      <c r="C74" s="2"/>
      <c r="D74" s="2"/>
      <c r="E74" s="61">
        <v>2508107931</v>
      </c>
      <c r="F74" s="8">
        <v>2485621173.8806934</v>
      </c>
      <c r="G74" s="83">
        <v>1.0090467354219546</v>
      </c>
      <c r="H74" s="8">
        <v>22486757.119306564</v>
      </c>
      <c r="I74" s="25">
        <v>9.0467354219544872E-3</v>
      </c>
    </row>
    <row r="75" spans="1:9" x14ac:dyDescent="0.3">
      <c r="A75" s="1" t="s">
        <v>400</v>
      </c>
      <c r="B75" s="2"/>
      <c r="C75" s="2"/>
      <c r="D75" s="2"/>
      <c r="E75" s="61">
        <v>318953108</v>
      </c>
      <c r="F75" s="8">
        <v>437640383.20696825</v>
      </c>
      <c r="G75" s="83">
        <v>0.72880182048730446</v>
      </c>
      <c r="H75" s="8">
        <v>-118687275.20696825</v>
      </c>
      <c r="I75" s="25">
        <v>-0.27119817951269554</v>
      </c>
    </row>
    <row r="76" spans="1:9" x14ac:dyDescent="0.3">
      <c r="A76" s="1" t="s">
        <v>401</v>
      </c>
      <c r="B76" s="2"/>
      <c r="C76" s="2"/>
      <c r="D76" s="2"/>
      <c r="E76" s="61">
        <v>1905219111</v>
      </c>
      <c r="F76" s="8">
        <v>2108018369.0242822</v>
      </c>
      <c r="G76" s="83">
        <v>0.90371114597154434</v>
      </c>
      <c r="H76" s="8">
        <v>-202978673.02428222</v>
      </c>
      <c r="I76" s="25">
        <v>-9.6288854028455634E-2</v>
      </c>
    </row>
    <row r="77" spans="1:9" x14ac:dyDescent="0.3">
      <c r="A77" s="1" t="s">
        <v>431</v>
      </c>
      <c r="B77" s="2"/>
      <c r="C77" s="2"/>
      <c r="D77" s="2"/>
      <c r="E77" s="61">
        <v>15135320448</v>
      </c>
      <c r="F77" s="8">
        <v>16805970736.081242</v>
      </c>
      <c r="G77" s="83">
        <v>0.90059186021938786</v>
      </c>
      <c r="H77" s="8">
        <v>-1670650288.0812416</v>
      </c>
      <c r="I77" s="25">
        <v>-9.9408139780612165E-2</v>
      </c>
    </row>
    <row r="78" spans="1:9" x14ac:dyDescent="0.3">
      <c r="A78" s="1" t="s">
        <v>402</v>
      </c>
      <c r="B78" s="2"/>
      <c r="C78" s="2"/>
      <c r="D78" s="2"/>
      <c r="E78" s="61">
        <v>3134469377</v>
      </c>
      <c r="F78" s="8">
        <v>3245989311.7504272</v>
      </c>
      <c r="G78" s="83">
        <v>0.96323007401214633</v>
      </c>
      <c r="H78" s="8">
        <v>-119354786.75042725</v>
      </c>
      <c r="I78" s="25">
        <v>-3.6769925987853662E-2</v>
      </c>
    </row>
    <row r="79" spans="1:9" x14ac:dyDescent="0.3">
      <c r="A79" s="1" t="s">
        <v>113</v>
      </c>
      <c r="B79" s="2"/>
      <c r="C79" s="2"/>
      <c r="D79" s="2"/>
      <c r="E79" s="61">
        <v>2458861795</v>
      </c>
      <c r="F79" s="8">
        <v>5355953960.2509565</v>
      </c>
      <c r="G79" s="83">
        <v>0.45908941959702515</v>
      </c>
      <c r="H79" s="8">
        <v>-2897092165.2509565</v>
      </c>
      <c r="I79" s="25">
        <v>-0.54091058040297479</v>
      </c>
    </row>
    <row r="80" spans="1:9" x14ac:dyDescent="0.3">
      <c r="A80" s="6" t="s">
        <v>6</v>
      </c>
      <c r="B80" s="7"/>
      <c r="C80" s="7"/>
      <c r="D80" s="7"/>
      <c r="E80" s="62">
        <v>26177831250</v>
      </c>
      <c r="F80" s="9">
        <v>31172247482.004841</v>
      </c>
      <c r="G80" s="84">
        <v>0.83952294418640649</v>
      </c>
      <c r="H80" s="9">
        <v>-5002430499.0048409</v>
      </c>
      <c r="I80" s="81">
        <v>-0.16047705581359351</v>
      </c>
    </row>
  </sheetData>
  <pageMargins left="0" right="0" top="0" bottom="0" header="0" footer="0"/>
  <pageSetup paperSize="9" orientation="portrait" r:id="rId5"/>
  <drawing r:id="rId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topLeftCell="I1" workbookViewId="0">
      <selection activeCell="I1" sqref="I1:I7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87" bestFit="1" customWidth="1"/>
    <col min="5" max="5" width="18" bestFit="1" customWidth="1"/>
    <col min="6" max="6" width="8.109375" style="87" bestFit="1" customWidth="1"/>
    <col min="7" max="7" width="24.21875" bestFit="1" customWidth="1"/>
    <col min="8" max="8" width="17.109375" style="87" bestFit="1" customWidth="1"/>
    <col min="9" max="9" width="49.33203125" bestFit="1" customWidth="1"/>
  </cols>
  <sheetData>
    <row r="1" spans="1:9" x14ac:dyDescent="0.3">
      <c r="A1" s="91" t="s">
        <v>422</v>
      </c>
      <c r="B1" s="91" t="str">
        <f>+COMERCIAL!C12</f>
        <v>Ventas 2025 rea</v>
      </c>
      <c r="C1" s="91" t="str">
        <f>+COMERCIAL!D12</f>
        <v>PRESUPUESTO CON LINEA</v>
      </c>
      <c r="D1" s="92" t="str">
        <f>+COMERCIAL!E12</f>
        <v>P% COMERCIAL 2024</v>
      </c>
      <c r="E1" s="91" t="str">
        <f>+COMERCIAL!F12</f>
        <v>prueba</v>
      </c>
      <c r="F1" s="92" t="str">
        <f>+COMERCIAL!G12</f>
        <v>prueba 2</v>
      </c>
      <c r="G1" s="91" t="str">
        <f>+COMERCIAL!H12</f>
        <v>prueba DIFERENCIA DINERO</v>
      </c>
      <c r="H1" s="92" t="str">
        <f>+COMERCIAL!I12</f>
        <v>prueba DIFERENCIA</v>
      </c>
      <c r="I1" s="92" t="s">
        <v>424</v>
      </c>
    </row>
    <row r="2" spans="1:9" x14ac:dyDescent="0.3">
      <c r="A2" s="79" t="str">
        <f>+COMERCIAL!A13</f>
        <v>CAPSULAS</v>
      </c>
      <c r="B2" s="90">
        <f>+COMERCIAL!C13</f>
        <v>72218292</v>
      </c>
      <c r="C2" s="90">
        <f>+COMERCIAL!D13</f>
        <v>297359313.49525458</v>
      </c>
      <c r="D2" s="89">
        <f>+COMERCIAL!E13</f>
        <v>0.24286541138101095</v>
      </c>
      <c r="E2" s="90">
        <f>+COMERCIAL!F13</f>
        <v>99119771.165084869</v>
      </c>
      <c r="F2" s="89">
        <f>+COMERCIAL!G13</f>
        <v>0.33333333333333337</v>
      </c>
      <c r="G2" s="90">
        <f>+COMERCIAL!H13</f>
        <v>-26901479.165084869</v>
      </c>
      <c r="H2" s="89">
        <f>+COMERCIAL!I13</f>
        <v>-9.0467921952322422E-2</v>
      </c>
      <c r="I2" s="79" t="s">
        <v>423</v>
      </c>
    </row>
    <row r="3" spans="1:9" x14ac:dyDescent="0.3">
      <c r="A3" s="79" t="str">
        <f>+COMERCIAL!A14</f>
        <v>CONSUMO</v>
      </c>
      <c r="B3" s="90">
        <f>+COMERCIAL!C14</f>
        <v>262318054</v>
      </c>
      <c r="C3" s="90">
        <f>+COMERCIAL!D14</f>
        <v>2590850984.8429842</v>
      </c>
      <c r="D3" s="89">
        <f>+COMERCIAL!E14</f>
        <v>0.10124783537710777</v>
      </c>
      <c r="E3" s="90">
        <f>+COMERCIAL!F14</f>
        <v>863616994.9476614</v>
      </c>
      <c r="F3" s="89">
        <f>+COMERCIAL!G14</f>
        <v>0.33333333333333331</v>
      </c>
      <c r="G3" s="90">
        <f>+COMERCIAL!H14</f>
        <v>-601298940.9476614</v>
      </c>
      <c r="H3" s="89">
        <f>+COMERCIAL!I14</f>
        <v>-0.23208549795622554</v>
      </c>
      <c r="I3" s="79" t="s">
        <v>429</v>
      </c>
    </row>
    <row r="4" spans="1:9" x14ac:dyDescent="0.3">
      <c r="A4" s="79" t="str">
        <f>+COMERCIAL!A15</f>
        <v>DERIVADOS</v>
      </c>
      <c r="B4" s="90">
        <f>+COMERCIAL!C15</f>
        <v>117804873</v>
      </c>
      <c r="C4" s="90">
        <f>+COMERCIAL!D15</f>
        <v>394091826.29373264</v>
      </c>
      <c r="D4" s="89">
        <f>+COMERCIAL!E15</f>
        <v>0.29892747106151663</v>
      </c>
      <c r="E4" s="90">
        <f>+COMERCIAL!F15</f>
        <v>131363942.09791088</v>
      </c>
      <c r="F4" s="89">
        <f>+COMERCIAL!G15</f>
        <v>0.33333333333333331</v>
      </c>
      <c r="G4" s="90">
        <f>+COMERCIAL!H15</f>
        <v>-13559069.097910881</v>
      </c>
      <c r="H4" s="89">
        <f>+COMERCIAL!I15</f>
        <v>-3.440586227181669E-2</v>
      </c>
      <c r="I4" s="79" t="s">
        <v>425</v>
      </c>
    </row>
    <row r="5" spans="1:9" x14ac:dyDescent="0.3">
      <c r="A5" s="79" t="str">
        <f>+COMERCIAL!A16</f>
        <v>ESPECIALES</v>
      </c>
      <c r="B5" s="90">
        <f>+COMERCIAL!C16</f>
        <v>332459041</v>
      </c>
      <c r="C5" s="90">
        <f>+COMERCIAL!D16</f>
        <v>737795074.58915448</v>
      </c>
      <c r="D5" s="89">
        <f>+COMERCIAL!E16</f>
        <v>0.45061162977420494</v>
      </c>
      <c r="E5" s="90">
        <f>+COMERCIAL!F16</f>
        <v>245931691.52971816</v>
      </c>
      <c r="F5" s="89">
        <f>+COMERCIAL!G16</f>
        <v>0.33333333333333331</v>
      </c>
      <c r="G5" s="90">
        <f>+COMERCIAL!H16</f>
        <v>86527349.470281839</v>
      </c>
      <c r="H5" s="89">
        <f>+COMERCIAL!I16</f>
        <v>0.11727829644087162</v>
      </c>
      <c r="I5" s="79" t="s">
        <v>426</v>
      </c>
    </row>
    <row r="6" spans="1:9" x14ac:dyDescent="0.3">
      <c r="A6" s="79" t="str">
        <f>+COMERCIAL!A17</f>
        <v>GOURMET</v>
      </c>
      <c r="B6" s="90">
        <f>+COMERCIAL!C17</f>
        <v>1082217817</v>
      </c>
      <c r="C6" s="90">
        <f>+COMERCIAL!D17</f>
        <v>2580710863.5442953</v>
      </c>
      <c r="D6" s="89">
        <f>+COMERCIAL!E17</f>
        <v>0.4193487276268153</v>
      </c>
      <c r="E6" s="90">
        <f>+COMERCIAL!F17</f>
        <v>860236954.51476502</v>
      </c>
      <c r="F6" s="89">
        <f>+COMERCIAL!G17</f>
        <v>0.33333333333333331</v>
      </c>
      <c r="G6" s="90">
        <f>+COMERCIAL!H17</f>
        <v>221980862.48523498</v>
      </c>
      <c r="H6" s="89">
        <f>+COMERCIAL!I17</f>
        <v>8.6015394293481984E-2</v>
      </c>
      <c r="I6" s="89" t="s">
        <v>428</v>
      </c>
    </row>
    <row r="7" spans="1:9" x14ac:dyDescent="0.3">
      <c r="A7" s="79" t="str">
        <f>+COMERCIAL!A18</f>
        <v>OTROS</v>
      </c>
      <c r="B7" s="90">
        <f>+COMERCIAL!C18</f>
        <v>70519697</v>
      </c>
      <c r="C7" s="90">
        <f>+COMERCIAL!D18</f>
        <v>263886618.42874223</v>
      </c>
      <c r="D7" s="89">
        <f>+COMERCIAL!E18</f>
        <v>0.26723483524816383</v>
      </c>
      <c r="E7" s="90">
        <f>+COMERCIAL!F18</f>
        <v>87962206.142914072</v>
      </c>
      <c r="F7" s="89">
        <f>+COMERCIAL!G18</f>
        <v>0.33333333333333331</v>
      </c>
      <c r="G7" s="90">
        <f>+COMERCIAL!H18</f>
        <v>-17442509.142914072</v>
      </c>
      <c r="H7" s="89">
        <f>+COMERCIAL!I18</f>
        <v>-6.6098498085169488E-2</v>
      </c>
      <c r="I7" s="89" t="s">
        <v>427</v>
      </c>
    </row>
    <row r="8" spans="1:9" ht="16.2" x14ac:dyDescent="0.45">
      <c r="A8" s="79" t="str">
        <f>+COMERCIAL!A19</f>
        <v>Total general</v>
      </c>
      <c r="B8" s="107">
        <f>+COMERCIAL!C19</f>
        <v>1937537774</v>
      </c>
      <c r="C8" s="90">
        <f>+COMERCIAL!D19</f>
        <v>6864694681.1941633</v>
      </c>
      <c r="D8" s="89">
        <f>+COMERCIAL!E19</f>
        <v>0.28224675152820505</v>
      </c>
      <c r="E8" s="90">
        <f>+COMERCIAL!F19</f>
        <v>2288231560.3980546</v>
      </c>
      <c r="F8" s="89">
        <f>+COMERCIAL!G19</f>
        <v>0.33333333333333337</v>
      </c>
      <c r="G8" s="90">
        <f>+COMERCIAL!H19</f>
        <v>-350693786.3980546</v>
      </c>
      <c r="H8" s="89">
        <f>+COMERCIAL!I19</f>
        <v>-5.1086581805128317E-2</v>
      </c>
      <c r="I8" s="79"/>
    </row>
    <row r="15" spans="1:9" x14ac:dyDescent="0.3">
      <c r="B15" s="97"/>
    </row>
  </sheetData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19"/>
  <sheetViews>
    <sheetView workbookViewId="0"/>
  </sheetViews>
  <sheetFormatPr baseColWidth="10" defaultRowHeight="14.4" x14ac:dyDescent="0.3"/>
  <cols>
    <col min="1" max="1" width="39" bestFit="1" customWidth="1"/>
    <col min="2" max="2" width="24" style="88" bestFit="1" customWidth="1"/>
    <col min="3" max="3" width="22.6640625" style="87" bestFit="1" customWidth="1"/>
    <col min="4" max="4" width="18.33203125" style="87" bestFit="1" customWidth="1"/>
    <col min="5" max="5" width="18" style="87" bestFit="1" customWidth="1"/>
    <col min="6" max="6" width="8.109375" style="87" bestFit="1" customWidth="1"/>
    <col min="7" max="7" width="24.33203125" style="87" bestFit="1" customWidth="1"/>
    <col min="8" max="8" width="17.109375" style="87" bestFit="1" customWidth="1"/>
  </cols>
  <sheetData>
    <row r="1" spans="1:8" x14ac:dyDescent="0.3">
      <c r="A1" s="91" t="str">
        <f>+COMERCIAL!A31</f>
        <v>sub categoria</v>
      </c>
      <c r="B1" s="96" t="str">
        <f>+COMERCIAL!E31</f>
        <v>Ventas 2025 rea</v>
      </c>
      <c r="C1" s="92" t="str">
        <f>+COMERCIAL!F31</f>
        <v>PRESUPUESTO CON LINEA</v>
      </c>
      <c r="D1" s="92" t="str">
        <f>+COMERCIAL!G31</f>
        <v>P% COMERCIAL 2024</v>
      </c>
      <c r="E1" s="92" t="str">
        <f>+COMERCIAL!H31</f>
        <v>prueba</v>
      </c>
      <c r="F1" s="92" t="str">
        <f>+COMERCIAL!I31</f>
        <v>prueba 2</v>
      </c>
      <c r="G1" s="92" t="str">
        <f>+COMERCIAL!J31</f>
        <v>prueba DIFERENCIA DINERO</v>
      </c>
      <c r="H1" s="92" t="str">
        <f>+COMERCIAL!K31</f>
        <v>prueba DIFERENCIA</v>
      </c>
    </row>
    <row r="2" spans="1:8" x14ac:dyDescent="0.3">
      <c r="A2" s="93" t="str">
        <f>+COMERCIAL!A32</f>
        <v>AUTOSERVICIOS</v>
      </c>
      <c r="B2" s="95">
        <f>+COMERCIAL!E32</f>
        <v>13640836</v>
      </c>
      <c r="C2" s="95">
        <f>+COMERCIAL!F32</f>
        <v>74966476.203024149</v>
      </c>
      <c r="D2" s="94">
        <f>+COMERCIAL!G32</f>
        <v>0.18195914615298042</v>
      </c>
      <c r="E2" s="95">
        <f>+COMERCIAL!H32</f>
        <v>24988825.401008051</v>
      </c>
      <c r="F2" s="94">
        <f>+COMERCIAL!I32</f>
        <v>0.33333333333333337</v>
      </c>
      <c r="G2" s="95">
        <f>+COMERCIAL!J32</f>
        <v>-11347989.401008051</v>
      </c>
      <c r="H2" s="94">
        <f>+COMERCIAL!K32</f>
        <v>-0.15137418718035295</v>
      </c>
    </row>
    <row r="3" spans="1:8" x14ac:dyDescent="0.3">
      <c r="A3" s="93" t="str">
        <f>+COMERCIAL!A33</f>
        <v>CADENAS REGIONALES</v>
      </c>
      <c r="B3" s="95">
        <f>+COMERCIAL!E33</f>
        <v>77982423</v>
      </c>
      <c r="C3" s="95">
        <f>+COMERCIAL!F33</f>
        <v>636700732.00580192</v>
      </c>
      <c r="D3" s="94">
        <f>+COMERCIAL!G33</f>
        <v>0.12247892782270178</v>
      </c>
      <c r="E3" s="95">
        <f>+COMERCIAL!H33</f>
        <v>212233577.33526731</v>
      </c>
      <c r="F3" s="94">
        <f>+COMERCIAL!I33</f>
        <v>0.33333333333333331</v>
      </c>
      <c r="G3" s="95">
        <f>+COMERCIAL!J33</f>
        <v>-134251154.33526731</v>
      </c>
      <c r="H3" s="94">
        <f>+COMERCIAL!K33</f>
        <v>-0.21085440551063153</v>
      </c>
    </row>
    <row r="4" spans="1:8" x14ac:dyDescent="0.3">
      <c r="A4" s="93" t="str">
        <f>+COMERCIAL!A34</f>
        <v>DISTRIBUIDOR</v>
      </c>
      <c r="B4" s="95">
        <f>+COMERCIAL!E34</f>
        <v>4594112</v>
      </c>
      <c r="C4" s="95">
        <f>+COMERCIAL!F34</f>
        <v>16012899.628335994</v>
      </c>
      <c r="D4" s="94">
        <f>+COMERCIAL!G34</f>
        <v>0.28690069298070064</v>
      </c>
      <c r="E4" s="95">
        <f>+COMERCIAL!H34</f>
        <v>5337633.2094453312</v>
      </c>
      <c r="F4" s="94">
        <f>+COMERCIAL!I34</f>
        <v>0.33333333333333331</v>
      </c>
      <c r="G4" s="95">
        <f>+COMERCIAL!J34</f>
        <v>-743521.20944533125</v>
      </c>
      <c r="H4" s="94">
        <f>+COMERCIAL!K34</f>
        <v>-4.643264035263267E-2</v>
      </c>
    </row>
    <row r="5" spans="1:8" x14ac:dyDescent="0.3">
      <c r="A5" s="93" t="str">
        <f>+COMERCIAL!A35</f>
        <v>FOOD SERVICE PREMIUM</v>
      </c>
      <c r="B5" s="95">
        <f>+COMERCIAL!E35</f>
        <v>167108034</v>
      </c>
      <c r="C5" s="95">
        <f>+COMERCIAL!F35</f>
        <v>522794330.5847621</v>
      </c>
      <c r="D5" s="94">
        <f>+COMERCIAL!G35</f>
        <v>0.3196439292160731</v>
      </c>
      <c r="E5" s="95">
        <f>+COMERCIAL!H35</f>
        <v>174264776.86158738</v>
      </c>
      <c r="F5" s="94">
        <f>+COMERCIAL!I35</f>
        <v>0.33333333333333337</v>
      </c>
      <c r="G5" s="95">
        <f>+COMERCIAL!J35</f>
        <v>-7156742.8615873754</v>
      </c>
      <c r="H5" s="94">
        <f>+COMERCIAL!K35</f>
        <v>-1.3689404117260273E-2</v>
      </c>
    </row>
    <row r="6" spans="1:8" x14ac:dyDescent="0.3">
      <c r="A6" s="93" t="str">
        <f>+COMERCIAL!A36</f>
        <v>GRANDES SUPERFICIES</v>
      </c>
      <c r="B6" s="95">
        <f>+COMERCIAL!E36</f>
        <v>1428004181</v>
      </c>
      <c r="C6" s="95">
        <f>+COMERCIAL!F36</f>
        <v>4655053299.6378603</v>
      </c>
      <c r="D6" s="94">
        <f>+COMERCIAL!G36</f>
        <v>0.30676430302335989</v>
      </c>
      <c r="E6" s="95">
        <f>+COMERCIAL!H36</f>
        <v>1551684433.21262</v>
      </c>
      <c r="F6" s="94">
        <f>+COMERCIAL!I36</f>
        <v>0.33333333333333331</v>
      </c>
      <c r="G6" s="95">
        <f>+COMERCIAL!J36</f>
        <v>-123680252.21262002</v>
      </c>
      <c r="H6" s="94">
        <f>+COMERCIAL!K36</f>
        <v>-2.6569030309973429E-2</v>
      </c>
    </row>
    <row r="7" spans="1:8" x14ac:dyDescent="0.3">
      <c r="A7" s="93" t="str">
        <f>+COMERCIAL!A37</f>
        <v>TIENDA ESPECIALIZADA</v>
      </c>
      <c r="B7" s="95">
        <f>+COMERCIAL!E37</f>
        <v>246208188</v>
      </c>
      <c r="C7" s="95">
        <f>+COMERCIAL!F37</f>
        <v>809527484.671381</v>
      </c>
      <c r="D7" s="94">
        <f>+COMERCIAL!G37</f>
        <v>0.30413814559976993</v>
      </c>
      <c r="E7" s="95">
        <f>+COMERCIAL!H37</f>
        <v>269842494.89046031</v>
      </c>
      <c r="F7" s="94">
        <f>+COMERCIAL!I37</f>
        <v>0.33333333333333331</v>
      </c>
      <c r="G7" s="95">
        <f>+COMERCIAL!J37</f>
        <v>-23634306.890460312</v>
      </c>
      <c r="H7" s="94">
        <f>+COMERCIAL!K37</f>
        <v>-2.9195187733563388E-2</v>
      </c>
    </row>
    <row r="8" spans="1:8" s="346" customFormat="1" x14ac:dyDescent="0.3">
      <c r="B8" s="347"/>
      <c r="C8" s="348"/>
      <c r="D8" s="348"/>
      <c r="E8" s="348"/>
      <c r="F8" s="348"/>
      <c r="G8" s="348"/>
      <c r="H8" s="348"/>
    </row>
    <row r="9" spans="1:8" s="346" customFormat="1" x14ac:dyDescent="0.3">
      <c r="B9" s="347"/>
      <c r="C9" s="348"/>
      <c r="D9" s="348"/>
      <c r="E9" s="348"/>
      <c r="F9" s="348"/>
      <c r="G9" s="348"/>
      <c r="H9" s="348"/>
    </row>
    <row r="10" spans="1:8" s="346" customFormat="1" x14ac:dyDescent="0.3">
      <c r="B10" s="347"/>
      <c r="C10" s="348"/>
      <c r="D10" s="348"/>
      <c r="E10" s="348"/>
      <c r="F10" s="348"/>
      <c r="G10" s="348"/>
      <c r="H10" s="348"/>
    </row>
    <row r="11" spans="1:8" s="346" customFormat="1" x14ac:dyDescent="0.3">
      <c r="B11" s="347"/>
      <c r="C11" s="348"/>
      <c r="D11" s="348"/>
      <c r="E11" s="348"/>
      <c r="F11" s="348"/>
      <c r="G11" s="348"/>
      <c r="H11" s="348"/>
    </row>
    <row r="12" spans="1:8" s="346" customFormat="1" x14ac:dyDescent="0.3">
      <c r="B12" s="347"/>
      <c r="C12" s="348"/>
      <c r="D12" s="348"/>
      <c r="E12" s="348"/>
      <c r="F12" s="348"/>
      <c r="G12" s="348"/>
      <c r="H12" s="348"/>
    </row>
    <row r="13" spans="1:8" s="346" customFormat="1" x14ac:dyDescent="0.3">
      <c r="B13" s="347"/>
      <c r="C13" s="348"/>
      <c r="D13" s="348"/>
      <c r="E13" s="348"/>
      <c r="F13" s="348"/>
      <c r="G13" s="348"/>
      <c r="H13" s="348"/>
    </row>
    <row r="14" spans="1:8" s="346" customFormat="1" x14ac:dyDescent="0.3">
      <c r="B14" s="347"/>
      <c r="C14" s="348"/>
      <c r="D14" s="348"/>
      <c r="E14" s="348"/>
      <c r="F14" s="348"/>
      <c r="G14" s="348"/>
      <c r="H14" s="348"/>
    </row>
    <row r="15" spans="1:8" s="346" customFormat="1" x14ac:dyDescent="0.3">
      <c r="B15" s="347"/>
      <c r="C15" s="348"/>
      <c r="D15" s="348"/>
      <c r="E15" s="348"/>
      <c r="F15" s="348"/>
      <c r="G15" s="348"/>
      <c r="H15" s="348"/>
    </row>
    <row r="16" spans="1:8" s="346" customFormat="1" x14ac:dyDescent="0.3">
      <c r="B16" s="347"/>
      <c r="C16" s="348"/>
      <c r="D16" s="348"/>
      <c r="E16" s="348"/>
      <c r="F16" s="348"/>
      <c r="G16" s="348"/>
      <c r="H16" s="348"/>
    </row>
    <row r="17" spans="2:8" s="346" customFormat="1" x14ac:dyDescent="0.3">
      <c r="B17" s="347"/>
      <c r="C17" s="348"/>
      <c r="D17" s="348"/>
      <c r="E17" s="348"/>
      <c r="F17" s="348"/>
      <c r="G17" s="348"/>
      <c r="H17" s="348"/>
    </row>
    <row r="18" spans="2:8" s="346" customFormat="1" x14ac:dyDescent="0.3">
      <c r="B18" s="347"/>
      <c r="C18" s="348"/>
      <c r="D18" s="348"/>
      <c r="E18" s="348"/>
      <c r="F18" s="348"/>
      <c r="G18" s="348"/>
      <c r="H18" s="348"/>
    </row>
    <row r="19" spans="2:8" s="346" customFormat="1" x14ac:dyDescent="0.3">
      <c r="B19" s="347"/>
      <c r="C19" s="348"/>
      <c r="D19" s="348"/>
      <c r="E19" s="348"/>
      <c r="F19" s="348"/>
      <c r="G19" s="348"/>
      <c r="H19" s="348"/>
    </row>
  </sheetData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D8E51-CF80-4C3D-B0B7-ED285AE56807}">
  <dimension ref="A1:G8"/>
  <sheetViews>
    <sheetView workbookViewId="0">
      <selection activeCell="B14" sqref="B14"/>
    </sheetView>
  </sheetViews>
  <sheetFormatPr baseColWidth="10" defaultRowHeight="14.4" x14ac:dyDescent="0.3"/>
  <cols>
    <col min="1" max="1" width="20.33203125" bestFit="1" customWidth="1"/>
    <col min="2" max="2" width="22.77734375" style="88" bestFit="1" customWidth="1"/>
    <col min="3" max="3" width="24" style="88" bestFit="1" customWidth="1"/>
    <col min="4" max="4" width="18" style="87" bestFit="1" customWidth="1"/>
    <col min="5" max="5" width="18" style="88" bestFit="1" customWidth="1"/>
    <col min="6" max="6" width="24.21875" style="87" bestFit="1" customWidth="1"/>
  </cols>
  <sheetData>
    <row r="1" spans="1:7" x14ac:dyDescent="0.3">
      <c r="A1" s="91" t="s">
        <v>422</v>
      </c>
      <c r="B1" s="96" t="str">
        <f>+COMERCIAL!C51</f>
        <v>Ventas 2025 rea</v>
      </c>
      <c r="C1" s="96" t="str">
        <f>+COMERCIAL!D51</f>
        <v>PRESUPUESTO CON LINEA</v>
      </c>
      <c r="D1" s="92" t="str">
        <f>+COMERCIAL!E51</f>
        <v>P% COMERCIAL</v>
      </c>
      <c r="E1" s="96" t="str">
        <f>+COMERCIAL!F51</f>
        <v>diferencia $</v>
      </c>
      <c r="F1" s="92" t="str">
        <f>+COMERCIAL!G51</f>
        <v>diferencia %</v>
      </c>
      <c r="G1" s="362" t="s">
        <v>424</v>
      </c>
    </row>
    <row r="2" spans="1:7" x14ac:dyDescent="0.3">
      <c r="A2" s="79" t="str">
        <f>+COMERCIAL!A52</f>
        <v>CAPSULAS</v>
      </c>
      <c r="B2" s="90">
        <f>+COMERCIAL!C52</f>
        <v>1312668569</v>
      </c>
      <c r="C2" s="90">
        <f>+COMERCIAL!D52</f>
        <v>1477126909.2250028</v>
      </c>
      <c r="D2" s="89">
        <f>+COMERCIAL!E52</f>
        <v>0.88866336453697914</v>
      </c>
      <c r="E2" s="90">
        <f>+COMERCIAL!F52</f>
        <v>-164458340.22500277</v>
      </c>
      <c r="F2" s="89">
        <f>+COMERCIAL!G52</f>
        <v>-0.11133663546302081</v>
      </c>
      <c r="G2" s="79" t="s">
        <v>423</v>
      </c>
    </row>
    <row r="3" spans="1:7" x14ac:dyDescent="0.3">
      <c r="A3" s="79" t="str">
        <f>+COMERCIAL!A53</f>
        <v>CONSUMO</v>
      </c>
      <c r="B3" s="90">
        <f>+COMERCIAL!C53</f>
        <v>6192966353</v>
      </c>
      <c r="C3" s="90">
        <f>+COMERCIAL!D53</f>
        <v>7990781428.0407801</v>
      </c>
      <c r="D3" s="89">
        <f>+COMERCIAL!E53</f>
        <v>0.77501385925386557</v>
      </c>
      <c r="E3" s="90">
        <f>+COMERCIAL!F53</f>
        <v>-1797815075.0407801</v>
      </c>
      <c r="F3" s="89">
        <f>+COMERCIAL!G53</f>
        <v>-0.22498614074613443</v>
      </c>
      <c r="G3" s="79" t="s">
        <v>429</v>
      </c>
    </row>
    <row r="4" spans="1:7" x14ac:dyDescent="0.3">
      <c r="A4" s="79" t="str">
        <f>+COMERCIAL!A54</f>
        <v>DERIVADOS</v>
      </c>
      <c r="B4" s="90">
        <f>+COMERCIAL!C54</f>
        <v>1792316681</v>
      </c>
      <c r="C4" s="90">
        <f>+COMERCIAL!D54</f>
        <v>2512598494.5667067</v>
      </c>
      <c r="D4" s="89">
        <f>+COMERCIAL!E54</f>
        <v>0.71177156949956932</v>
      </c>
      <c r="E4" s="90">
        <f>+COMERCIAL!F54</f>
        <v>-724202320.56670666</v>
      </c>
      <c r="F4" s="89">
        <f>+COMERCIAL!G54</f>
        <v>-0.28822843050043062</v>
      </c>
      <c r="G4" s="79" t="s">
        <v>425</v>
      </c>
    </row>
    <row r="5" spans="1:7" x14ac:dyDescent="0.3">
      <c r="A5" s="79" t="str">
        <f>+COMERCIAL!A55</f>
        <v>ESPECIALES</v>
      </c>
      <c r="B5" s="90">
        <f>+COMERCIAL!C55</f>
        <v>3588370164</v>
      </c>
      <c r="C5" s="90">
        <f>+COMERCIAL!D55</f>
        <v>4122948073.1670871</v>
      </c>
      <c r="D5" s="89">
        <f>+COMERCIAL!E55</f>
        <v>0.87034085812377326</v>
      </c>
      <c r="E5" s="90">
        <f>+COMERCIAL!F55</f>
        <v>-534577909.16708708</v>
      </c>
      <c r="F5" s="89">
        <f>+COMERCIAL!G55</f>
        <v>-0.12965914187622676</v>
      </c>
      <c r="G5" s="79" t="s">
        <v>426</v>
      </c>
    </row>
    <row r="6" spans="1:7" x14ac:dyDescent="0.3">
      <c r="A6" s="79" t="str">
        <f>+COMERCIAL!A56</f>
        <v>GOURMET</v>
      </c>
      <c r="B6" s="90">
        <f>+COMERCIAL!C56</f>
        <v>12609186369</v>
      </c>
      <c r="C6" s="90">
        <f>+COMERCIAL!D56</f>
        <v>13593822752.651354</v>
      </c>
      <c r="D6" s="89">
        <f>+COMERCIAL!E56</f>
        <v>0.927384047768401</v>
      </c>
      <c r="E6" s="90">
        <f>+COMERCIAL!F56</f>
        <v>-987128383.65135384</v>
      </c>
      <c r="F6" s="89">
        <f>+COMERCIAL!G56</f>
        <v>-7.261595223159896E-2</v>
      </c>
      <c r="G6" s="89" t="s">
        <v>428</v>
      </c>
    </row>
    <row r="7" spans="1:7" x14ac:dyDescent="0.3">
      <c r="A7" s="79" t="str">
        <f>+COMERCIAL!A57</f>
        <v>OTROS</v>
      </c>
      <c r="B7" s="90">
        <f>+COMERCIAL!C57</f>
        <v>682323114</v>
      </c>
      <c r="C7" s="90">
        <f>+COMERCIAL!D57</f>
        <v>1474969824.3539028</v>
      </c>
      <c r="D7" s="89">
        <f>+COMERCIAL!E57</f>
        <v>0.46151544442489445</v>
      </c>
      <c r="E7" s="90">
        <f>+COMERCIAL!F57</f>
        <v>-794248470.35390282</v>
      </c>
      <c r="F7" s="89">
        <f>+COMERCIAL!G57</f>
        <v>-0.53848455557510555</v>
      </c>
      <c r="G7" s="89" t="s">
        <v>427</v>
      </c>
    </row>
    <row r="8" spans="1:7" x14ac:dyDescent="0.3">
      <c r="A8" s="79" t="str">
        <f>+COMERCIAL!A58</f>
        <v>Total general</v>
      </c>
      <c r="B8" s="90">
        <f>+COMERCIAL!C58</f>
        <v>26177831250</v>
      </c>
      <c r="C8" s="90">
        <f>+COMERCIAL!D58</f>
        <v>31172247482.004841</v>
      </c>
      <c r="D8" s="89">
        <f>+COMERCIAL!E58</f>
        <v>0.83952294418640649</v>
      </c>
      <c r="E8" s="90">
        <f>+COMERCIAL!F58</f>
        <v>-5002430499.0048409</v>
      </c>
      <c r="F8" s="89">
        <f>+COMERCIAL!G58</f>
        <v>-0.16047705581359351</v>
      </c>
    </row>
  </sheetData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3FDD-B1B5-411E-AACC-9E00B1C98672}">
  <dimension ref="A1:F9"/>
  <sheetViews>
    <sheetView tabSelected="1" workbookViewId="0">
      <selection activeCell="A32" sqref="A32"/>
    </sheetView>
  </sheetViews>
  <sheetFormatPr baseColWidth="10" defaultRowHeight="14.4" x14ac:dyDescent="0.3"/>
  <cols>
    <col min="1" max="1" width="20.33203125" bestFit="1" customWidth="1"/>
    <col min="2" max="2" width="19" style="88" bestFit="1" customWidth="1"/>
    <col min="3" max="3" width="24.21875" style="88" bestFit="1" customWidth="1"/>
    <col min="4" max="4" width="13.77734375" style="87" bestFit="1" customWidth="1"/>
    <col min="5" max="5" width="18" style="88" bestFit="1" customWidth="1"/>
    <col min="6" max="6" width="11.5546875" style="87"/>
  </cols>
  <sheetData>
    <row r="1" spans="1:6" ht="16.2" x14ac:dyDescent="0.45">
      <c r="A1" s="91" t="str">
        <f>COMERCIAL!A72</f>
        <v>sub categoria</v>
      </c>
      <c r="B1" s="96" t="str">
        <f>COMERCIAL!E72</f>
        <v>Ventas 2025 rea</v>
      </c>
      <c r="C1" s="96" t="str">
        <f>COMERCIAL!F72</f>
        <v>PRESUPUESTO CON LINEA</v>
      </c>
      <c r="D1" s="92" t="str">
        <f>COMERCIAL!G72</f>
        <v>P% COMERCIAL</v>
      </c>
      <c r="E1" s="369" t="s">
        <v>718</v>
      </c>
      <c r="F1" s="92" t="str">
        <f>COMERCIAL!I72</f>
        <v>diferencia %</v>
      </c>
    </row>
    <row r="2" spans="1:6" x14ac:dyDescent="0.3">
      <c r="A2" s="79" t="str">
        <f>COMERCIAL!A73</f>
        <v>AUTOSERVICIOS</v>
      </c>
      <c r="B2" s="90">
        <f>COMERCIAL!E73</f>
        <v>716899480</v>
      </c>
      <c r="C2" s="90">
        <f>COMERCIAL!F73</f>
        <v>731889123.19528532</v>
      </c>
      <c r="D2" s="89">
        <f>COMERCIAL!G73</f>
        <v>0.97951924311999139</v>
      </c>
      <c r="E2" s="363">
        <f>COMERCIAL!H73</f>
        <v>-14989643.19528532</v>
      </c>
      <c r="F2" s="89">
        <f>COMERCIAL!I73</f>
        <v>-2.0480756880008624E-2</v>
      </c>
    </row>
    <row r="3" spans="1:6" x14ac:dyDescent="0.3">
      <c r="A3" s="79" t="str">
        <f>COMERCIAL!A74</f>
        <v>CADENAS REGIONALES</v>
      </c>
      <c r="B3" s="90">
        <f>COMERCIAL!E74</f>
        <v>2508107931</v>
      </c>
      <c r="C3" s="90">
        <f>COMERCIAL!F74</f>
        <v>2485621173.8806934</v>
      </c>
      <c r="D3" s="89">
        <f>COMERCIAL!G74</f>
        <v>1.0090467354219546</v>
      </c>
      <c r="E3" s="90">
        <f>COMERCIAL!H74</f>
        <v>22486757.119306564</v>
      </c>
      <c r="F3" s="89">
        <f>COMERCIAL!I74</f>
        <v>9.0467354219544872E-3</v>
      </c>
    </row>
    <row r="4" spans="1:6" x14ac:dyDescent="0.3">
      <c r="A4" s="79" t="str">
        <f>COMERCIAL!A75</f>
        <v>DISTRIBUIDOR</v>
      </c>
      <c r="B4" s="90">
        <f>COMERCIAL!E75</f>
        <v>318953108</v>
      </c>
      <c r="C4" s="90">
        <f>COMERCIAL!F75</f>
        <v>437640383.20696825</v>
      </c>
      <c r="D4" s="89">
        <f>COMERCIAL!G75</f>
        <v>0.72880182048730446</v>
      </c>
      <c r="E4" s="90">
        <f>COMERCIAL!H75</f>
        <v>-118687275.20696825</v>
      </c>
      <c r="F4" s="89">
        <f>COMERCIAL!I75</f>
        <v>-0.27119817951269554</v>
      </c>
    </row>
    <row r="5" spans="1:6" x14ac:dyDescent="0.3">
      <c r="A5" s="79" t="str">
        <f>COMERCIAL!A76</f>
        <v>FOOD SERVICE PREMIUM</v>
      </c>
      <c r="B5" s="90">
        <f>COMERCIAL!E76</f>
        <v>1905219111</v>
      </c>
      <c r="C5" s="90">
        <f>COMERCIAL!F76</f>
        <v>2108018369.0242822</v>
      </c>
      <c r="D5" s="89">
        <f>COMERCIAL!G76</f>
        <v>0.90371114597154434</v>
      </c>
      <c r="E5" s="90">
        <f>COMERCIAL!H76</f>
        <v>-202978673.02428222</v>
      </c>
      <c r="F5" s="89">
        <f>COMERCIAL!I76</f>
        <v>-9.6288854028455634E-2</v>
      </c>
    </row>
    <row r="6" spans="1:6" x14ac:dyDescent="0.3">
      <c r="A6" s="79" t="str">
        <f>COMERCIAL!A77</f>
        <v>GRANDES SUPERFICIES</v>
      </c>
      <c r="B6" s="90">
        <f>COMERCIAL!E77</f>
        <v>15135320448</v>
      </c>
      <c r="C6" s="90">
        <f>COMERCIAL!F77</f>
        <v>16805970736.081242</v>
      </c>
      <c r="D6" s="89">
        <f>COMERCIAL!G77</f>
        <v>0.90059186021938786</v>
      </c>
      <c r="E6" s="90">
        <f>COMERCIAL!H77</f>
        <v>-1670650288.0812416</v>
      </c>
      <c r="F6" s="89">
        <f>COMERCIAL!I77</f>
        <v>-9.9408139780612165E-2</v>
      </c>
    </row>
    <row r="7" spans="1:6" x14ac:dyDescent="0.3">
      <c r="A7" s="79" t="str">
        <f>COMERCIAL!A78</f>
        <v>TIENDA ESPECIALIZADA</v>
      </c>
      <c r="B7" s="90">
        <f>COMERCIAL!E78</f>
        <v>3134469377</v>
      </c>
      <c r="C7" s="90">
        <f>COMERCIAL!F78</f>
        <v>3245989311.7504272</v>
      </c>
      <c r="D7" s="89">
        <f>COMERCIAL!G78</f>
        <v>0.96323007401214633</v>
      </c>
      <c r="E7" s="90">
        <f>COMERCIAL!H78</f>
        <v>-119354786.75042725</v>
      </c>
      <c r="F7" s="89">
        <f>COMERCIAL!I78</f>
        <v>-3.6769925987853662E-2</v>
      </c>
    </row>
    <row r="8" spans="1:6" x14ac:dyDescent="0.3">
      <c r="A8" s="370" t="s">
        <v>747</v>
      </c>
      <c r="B8" s="90">
        <f>COMERCIAL!E79</f>
        <v>2458861795</v>
      </c>
      <c r="C8" s="90">
        <f>COMERCIAL!F79</f>
        <v>5355953960.2509565</v>
      </c>
      <c r="D8" s="89">
        <f>COMERCIAL!G79</f>
        <v>0.45908941959702515</v>
      </c>
      <c r="E8" s="90">
        <f>COMERCIAL!H79</f>
        <v>-2897092165.2509565</v>
      </c>
      <c r="F8" s="89">
        <f>COMERCIAL!I79</f>
        <v>-0.54091058040297479</v>
      </c>
    </row>
    <row r="9" spans="1:6" x14ac:dyDescent="0.3">
      <c r="A9" s="370" t="str">
        <f>COMERCIAL!A80</f>
        <v>Total general</v>
      </c>
      <c r="B9" s="90">
        <f>COMERCIAL!E80</f>
        <v>26177831250</v>
      </c>
      <c r="C9" s="90">
        <f>COMERCIAL!F80</f>
        <v>31172247482.004841</v>
      </c>
      <c r="D9" s="89">
        <f>COMERCIAL!G80</f>
        <v>0.83952294418640649</v>
      </c>
      <c r="E9" s="90">
        <f>COMERCIAL!H80</f>
        <v>-5002430499.0048409</v>
      </c>
      <c r="F9" s="89">
        <f>COMERCIAL!I80</f>
        <v>-0.16047705581359351</v>
      </c>
    </row>
  </sheetData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sheetPr>
    <tabColor rgb="FFFFC000"/>
  </sheetPr>
  <dimension ref="A7:E33"/>
  <sheetViews>
    <sheetView showGridLines="0" zoomScaleNormal="100" zoomScaleSheetLayoutView="100" workbookViewId="0">
      <selection activeCell="B7" sqref="B7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86" t="s">
        <v>403</v>
      </c>
      <c r="B7" t="s" vm="23">
        <v>720</v>
      </c>
    </row>
    <row r="8" spans="1:5" x14ac:dyDescent="0.3">
      <c r="A8" s="86" t="s">
        <v>404</v>
      </c>
      <c r="B8" t="s">
        <v>99</v>
      </c>
    </row>
    <row r="10" spans="1:5" x14ac:dyDescent="0.3">
      <c r="B10" s="86" t="s">
        <v>39</v>
      </c>
    </row>
    <row r="11" spans="1:5" x14ac:dyDescent="0.3">
      <c r="A11" s="86" t="s">
        <v>405</v>
      </c>
      <c r="B11" t="s">
        <v>406</v>
      </c>
      <c r="C11" t="s">
        <v>407</v>
      </c>
      <c r="D11" t="s">
        <v>408</v>
      </c>
      <c r="E11" t="s">
        <v>409</v>
      </c>
    </row>
    <row r="12" spans="1:5" x14ac:dyDescent="0.3">
      <c r="A12" t="s">
        <v>410</v>
      </c>
      <c r="B12" s="82">
        <v>20235672</v>
      </c>
      <c r="C12" s="82">
        <v>37765721</v>
      </c>
      <c r="D12" s="82">
        <v>58001393</v>
      </c>
      <c r="E12" s="85">
        <v>0.65111748264390823</v>
      </c>
    </row>
    <row r="13" spans="1:5" x14ac:dyDescent="0.3">
      <c r="A13" t="s">
        <v>411</v>
      </c>
      <c r="B13" s="82">
        <v>75630095</v>
      </c>
      <c r="C13" s="82">
        <v>281272139</v>
      </c>
      <c r="D13" s="82">
        <v>356902234</v>
      </c>
      <c r="E13" s="85">
        <v>0.78809296273555973</v>
      </c>
    </row>
    <row r="14" spans="1:5" x14ac:dyDescent="0.3">
      <c r="A14" t="s">
        <v>412</v>
      </c>
      <c r="B14" s="82">
        <v>78692835</v>
      </c>
      <c r="C14" s="82">
        <v>461967578</v>
      </c>
      <c r="D14" s="82">
        <v>540660413</v>
      </c>
      <c r="E14" s="85">
        <v>0.85445053288930184</v>
      </c>
    </row>
    <row r="15" spans="1:5" x14ac:dyDescent="0.3">
      <c r="A15" t="s">
        <v>413</v>
      </c>
      <c r="B15" s="82">
        <v>76981441</v>
      </c>
      <c r="C15" s="82">
        <v>191534483</v>
      </c>
      <c r="D15" s="82">
        <v>268515924</v>
      </c>
      <c r="E15" s="85">
        <v>0.71330772546659094</v>
      </c>
    </row>
    <row r="16" spans="1:5" x14ac:dyDescent="0.3">
      <c r="A16" t="s">
        <v>414</v>
      </c>
      <c r="B16" s="82">
        <v>13032961</v>
      </c>
      <c r="C16" s="82">
        <v>100430756</v>
      </c>
      <c r="D16" s="82">
        <v>113463717</v>
      </c>
      <c r="E16" s="85">
        <v>0.88513543056235322</v>
      </c>
    </row>
    <row r="17" spans="1:5" x14ac:dyDescent="0.3">
      <c r="A17" t="s">
        <v>415</v>
      </c>
      <c r="B17" s="82">
        <v>60022106</v>
      </c>
      <c r="C17" s="82">
        <v>342396386</v>
      </c>
      <c r="D17" s="82">
        <v>402418492</v>
      </c>
      <c r="E17" s="85">
        <v>0.85084655105759899</v>
      </c>
    </row>
    <row r="18" spans="1:5" x14ac:dyDescent="0.3">
      <c r="A18" t="s">
        <v>416</v>
      </c>
      <c r="B18" s="82">
        <v>230777075</v>
      </c>
      <c r="C18" s="82">
        <v>3245551733</v>
      </c>
      <c r="D18" s="82">
        <v>3476328808</v>
      </c>
      <c r="E18" s="85">
        <v>0.93361471605651403</v>
      </c>
    </row>
    <row r="19" spans="1:5" x14ac:dyDescent="0.3">
      <c r="A19" t="s">
        <v>417</v>
      </c>
      <c r="B19" s="82">
        <v>752230522</v>
      </c>
      <c r="C19" s="82">
        <v>2601031513</v>
      </c>
      <c r="D19" s="82">
        <v>3353262035</v>
      </c>
      <c r="E19" s="85">
        <v>0.77567201305817424</v>
      </c>
    </row>
    <row r="20" spans="1:5" x14ac:dyDescent="0.3">
      <c r="A20" t="s">
        <v>418</v>
      </c>
      <c r="B20" s="82">
        <v>0</v>
      </c>
      <c r="C20" s="82">
        <v>437073120</v>
      </c>
      <c r="D20" s="82">
        <v>437073120</v>
      </c>
      <c r="E20" s="85">
        <v>1</v>
      </c>
    </row>
    <row r="21" spans="1:5" x14ac:dyDescent="0.3">
      <c r="A21" t="s">
        <v>6</v>
      </c>
      <c r="B21" s="82">
        <v>1307602707</v>
      </c>
      <c r="C21" s="82">
        <v>7699023429</v>
      </c>
      <c r="D21" s="82">
        <v>9006626136</v>
      </c>
      <c r="E21" s="85">
        <v>0.85481769896349569</v>
      </c>
    </row>
    <row r="33" spans="4:4" x14ac:dyDescent="0.3">
      <c r="D33" t="s">
        <v>419</v>
      </c>
    </row>
  </sheetData>
  <pageMargins left="0" right="0" top="0" bottom="0" header="0" footer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88" bestFit="1" customWidth="1"/>
    <col min="3" max="4" width="18" style="88" bestFit="1" customWidth="1"/>
    <col min="5" max="5" width="10.6640625" style="87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91" t="str">
        <f>+CARTERA!A11</f>
        <v>Supervisor</v>
      </c>
      <c r="B1" s="96" t="str">
        <f>+CARTERA!B11</f>
        <v>TOTAL VENCIDO</v>
      </c>
      <c r="C1" s="96" t="str">
        <f>+CARTERA!C11</f>
        <v>TOTAL CORRIENTE</v>
      </c>
      <c r="D1" s="96" t="str">
        <f>+CARTERA!D11</f>
        <v>TOTAL CARTERA</v>
      </c>
      <c r="E1" s="92" t="str">
        <f>+CARTERA!E11</f>
        <v>INDICADOR</v>
      </c>
      <c r="F1" s="91" t="s">
        <v>421</v>
      </c>
    </row>
    <row r="2" spans="1:6" x14ac:dyDescent="0.3">
      <c r="A2" s="79" t="str">
        <f>+CARTERA!A12</f>
        <v>CLIENTES NACIONALES</v>
      </c>
      <c r="B2" s="90">
        <f>+CARTERA!B12</f>
        <v>20235672</v>
      </c>
      <c r="C2" s="90">
        <f>+CARTERA!C12</f>
        <v>37765721</v>
      </c>
      <c r="D2" s="90">
        <f>+CARTERA!D12</f>
        <v>58001393</v>
      </c>
      <c r="E2" s="80">
        <f>+CARTERA!E12</f>
        <v>0.65111748264390823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0">
        <f>+CARTERA!B13</f>
        <v>75630095</v>
      </c>
      <c r="C3" s="90">
        <f>+CARTERA!C13</f>
        <v>281272139</v>
      </c>
      <c r="D3" s="90">
        <f>+CARTERA!D13</f>
        <v>356902234</v>
      </c>
      <c r="E3" s="80">
        <f>+CARTERA!E13</f>
        <v>0.78809296273555973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0">
        <f>+CARTERA!B14</f>
        <v>78692835</v>
      </c>
      <c r="C4" s="90">
        <f>+CARTERA!C14</f>
        <v>461967578</v>
      </c>
      <c r="D4" s="90">
        <f>+CARTERA!D14</f>
        <v>540660413</v>
      </c>
      <c r="E4" s="80">
        <f>+CARTERA!E14</f>
        <v>0.85445053288930184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0">
        <f>+CARTERA!B15</f>
        <v>76981441</v>
      </c>
      <c r="C5" s="90">
        <f>+CARTERA!C15</f>
        <v>191534483</v>
      </c>
      <c r="D5" s="90">
        <f>+CARTERA!D15</f>
        <v>268515924</v>
      </c>
      <c r="E5" s="80">
        <f>+CARTERA!E15</f>
        <v>0.71330772546659094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0">
        <f>+CARTERA!B16</f>
        <v>13032961</v>
      </c>
      <c r="C6" s="90">
        <f>+CARTERA!C16</f>
        <v>100430756</v>
      </c>
      <c r="D6" s="90">
        <f>+CARTERA!D16</f>
        <v>113463717</v>
      </c>
      <c r="E6" s="80">
        <f>+CARTERA!E16</f>
        <v>0.88513543056235322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0">
        <f>+CARTERA!B17</f>
        <v>60022106</v>
      </c>
      <c r="C7" s="90">
        <f>+CARTERA!C17</f>
        <v>342396386</v>
      </c>
      <c r="D7" s="90">
        <f>+CARTERA!D17</f>
        <v>402418492</v>
      </c>
      <c r="E7" s="80">
        <f>+CARTERA!E17</f>
        <v>0.85084655105759899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0">
        <f>+CARTERA!B18</f>
        <v>230777075</v>
      </c>
      <c r="C8" s="90">
        <f>+CARTERA!C18</f>
        <v>3245551733</v>
      </c>
      <c r="D8" s="90">
        <f>+CARTERA!D18</f>
        <v>3476328808</v>
      </c>
      <c r="E8" s="80">
        <f>+CARTERA!E18</f>
        <v>0.93361471605651403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0">
        <f>+CARTERA!B19</f>
        <v>752230522</v>
      </c>
      <c r="C9" s="90">
        <f>+CARTERA!C19</f>
        <v>2601031513</v>
      </c>
      <c r="D9" s="90">
        <f>+CARTERA!D19</f>
        <v>3353262035</v>
      </c>
      <c r="E9" s="80">
        <f>+CARTERA!E19</f>
        <v>0.77567201305817424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0">
        <f>+CARTERA!B20</f>
        <v>0</v>
      </c>
      <c r="C10" s="90">
        <f>+CARTERA!C20</f>
        <v>437073120</v>
      </c>
      <c r="D10" s="90">
        <f>+CARTERA!D20</f>
        <v>437073120</v>
      </c>
      <c r="E10" s="80">
        <f>+CARTERA!E20</f>
        <v>1</v>
      </c>
      <c r="F10" s="79"/>
    </row>
    <row r="11" spans="1:6" x14ac:dyDescent="0.3">
      <c r="A11" s="79" t="str">
        <f>+CARTERA!A21</f>
        <v>Total general</v>
      </c>
      <c r="B11" s="90">
        <f>+CARTERA!B21</f>
        <v>1307602707</v>
      </c>
      <c r="C11" s="90">
        <f>+CARTERA!C21</f>
        <v>7699023429</v>
      </c>
      <c r="D11" s="90">
        <f>+CARTERA!D21</f>
        <v>9006626136</v>
      </c>
      <c r="E11" s="80">
        <f>+CARTERA!E21</f>
        <v>0.85481769896349569</v>
      </c>
      <c r="F11" s="79"/>
    </row>
    <row r="33" spans="4:4" x14ac:dyDescent="0.3">
      <c r="D33" s="88" t="s">
        <v>419</v>
      </c>
    </row>
  </sheetData>
  <pageMargins left="0" right="0" top="0" bottom="0" header="0" footer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04C57-9057-4D9E-9E22-9BEF37ECF274}">
  <sheetPr>
    <tabColor theme="7"/>
  </sheetPr>
  <dimension ref="A1:I242"/>
  <sheetViews>
    <sheetView topLeftCell="B1" zoomScaleNormal="100" zoomScaleSheetLayoutView="100" workbookViewId="0">
      <selection activeCell="H16" sqref="H16"/>
    </sheetView>
  </sheetViews>
  <sheetFormatPr baseColWidth="10" defaultColWidth="8.88671875" defaultRowHeight="14.4" x14ac:dyDescent="0.3"/>
  <cols>
    <col min="1" max="1" width="43" style="98" bestFit="1" customWidth="1"/>
    <col min="2" max="2" width="24.44140625" style="98" bestFit="1" customWidth="1"/>
    <col min="3" max="4" width="19.21875" style="98" bestFit="1" customWidth="1"/>
    <col min="5" max="5" width="24.44140625" style="98" customWidth="1"/>
    <col min="6" max="6" width="40.77734375" style="98" bestFit="1" customWidth="1"/>
    <col min="7" max="7" width="24.44140625" style="98" customWidth="1"/>
    <col min="8" max="9" width="19.21875" style="98" bestFit="1" customWidth="1"/>
    <col min="10" max="10" width="24.44140625" style="98" bestFit="1" customWidth="1"/>
    <col min="11" max="11" width="19.21875" style="98" bestFit="1" customWidth="1"/>
    <col min="12" max="16384" width="8.88671875" style="98"/>
  </cols>
  <sheetData>
    <row r="1" spans="1:7" x14ac:dyDescent="0.3">
      <c r="A1" s="356" t="s">
        <v>741</v>
      </c>
    </row>
    <row r="2" spans="1:7" x14ac:dyDescent="0.3">
      <c r="A2" s="356" t="s">
        <v>739</v>
      </c>
    </row>
    <row r="5" spans="1:7" x14ac:dyDescent="0.3">
      <c r="A5" s="86" t="s">
        <v>432</v>
      </c>
      <c r="B5" t="s" vm="25">
        <v>721</v>
      </c>
      <c r="C5"/>
      <c r="D5"/>
      <c r="E5"/>
      <c r="F5" s="86" t="s">
        <v>432</v>
      </c>
      <c r="G5" t="s" vm="25">
        <v>721</v>
      </c>
    </row>
    <row r="6" spans="1:7" x14ac:dyDescent="0.3">
      <c r="A6" s="86" t="s">
        <v>434</v>
      </c>
      <c r="B6" t="s" vm="11">
        <v>384</v>
      </c>
      <c r="C6"/>
      <c r="D6"/>
      <c r="E6"/>
      <c r="F6" s="86" t="s">
        <v>434</v>
      </c>
      <c r="G6" t="s" vm="11">
        <v>384</v>
      </c>
    </row>
    <row r="7" spans="1:7" x14ac:dyDescent="0.3">
      <c r="A7" s="86" t="s">
        <v>435</v>
      </c>
      <c r="B7" t="s" vm="13">
        <v>106</v>
      </c>
      <c r="C7"/>
      <c r="D7"/>
      <c r="E7"/>
      <c r="F7" s="86" t="s">
        <v>435</v>
      </c>
      <c r="G7" t="s" vm="24">
        <v>340</v>
      </c>
    </row>
    <row r="8" spans="1:7" x14ac:dyDescent="0.3">
      <c r="B8" s="356" t="s">
        <v>436</v>
      </c>
      <c r="G8" s="98" t="s">
        <v>435</v>
      </c>
    </row>
    <row r="9" spans="1:7" x14ac:dyDescent="0.3">
      <c r="A9" s="86" t="s">
        <v>39</v>
      </c>
      <c r="B9"/>
      <c r="C9"/>
      <c r="D9"/>
      <c r="E9"/>
      <c r="F9" s="86" t="s">
        <v>39</v>
      </c>
      <c r="G9"/>
    </row>
    <row r="10" spans="1:7" x14ac:dyDescent="0.3">
      <c r="A10" s="99" t="s">
        <v>446</v>
      </c>
      <c r="B10" s="85">
        <v>0.71207659303504223</v>
      </c>
      <c r="C10" s="85"/>
      <c r="D10" s="85"/>
      <c r="E10" s="85"/>
      <c r="F10" s="99" t="s">
        <v>446</v>
      </c>
      <c r="G10" s="85">
        <v>0.70050182432925345</v>
      </c>
    </row>
    <row r="11" spans="1:7" x14ac:dyDescent="0.3">
      <c r="A11" s="99" t="s">
        <v>437</v>
      </c>
      <c r="B11" s="4">
        <v>4157207171.7921934</v>
      </c>
      <c r="C11" s="4"/>
      <c r="D11" s="4"/>
      <c r="E11" s="4"/>
      <c r="F11" s="99" t="s">
        <v>437</v>
      </c>
      <c r="G11" s="4">
        <v>676813349.77515006</v>
      </c>
    </row>
    <row r="12" spans="1:7" x14ac:dyDescent="0.3">
      <c r="A12" s="99" t="s">
        <v>438</v>
      </c>
      <c r="B12" s="85">
        <v>0.19966614898615345</v>
      </c>
      <c r="C12" s="85"/>
      <c r="D12" s="85"/>
      <c r="E12" s="85"/>
      <c r="F12" s="99" t="s">
        <v>438</v>
      </c>
      <c r="G12" s="85">
        <v>0.16556815494703234</v>
      </c>
    </row>
    <row r="16" spans="1:7" x14ac:dyDescent="0.3">
      <c r="F16" s="356" t="s">
        <v>746</v>
      </c>
    </row>
    <row r="17" spans="1:9" x14ac:dyDescent="0.3">
      <c r="A17" s="356" t="s">
        <v>740</v>
      </c>
    </row>
    <row r="19" spans="1:9" x14ac:dyDescent="0.3">
      <c r="A19" s="86" t="s">
        <v>432</v>
      </c>
      <c r="B19" t="s" vm="25">
        <v>721</v>
      </c>
      <c r="C19"/>
      <c r="D19"/>
      <c r="E19"/>
      <c r="F19" s="86" t="s">
        <v>432</v>
      </c>
      <c r="G19" t="s" vm="25">
        <v>721</v>
      </c>
    </row>
    <row r="20" spans="1:9" x14ac:dyDescent="0.3">
      <c r="A20" s="86" t="s">
        <v>434</v>
      </c>
      <c r="B20" t="s" vm="11">
        <v>384</v>
      </c>
      <c r="C20"/>
      <c r="D20"/>
      <c r="E20"/>
      <c r="F20" s="86" t="s">
        <v>434</v>
      </c>
      <c r="G20" t="s" vm="11">
        <v>384</v>
      </c>
    </row>
    <row r="21" spans="1:9" x14ac:dyDescent="0.3">
      <c r="A21" s="86" t="s">
        <v>435</v>
      </c>
      <c r="B21" t="s" vm="13">
        <v>106</v>
      </c>
      <c r="C21"/>
      <c r="D21"/>
      <c r="E21"/>
      <c r="F21" s="86" t="s">
        <v>435</v>
      </c>
      <c r="G21" t="s" vm="24">
        <v>340</v>
      </c>
    </row>
    <row r="22" spans="1:9" x14ac:dyDescent="0.3">
      <c r="B22" s="356" t="s">
        <v>436</v>
      </c>
      <c r="G22" s="98" t="s">
        <v>435</v>
      </c>
    </row>
    <row r="23" spans="1:9" x14ac:dyDescent="0.3">
      <c r="A23" s="86" t="s">
        <v>439</v>
      </c>
      <c r="B23" t="s">
        <v>437</v>
      </c>
      <c r="C23"/>
      <c r="D23"/>
      <c r="E23"/>
      <c r="F23" s="86" t="s">
        <v>439</v>
      </c>
      <c r="G23" t="s">
        <v>437</v>
      </c>
      <c r="H23"/>
      <c r="I23"/>
    </row>
    <row r="24" spans="1:9" x14ac:dyDescent="0.3">
      <c r="A24" s="100" t="s">
        <v>79</v>
      </c>
      <c r="B24" s="4">
        <v>359272342.02354884</v>
      </c>
      <c r="C24"/>
      <c r="D24"/>
      <c r="E24" s="10"/>
      <c r="F24" s="99" t="s">
        <v>51</v>
      </c>
      <c r="G24" s="4">
        <v>51384754.378443792</v>
      </c>
      <c r="H24"/>
      <c r="I24"/>
    </row>
    <row r="25" spans="1:9" x14ac:dyDescent="0.3">
      <c r="A25" s="100" t="s">
        <v>73</v>
      </c>
      <c r="B25" s="4">
        <v>322723607.26607931</v>
      </c>
      <c r="C25"/>
      <c r="D25"/>
      <c r="E25" s="85"/>
      <c r="F25" s="99" t="s">
        <v>72</v>
      </c>
      <c r="G25" s="4">
        <v>58786311.042926021</v>
      </c>
      <c r="H25"/>
      <c r="I25"/>
    </row>
    <row r="26" spans="1:9" x14ac:dyDescent="0.3">
      <c r="A26" s="100" t="s">
        <v>72</v>
      </c>
      <c r="B26" s="4">
        <v>243252841.93913671</v>
      </c>
      <c r="C26"/>
      <c r="D26"/>
      <c r="E26" s="4"/>
      <c r="F26" s="100" t="s">
        <v>73</v>
      </c>
      <c r="G26" s="4">
        <v>62972010.98376593</v>
      </c>
      <c r="H26"/>
      <c r="I26"/>
    </row>
    <row r="27" spans="1:9" x14ac:dyDescent="0.3">
      <c r="A27" s="100" t="s">
        <v>50</v>
      </c>
      <c r="B27" s="4">
        <v>236000655.72180799</v>
      </c>
      <c r="C27"/>
      <c r="D27"/>
      <c r="E27" s="85"/>
      <c r="F27" s="99" t="s">
        <v>735</v>
      </c>
      <c r="G27" s="4">
        <v>35810601.186181366</v>
      </c>
      <c r="H27"/>
      <c r="I27"/>
    </row>
    <row r="28" spans="1:9" x14ac:dyDescent="0.3">
      <c r="A28" s="100" t="s">
        <v>51</v>
      </c>
      <c r="B28" s="4">
        <v>224521379.31891575</v>
      </c>
      <c r="C28"/>
      <c r="D28"/>
      <c r="E28" s="10"/>
      <c r="F28" s="99" t="s">
        <v>79</v>
      </c>
      <c r="G28" s="4">
        <v>75609817.342944801</v>
      </c>
      <c r="H28"/>
      <c r="I28"/>
    </row>
    <row r="29" spans="1:9" x14ac:dyDescent="0.3">
      <c r="A29" s="99" t="s">
        <v>6</v>
      </c>
      <c r="B29" s="4">
        <v>1385770826.2694883</v>
      </c>
      <c r="C29"/>
      <c r="D29"/>
      <c r="E29" s="85"/>
      <c r="F29" s="99" t="s">
        <v>6</v>
      </c>
      <c r="G29" s="4">
        <v>284563494.93426198</v>
      </c>
      <c r="H29"/>
      <c r="I29"/>
    </row>
    <row r="30" spans="1:9" x14ac:dyDescent="0.3">
      <c r="A30"/>
      <c r="B30"/>
      <c r="C30"/>
      <c r="D30"/>
      <c r="E30" s="4"/>
      <c r="F30"/>
      <c r="G30"/>
      <c r="H30"/>
      <c r="I30"/>
    </row>
    <row r="31" spans="1:9" x14ac:dyDescent="0.3">
      <c r="A31" s="100" t="s">
        <v>742</v>
      </c>
      <c r="B31"/>
      <c r="C31"/>
      <c r="D31"/>
      <c r="E31" s="85"/>
      <c r="G31"/>
      <c r="H31"/>
      <c r="I31"/>
    </row>
    <row r="32" spans="1:9" x14ac:dyDescent="0.3">
      <c r="A32"/>
      <c r="B32"/>
      <c r="C32"/>
      <c r="D32"/>
      <c r="E32" s="10"/>
      <c r="F32"/>
      <c r="G32"/>
      <c r="H32"/>
      <c r="I32"/>
    </row>
    <row r="33" spans="1:9" x14ac:dyDescent="0.3">
      <c r="A33" s="86" t="s">
        <v>432</v>
      </c>
      <c r="B33" t="s" vm="25">
        <v>721</v>
      </c>
      <c r="E33" s="85"/>
      <c r="F33"/>
      <c r="G33"/>
      <c r="H33"/>
      <c r="I33"/>
    </row>
    <row r="34" spans="1:9" x14ac:dyDescent="0.3">
      <c r="A34" s="86" t="s">
        <v>434</v>
      </c>
      <c r="B34" t="s" vm="11">
        <v>384</v>
      </c>
      <c r="E34" s="4"/>
      <c r="F34" s="86" t="s">
        <v>432</v>
      </c>
      <c r="G34" t="s" vm="25">
        <v>721</v>
      </c>
      <c r="I34"/>
    </row>
    <row r="35" spans="1:9" x14ac:dyDescent="0.3">
      <c r="A35" s="86" t="s">
        <v>435</v>
      </c>
      <c r="B35" t="s" vm="13">
        <v>106</v>
      </c>
      <c r="E35" s="85"/>
      <c r="F35" s="86" t="s">
        <v>434</v>
      </c>
      <c r="G35" t="s" vm="11">
        <v>384</v>
      </c>
      <c r="I35"/>
    </row>
    <row r="36" spans="1:9" x14ac:dyDescent="0.3">
      <c r="B36" s="356" t="s">
        <v>436</v>
      </c>
      <c r="E36" s="10"/>
      <c r="F36" s="86" t="s">
        <v>435</v>
      </c>
      <c r="G36" t="s" vm="24">
        <v>340</v>
      </c>
      <c r="I36"/>
    </row>
    <row r="37" spans="1:9" x14ac:dyDescent="0.3">
      <c r="A37" s="86" t="s">
        <v>439</v>
      </c>
      <c r="B37" t="s">
        <v>438</v>
      </c>
      <c r="C37"/>
      <c r="D37"/>
      <c r="E37" s="85"/>
      <c r="G37" s="98" t="s">
        <v>435</v>
      </c>
      <c r="I37"/>
    </row>
    <row r="38" spans="1:9" x14ac:dyDescent="0.3">
      <c r="A38" s="100" t="s">
        <v>48</v>
      </c>
      <c r="B38" s="85">
        <v>0.34342785979422896</v>
      </c>
      <c r="C38"/>
      <c r="D38"/>
      <c r="E38" s="4"/>
      <c r="F38" s="86" t="s">
        <v>439</v>
      </c>
      <c r="G38" t="s">
        <v>438</v>
      </c>
      <c r="H38"/>
      <c r="I38"/>
    </row>
    <row r="39" spans="1:9" x14ac:dyDescent="0.3">
      <c r="A39" s="100" t="s">
        <v>65</v>
      </c>
      <c r="B39" s="85">
        <v>0.31471587832962966</v>
      </c>
      <c r="C39"/>
      <c r="D39"/>
      <c r="E39" s="85"/>
      <c r="F39" s="100" t="s">
        <v>73</v>
      </c>
      <c r="G39" s="85">
        <v>0.2886681540926489</v>
      </c>
      <c r="H39"/>
      <c r="I39"/>
    </row>
    <row r="40" spans="1:9" x14ac:dyDescent="0.3">
      <c r="A40" s="100" t="s">
        <v>73</v>
      </c>
      <c r="B40" s="85">
        <v>0.31839151060483684</v>
      </c>
      <c r="C40"/>
      <c r="D40"/>
      <c r="E40" s="10"/>
      <c r="F40" s="100" t="s">
        <v>48</v>
      </c>
      <c r="G40" s="85">
        <v>0.33443787452978069</v>
      </c>
      <c r="H40"/>
      <c r="I40"/>
    </row>
    <row r="41" spans="1:9" x14ac:dyDescent="0.3">
      <c r="A41" s="100" t="s">
        <v>77</v>
      </c>
      <c r="B41" s="85">
        <v>0.3911859238195452</v>
      </c>
      <c r="C41"/>
      <c r="D41"/>
      <c r="E41" s="85"/>
      <c r="F41" s="100" t="s">
        <v>77</v>
      </c>
      <c r="G41" s="85">
        <v>0.33417005812527184</v>
      </c>
      <c r="H41"/>
      <c r="I41"/>
    </row>
    <row r="42" spans="1:9" x14ac:dyDescent="0.3">
      <c r="A42" s="99" t="s">
        <v>100</v>
      </c>
      <c r="B42" s="85">
        <v>0.57682639602666141</v>
      </c>
      <c r="C42"/>
      <c r="D42"/>
      <c r="E42" s="4"/>
      <c r="F42" s="99" t="s">
        <v>72</v>
      </c>
      <c r="G42" s="85">
        <v>0.34486442324623129</v>
      </c>
      <c r="H42"/>
      <c r="I42"/>
    </row>
    <row r="43" spans="1:9" x14ac:dyDescent="0.3">
      <c r="A43" s="99" t="s">
        <v>6</v>
      </c>
      <c r="B43" s="85">
        <v>0.33502712383086786</v>
      </c>
      <c r="C43"/>
      <c r="D43"/>
      <c r="E43" s="85"/>
      <c r="F43" s="99" t="s">
        <v>74</v>
      </c>
      <c r="G43" s="85">
        <v>0.30094986347951619</v>
      </c>
      <c r="H43"/>
      <c r="I43"/>
    </row>
    <row r="44" spans="1:9" x14ac:dyDescent="0.3">
      <c r="A44"/>
      <c r="B44"/>
      <c r="C44"/>
      <c r="D44"/>
      <c r="E44" s="10"/>
      <c r="F44" s="99" t="s">
        <v>6</v>
      </c>
      <c r="G44" s="85">
        <v>0.316320272894627</v>
      </c>
      <c r="H44"/>
      <c r="I44"/>
    </row>
    <row r="45" spans="1:9" x14ac:dyDescent="0.3">
      <c r="A45"/>
      <c r="B45"/>
      <c r="C45"/>
      <c r="D45"/>
      <c r="E45" s="85"/>
      <c r="F45"/>
      <c r="G45"/>
      <c r="H45"/>
      <c r="I45"/>
    </row>
    <row r="46" spans="1:9" x14ac:dyDescent="0.3">
      <c r="A46" t="s">
        <v>743</v>
      </c>
      <c r="B46"/>
      <c r="C46"/>
      <c r="D46"/>
      <c r="E46" s="4"/>
      <c r="F46" s="99" t="s">
        <v>745</v>
      </c>
      <c r="G46"/>
      <c r="H46"/>
      <c r="I46"/>
    </row>
    <row r="47" spans="1:9" x14ac:dyDescent="0.3">
      <c r="A47"/>
      <c r="B47"/>
      <c r="C47"/>
      <c r="D47"/>
      <c r="E47" s="85"/>
      <c r="F47"/>
      <c r="G47"/>
      <c r="H47"/>
      <c r="I47"/>
    </row>
    <row r="48" spans="1:9" x14ac:dyDescent="0.3">
      <c r="A48" s="86" t="s">
        <v>432</v>
      </c>
      <c r="B48" t="s" vm="25">
        <v>721</v>
      </c>
      <c r="C48"/>
      <c r="D48"/>
      <c r="E48" s="10"/>
      <c r="F48" s="86" t="s">
        <v>432</v>
      </c>
      <c r="G48" t="s" vm="25">
        <v>721</v>
      </c>
      <c r="H48"/>
      <c r="I48"/>
    </row>
    <row r="49" spans="1:9" x14ac:dyDescent="0.3">
      <c r="A49" s="86" t="s">
        <v>434</v>
      </c>
      <c r="B49" t="s" vm="11">
        <v>384</v>
      </c>
      <c r="C49"/>
      <c r="D49"/>
      <c r="E49" s="85"/>
      <c r="F49" s="86" t="s">
        <v>434</v>
      </c>
      <c r="G49" t="s" vm="11">
        <v>384</v>
      </c>
      <c r="H49"/>
      <c r="I49"/>
    </row>
    <row r="50" spans="1:9" x14ac:dyDescent="0.3">
      <c r="A50" s="86" t="s">
        <v>435</v>
      </c>
      <c r="B50" t="s" vm="13">
        <v>106</v>
      </c>
      <c r="C50"/>
      <c r="D50"/>
      <c r="E50" s="4"/>
      <c r="F50" s="86" t="s">
        <v>435</v>
      </c>
      <c r="G50" t="s" vm="24">
        <v>340</v>
      </c>
      <c r="H50"/>
      <c r="I50"/>
    </row>
    <row r="51" spans="1:9" x14ac:dyDescent="0.3">
      <c r="B51" s="356" t="s">
        <v>436</v>
      </c>
      <c r="C51"/>
      <c r="D51"/>
      <c r="E51" s="85"/>
      <c r="G51" s="98" t="s">
        <v>435</v>
      </c>
      <c r="H51"/>
      <c r="I51"/>
    </row>
    <row r="52" spans="1:9" x14ac:dyDescent="0.3">
      <c r="A52" s="86" t="s">
        <v>439</v>
      </c>
      <c r="B52" t="s">
        <v>437</v>
      </c>
      <c r="C52"/>
      <c r="D52"/>
      <c r="E52" s="10"/>
      <c r="F52" s="86" t="s">
        <v>439</v>
      </c>
      <c r="G52" t="s">
        <v>438</v>
      </c>
      <c r="H52"/>
      <c r="I52"/>
    </row>
    <row r="53" spans="1:9" x14ac:dyDescent="0.3">
      <c r="A53" s="100" t="s">
        <v>727</v>
      </c>
      <c r="B53" s="357">
        <v>-27651945.245129686</v>
      </c>
      <c r="C53"/>
      <c r="D53"/>
      <c r="E53" s="85"/>
      <c r="F53" s="99" t="s">
        <v>723</v>
      </c>
      <c r="G53" s="85">
        <v>-0.10924759213862682</v>
      </c>
      <c r="H53"/>
      <c r="I53"/>
    </row>
    <row r="54" spans="1:9" x14ac:dyDescent="0.3">
      <c r="A54" s="100" t="s">
        <v>730</v>
      </c>
      <c r="B54" s="357">
        <v>-15162746.715691213</v>
      </c>
      <c r="C54"/>
      <c r="D54"/>
      <c r="E54" s="4"/>
      <c r="F54" s="99" t="s">
        <v>55</v>
      </c>
      <c r="G54" s="85">
        <v>-0.12279928085984045</v>
      </c>
      <c r="H54"/>
      <c r="I54"/>
    </row>
    <row r="55" spans="1:9" x14ac:dyDescent="0.3">
      <c r="A55" s="100" t="s">
        <v>723</v>
      </c>
      <c r="B55" s="357">
        <v>-10348591.065395787</v>
      </c>
      <c r="C55"/>
      <c r="D55"/>
      <c r="E55" s="85"/>
      <c r="F55" s="99" t="s">
        <v>724</v>
      </c>
      <c r="G55" s="85">
        <v>-9.9668380386121029</v>
      </c>
      <c r="H55"/>
      <c r="I55"/>
    </row>
    <row r="56" spans="1:9" x14ac:dyDescent="0.3">
      <c r="A56" s="100" t="s">
        <v>724</v>
      </c>
      <c r="B56" s="357">
        <v>-6289323.9733152017</v>
      </c>
      <c r="C56"/>
      <c r="D56"/>
      <c r="E56" s="10"/>
      <c r="F56" s="99" t="s">
        <v>727</v>
      </c>
      <c r="G56" s="85">
        <v>-0.80566054915511043</v>
      </c>
      <c r="H56"/>
      <c r="I56"/>
    </row>
    <row r="57" spans="1:9" x14ac:dyDescent="0.3">
      <c r="A57" s="100" t="s">
        <v>59</v>
      </c>
      <c r="B57" s="357">
        <v>-3679681.6479596337</v>
      </c>
      <c r="C57"/>
      <c r="D57"/>
      <c r="E57" s="85"/>
      <c r="F57" s="99" t="s">
        <v>736</v>
      </c>
      <c r="G57" s="85">
        <v>-4105.3353495432393</v>
      </c>
      <c r="H57"/>
      <c r="I57"/>
    </row>
    <row r="58" spans="1:9" x14ac:dyDescent="0.3">
      <c r="A58" s="99" t="s">
        <v>71</v>
      </c>
      <c r="B58" s="4">
        <v>-3096721.1099999994</v>
      </c>
      <c r="C58"/>
      <c r="D58"/>
      <c r="E58" s="4"/>
      <c r="F58" s="99" t="s">
        <v>6</v>
      </c>
      <c r="G58" s="85">
        <v>-0.84321831815294457</v>
      </c>
      <c r="H58"/>
      <c r="I58"/>
    </row>
    <row r="59" spans="1:9" x14ac:dyDescent="0.3">
      <c r="A59" s="99" t="s">
        <v>67</v>
      </c>
      <c r="B59" s="4">
        <v>-2750655.5</v>
      </c>
      <c r="C59"/>
      <c r="D59"/>
      <c r="E59" s="85"/>
      <c r="F59"/>
      <c r="G59"/>
      <c r="H59"/>
      <c r="I59"/>
    </row>
    <row r="60" spans="1:9" x14ac:dyDescent="0.3">
      <c r="A60" s="99" t="s">
        <v>722</v>
      </c>
      <c r="B60" s="4">
        <v>-863316</v>
      </c>
      <c r="C60"/>
      <c r="D60"/>
      <c r="E60" s="10"/>
      <c r="F60"/>
      <c r="G60"/>
      <c r="H60"/>
      <c r="I60"/>
    </row>
    <row r="61" spans="1:9" x14ac:dyDescent="0.3">
      <c r="A61" s="99" t="s">
        <v>732</v>
      </c>
      <c r="B61" s="4">
        <v>-835570</v>
      </c>
      <c r="C61"/>
      <c r="D61"/>
      <c r="E61" s="85"/>
      <c r="F61"/>
      <c r="G61"/>
      <c r="H61"/>
      <c r="I61"/>
    </row>
    <row r="62" spans="1:9" x14ac:dyDescent="0.3">
      <c r="A62" s="99" t="s">
        <v>725</v>
      </c>
      <c r="B62" s="4">
        <v>-14878.5</v>
      </c>
      <c r="C62"/>
      <c r="D62"/>
      <c r="E62" s="4"/>
      <c r="F62" s="86" t="s">
        <v>432</v>
      </c>
      <c r="G62" t="s" vm="25">
        <v>721</v>
      </c>
      <c r="H62"/>
      <c r="I62"/>
    </row>
    <row r="63" spans="1:9" x14ac:dyDescent="0.3">
      <c r="A63" s="99" t="s">
        <v>729</v>
      </c>
      <c r="B63" s="4">
        <v>822536.68022661284</v>
      </c>
      <c r="C63"/>
      <c r="D63"/>
      <c r="E63" s="85"/>
      <c r="F63" s="86" t="s">
        <v>434</v>
      </c>
      <c r="G63" t="s" vm="11">
        <v>384</v>
      </c>
      <c r="H63"/>
      <c r="I63"/>
    </row>
    <row r="64" spans="1:9" x14ac:dyDescent="0.3">
      <c r="A64" s="99" t="s">
        <v>63</v>
      </c>
      <c r="B64" s="4">
        <v>8091169.2991085974</v>
      </c>
      <c r="C64"/>
      <c r="D64"/>
      <c r="E64" s="10"/>
      <c r="F64" s="86" t="s">
        <v>435</v>
      </c>
      <c r="G64" t="s" vm="24">
        <v>340</v>
      </c>
      <c r="H64"/>
      <c r="I64"/>
    </row>
    <row r="65" spans="1:9" x14ac:dyDescent="0.3">
      <c r="A65" s="99" t="s">
        <v>60</v>
      </c>
      <c r="B65" s="4">
        <v>12880665.967988966</v>
      </c>
      <c r="C65"/>
      <c r="D65"/>
      <c r="E65" s="85"/>
      <c r="G65" s="98" t="s">
        <v>435</v>
      </c>
      <c r="H65"/>
      <c r="I65"/>
    </row>
    <row r="66" spans="1:9" x14ac:dyDescent="0.3">
      <c r="A66" s="99" t="s">
        <v>100</v>
      </c>
      <c r="B66" s="4">
        <v>14032474.771411661</v>
      </c>
      <c r="C66"/>
      <c r="D66"/>
      <c r="E66" s="4"/>
      <c r="F66" s="86" t="s">
        <v>439</v>
      </c>
      <c r="G66" t="s">
        <v>437</v>
      </c>
      <c r="H66"/>
      <c r="I66"/>
    </row>
    <row r="67" spans="1:9" x14ac:dyDescent="0.3">
      <c r="A67" s="99" t="s">
        <v>61</v>
      </c>
      <c r="B67" s="4">
        <v>15407731.179886829</v>
      </c>
      <c r="C67"/>
      <c r="D67"/>
      <c r="E67" s="85"/>
      <c r="F67" s="99" t="s">
        <v>736</v>
      </c>
      <c r="G67" s="4">
        <v>-52067968.238256909</v>
      </c>
      <c r="H67"/>
      <c r="I67"/>
    </row>
    <row r="68" spans="1:9" x14ac:dyDescent="0.3">
      <c r="A68" s="99" t="s">
        <v>76</v>
      </c>
      <c r="B68" s="4">
        <v>29859955.084892489</v>
      </c>
      <c r="C68"/>
      <c r="D68"/>
      <c r="E68" s="10"/>
      <c r="F68" s="99" t="s">
        <v>737</v>
      </c>
      <c r="G68" s="4">
        <v>-28305479.469999999</v>
      </c>
      <c r="H68"/>
      <c r="I68"/>
    </row>
    <row r="69" spans="1:9" x14ac:dyDescent="0.3">
      <c r="A69" s="99" t="s">
        <v>734</v>
      </c>
      <c r="B69" s="4">
        <v>30660183.372848976</v>
      </c>
      <c r="C69"/>
      <c r="D69"/>
      <c r="E69" s="85"/>
      <c r="F69" s="359" t="s">
        <v>727</v>
      </c>
      <c r="G69" s="360">
        <v>-13523092.077962894</v>
      </c>
      <c r="H69"/>
      <c r="I69"/>
    </row>
    <row r="70" spans="1:9" x14ac:dyDescent="0.3">
      <c r="A70" s="99" t="s">
        <v>728</v>
      </c>
      <c r="B70" s="4">
        <v>36956930.884907193</v>
      </c>
      <c r="C70"/>
      <c r="D70"/>
      <c r="E70" s="4"/>
      <c r="F70" s="359" t="s">
        <v>729</v>
      </c>
      <c r="G70" s="360">
        <v>-6669074.0555945998</v>
      </c>
      <c r="H70"/>
      <c r="I70"/>
    </row>
    <row r="71" spans="1:9" x14ac:dyDescent="0.3">
      <c r="A71" s="99" t="s">
        <v>68</v>
      </c>
      <c r="B71" s="4">
        <v>48946967.217463702</v>
      </c>
      <c r="C71"/>
      <c r="D71"/>
      <c r="E71" s="85"/>
      <c r="F71" s="359" t="s">
        <v>724</v>
      </c>
      <c r="G71" s="360">
        <v>-6289323.9733152017</v>
      </c>
      <c r="H71"/>
      <c r="I71"/>
    </row>
    <row r="72" spans="1:9" x14ac:dyDescent="0.3">
      <c r="A72" s="99" t="s">
        <v>69</v>
      </c>
      <c r="B72" s="4">
        <v>53145567.300981142</v>
      </c>
      <c r="C72"/>
      <c r="D72"/>
      <c r="E72" s="10"/>
      <c r="F72" s="359" t="s">
        <v>723</v>
      </c>
      <c r="G72" s="360">
        <v>-4660020.0617621206</v>
      </c>
      <c r="H72"/>
      <c r="I72"/>
    </row>
    <row r="73" spans="1:9" x14ac:dyDescent="0.3">
      <c r="A73" s="99" t="s">
        <v>47</v>
      </c>
      <c r="B73" s="4">
        <v>60175805.253012456</v>
      </c>
      <c r="C73"/>
      <c r="D73"/>
      <c r="E73" s="85"/>
      <c r="F73" s="359" t="s">
        <v>55</v>
      </c>
      <c r="G73" s="360">
        <v>-4410727.1649914272</v>
      </c>
      <c r="H73"/>
      <c r="I73"/>
    </row>
    <row r="74" spans="1:9" x14ac:dyDescent="0.3">
      <c r="A74" s="99" t="s">
        <v>58</v>
      </c>
      <c r="B74" s="4">
        <v>61231556.178372525</v>
      </c>
      <c r="C74"/>
      <c r="D74"/>
      <c r="E74" s="4"/>
      <c r="F74" s="359" t="s">
        <v>104</v>
      </c>
      <c r="G74" s="360">
        <v>-3109700.6895019817</v>
      </c>
      <c r="H74"/>
      <c r="I74"/>
    </row>
    <row r="75" spans="1:9" x14ac:dyDescent="0.3">
      <c r="A75" s="99" t="s">
        <v>726</v>
      </c>
      <c r="B75" s="4">
        <v>62023074.74998147</v>
      </c>
      <c r="C75"/>
      <c r="D75"/>
      <c r="E75" s="85"/>
      <c r="F75" s="359" t="s">
        <v>60</v>
      </c>
      <c r="G75" s="360">
        <v>-876876.71773515432</v>
      </c>
      <c r="H75"/>
      <c r="I75"/>
    </row>
    <row r="76" spans="1:9" x14ac:dyDescent="0.3">
      <c r="A76" s="99" t="s">
        <v>55</v>
      </c>
      <c r="B76" s="4">
        <v>67677309.935575217</v>
      </c>
      <c r="C76"/>
      <c r="D76"/>
      <c r="E76" s="10"/>
      <c r="F76" s="99" t="s">
        <v>722</v>
      </c>
      <c r="G76" s="4">
        <v>-863316</v>
      </c>
      <c r="H76"/>
      <c r="I76"/>
    </row>
    <row r="77" spans="1:9" x14ac:dyDescent="0.3">
      <c r="A77" s="99" t="s">
        <v>733</v>
      </c>
      <c r="B77" s="4">
        <v>71484175.398933619</v>
      </c>
      <c r="C77"/>
      <c r="D77"/>
      <c r="E77" s="85"/>
      <c r="F77" s="99" t="s">
        <v>732</v>
      </c>
      <c r="G77" s="4">
        <v>-835570</v>
      </c>
      <c r="H77"/>
      <c r="I77"/>
    </row>
    <row r="78" spans="1:9" x14ac:dyDescent="0.3">
      <c r="A78" s="99" t="s">
        <v>104</v>
      </c>
      <c r="B78" s="4">
        <v>72484729.19186765</v>
      </c>
      <c r="C78"/>
      <c r="D78"/>
      <c r="E78" s="4"/>
      <c r="F78" s="99" t="s">
        <v>71</v>
      </c>
      <c r="G78" s="4">
        <v>-619313.29</v>
      </c>
      <c r="H78"/>
      <c r="I78"/>
    </row>
    <row r="79" spans="1:9" x14ac:dyDescent="0.3">
      <c r="A79" s="99" t="s">
        <v>56</v>
      </c>
      <c r="B79" s="4">
        <v>75720412.385679558</v>
      </c>
      <c r="C79"/>
      <c r="D79"/>
      <c r="E79" s="85"/>
      <c r="F79" s="99" t="s">
        <v>67</v>
      </c>
      <c r="G79" s="4">
        <v>-549961.43999999994</v>
      </c>
      <c r="H79"/>
      <c r="I79"/>
    </row>
    <row r="80" spans="1:9" x14ac:dyDescent="0.3">
      <c r="A80" s="99" t="s">
        <v>66</v>
      </c>
      <c r="B80" s="4">
        <v>76961813.569176719</v>
      </c>
      <c r="C80"/>
      <c r="D80"/>
      <c r="E80" s="10"/>
      <c r="F80" s="99" t="s">
        <v>738</v>
      </c>
      <c r="G80" s="4">
        <v>-104739</v>
      </c>
    </row>
    <row r="81" spans="1:7" x14ac:dyDescent="0.3">
      <c r="A81" s="99" t="s">
        <v>54</v>
      </c>
      <c r="B81" s="4">
        <v>77421933.993156984</v>
      </c>
      <c r="C81"/>
      <c r="D81"/>
      <c r="E81" s="85"/>
      <c r="F81" s="99" t="s">
        <v>100</v>
      </c>
      <c r="G81" s="4">
        <v>0</v>
      </c>
    </row>
    <row r="82" spans="1:7" x14ac:dyDescent="0.3">
      <c r="A82" s="99" t="s">
        <v>62</v>
      </c>
      <c r="B82" s="4">
        <v>77918802.336934358</v>
      </c>
      <c r="C82"/>
      <c r="D82"/>
      <c r="E82" s="4"/>
      <c r="F82" s="99" t="s">
        <v>63</v>
      </c>
      <c r="G82" s="4">
        <v>116876.44624520838</v>
      </c>
    </row>
    <row r="83" spans="1:7" x14ac:dyDescent="0.3">
      <c r="A83" s="99" t="s">
        <v>52</v>
      </c>
      <c r="B83" s="4">
        <v>86526819.946364343</v>
      </c>
      <c r="C83"/>
      <c r="D83"/>
      <c r="E83" s="85"/>
      <c r="F83" s="99" t="s">
        <v>61</v>
      </c>
      <c r="G83" s="4">
        <v>317955.52936161589</v>
      </c>
    </row>
    <row r="84" spans="1:7" x14ac:dyDescent="0.3">
      <c r="A84" s="99" t="s">
        <v>57</v>
      </c>
      <c r="B84" s="4">
        <v>98616772.333739772</v>
      </c>
      <c r="C84"/>
      <c r="D84"/>
      <c r="E84" s="10"/>
      <c r="F84" s="99" t="s">
        <v>733</v>
      </c>
      <c r="G84" s="4">
        <v>2074371.8986298633</v>
      </c>
    </row>
    <row r="85" spans="1:7" x14ac:dyDescent="0.3">
      <c r="A85" s="99" t="s">
        <v>75</v>
      </c>
      <c r="B85" s="4">
        <v>100965546.50547853</v>
      </c>
      <c r="C85"/>
      <c r="D85"/>
      <c r="E85" s="85"/>
      <c r="F85" s="99" t="s">
        <v>59</v>
      </c>
      <c r="G85" s="4">
        <v>2454312.3880909421</v>
      </c>
    </row>
    <row r="86" spans="1:7" x14ac:dyDescent="0.3">
      <c r="A86" s="99" t="s">
        <v>78</v>
      </c>
      <c r="B86" s="4">
        <v>101078062.26098382</v>
      </c>
      <c r="C86"/>
      <c r="D86"/>
      <c r="E86" s="4"/>
      <c r="F86" s="99" t="s">
        <v>730</v>
      </c>
      <c r="G86" s="4">
        <v>2495634.9393103896</v>
      </c>
    </row>
    <row r="87" spans="1:7" x14ac:dyDescent="0.3">
      <c r="A87" s="99" t="s">
        <v>49</v>
      </c>
      <c r="B87" s="4">
        <v>106393132.01924042</v>
      </c>
      <c r="C87"/>
      <c r="D87"/>
      <c r="E87" s="85"/>
      <c r="F87" s="99" t="s">
        <v>58</v>
      </c>
      <c r="G87" s="4">
        <v>3597102.7619721633</v>
      </c>
    </row>
    <row r="88" spans="1:7" x14ac:dyDescent="0.3">
      <c r="A88" s="99" t="s">
        <v>53</v>
      </c>
      <c r="B88" s="4">
        <v>124160093.2514413</v>
      </c>
      <c r="C88"/>
      <c r="D88"/>
      <c r="E88" s="10"/>
      <c r="F88" s="99" t="s">
        <v>76</v>
      </c>
      <c r="G88" s="4">
        <v>4269626.7796536312</v>
      </c>
    </row>
    <row r="89" spans="1:7" x14ac:dyDescent="0.3">
      <c r="A89" s="99" t="s">
        <v>338</v>
      </c>
      <c r="B89" s="4">
        <v>124306685.34380443</v>
      </c>
      <c r="C89"/>
      <c r="D89"/>
      <c r="E89" s="85"/>
      <c r="F89" s="99" t="s">
        <v>734</v>
      </c>
      <c r="G89" s="4">
        <v>5489470.4069125568</v>
      </c>
    </row>
    <row r="90" spans="1:7" x14ac:dyDescent="0.3">
      <c r="A90" s="99" t="s">
        <v>64</v>
      </c>
      <c r="B90" s="4">
        <v>131193088.65202083</v>
      </c>
      <c r="C90"/>
      <c r="D90"/>
      <c r="E90" s="4"/>
      <c r="F90" s="99" t="s">
        <v>49</v>
      </c>
      <c r="G90" s="4">
        <v>5799335.4341563685</v>
      </c>
    </row>
    <row r="91" spans="1:7" x14ac:dyDescent="0.3">
      <c r="A91" s="99" t="s">
        <v>77</v>
      </c>
      <c r="B91" s="4">
        <v>131324789.42678969</v>
      </c>
      <c r="C91"/>
      <c r="D91"/>
      <c r="E91" s="85"/>
      <c r="F91" s="99" t="s">
        <v>728</v>
      </c>
      <c r="G91" s="4">
        <v>6972460.8512363173</v>
      </c>
    </row>
    <row r="92" spans="1:7" x14ac:dyDescent="0.3">
      <c r="A92" s="99" t="s">
        <v>70</v>
      </c>
      <c r="B92" s="4">
        <v>145841865.84779873</v>
      </c>
      <c r="C92"/>
      <c r="D92"/>
      <c r="E92" s="10"/>
      <c r="F92" s="99" t="s">
        <v>69</v>
      </c>
      <c r="G92" s="4">
        <v>7292244.891158619</v>
      </c>
    </row>
    <row r="93" spans="1:7" x14ac:dyDescent="0.3">
      <c r="A93" s="99" t="s">
        <v>80</v>
      </c>
      <c r="B93" s="4">
        <v>153149943.11263537</v>
      </c>
      <c r="E93" s="85"/>
      <c r="F93" s="99" t="s">
        <v>75</v>
      </c>
      <c r="G93" s="4">
        <v>12001604.849007199</v>
      </c>
    </row>
    <row r="94" spans="1:7" x14ac:dyDescent="0.3">
      <c r="A94" s="99" t="s">
        <v>48</v>
      </c>
      <c r="B94" s="4">
        <v>154946002.48221862</v>
      </c>
      <c r="E94" s="4"/>
      <c r="F94" s="99" t="s">
        <v>726</v>
      </c>
      <c r="G94" s="4">
        <v>12180561.623299554</v>
      </c>
    </row>
    <row r="95" spans="1:7" x14ac:dyDescent="0.3">
      <c r="A95" s="99" t="s">
        <v>731</v>
      </c>
      <c r="B95" s="4">
        <v>158710095.44028699</v>
      </c>
      <c r="E95" s="85"/>
      <c r="F95" s="99" t="s">
        <v>68</v>
      </c>
      <c r="G95" s="4">
        <v>12822591.808711849</v>
      </c>
    </row>
    <row r="96" spans="1:7" x14ac:dyDescent="0.3">
      <c r="A96" s="99" t="s">
        <v>74</v>
      </c>
      <c r="B96" s="4">
        <v>164808134.39507487</v>
      </c>
      <c r="E96" s="10"/>
      <c r="F96" s="99" t="s">
        <v>80</v>
      </c>
      <c r="G96" s="4">
        <v>13708191.174137518</v>
      </c>
    </row>
    <row r="97" spans="1:7" x14ac:dyDescent="0.3">
      <c r="A97" s="99" t="s">
        <v>735</v>
      </c>
      <c r="B97" s="4">
        <v>170205999.9785479</v>
      </c>
      <c r="E97" s="85"/>
      <c r="F97" s="99" t="s">
        <v>52</v>
      </c>
      <c r="G97" s="4">
        <v>15617052.808968745</v>
      </c>
    </row>
    <row r="98" spans="1:7" x14ac:dyDescent="0.3">
      <c r="A98" s="355" t="s">
        <v>65</v>
      </c>
      <c r="B98" s="4">
        <v>180722537.23961127</v>
      </c>
      <c r="E98" s="4"/>
      <c r="F98" s="99" t="s">
        <v>66</v>
      </c>
      <c r="G98" s="4">
        <v>17055499.787980765</v>
      </c>
    </row>
    <row r="99" spans="1:7" x14ac:dyDescent="0.3">
      <c r="A99" s="355" t="s">
        <v>51</v>
      </c>
      <c r="B99" s="4">
        <v>224521379.31891575</v>
      </c>
      <c r="E99" s="85"/>
      <c r="F99" s="99" t="s">
        <v>57</v>
      </c>
      <c r="G99" s="4">
        <v>18083761.558547825</v>
      </c>
    </row>
    <row r="100" spans="1:7" x14ac:dyDescent="0.3">
      <c r="A100" s="355" t="s">
        <v>50</v>
      </c>
      <c r="B100" s="4">
        <v>236000655.72180799</v>
      </c>
      <c r="E100" s="10"/>
      <c r="F100" s="99" t="s">
        <v>62</v>
      </c>
      <c r="G100" s="4">
        <v>18232674.517967578</v>
      </c>
    </row>
    <row r="101" spans="1:7" x14ac:dyDescent="0.3">
      <c r="A101" s="355" t="s">
        <v>72</v>
      </c>
      <c r="B101" s="4">
        <v>243252841.93913671</v>
      </c>
      <c r="E101" s="85"/>
      <c r="F101" s="355" t="s">
        <v>78</v>
      </c>
      <c r="G101" s="361">
        <v>19087514.906028256</v>
      </c>
    </row>
    <row r="102" spans="1:7" x14ac:dyDescent="0.3">
      <c r="A102" s="355" t="s">
        <v>73</v>
      </c>
      <c r="B102" s="4">
        <v>322723607.26607931</v>
      </c>
      <c r="E102" s="4"/>
      <c r="F102" s="355" t="s">
        <v>56</v>
      </c>
      <c r="G102" s="361">
        <v>21201580.485122465</v>
      </c>
    </row>
    <row r="103" spans="1:7" x14ac:dyDescent="0.3">
      <c r="A103" s="355" t="s">
        <v>79</v>
      </c>
      <c r="B103" s="4">
        <v>359272342.02354884</v>
      </c>
      <c r="E103" s="85"/>
      <c r="F103" s="355" t="s">
        <v>53</v>
      </c>
      <c r="G103" s="361">
        <v>21655924.351804465</v>
      </c>
    </row>
    <row r="104" spans="1:7" x14ac:dyDescent="0.3">
      <c r="A104" s="99" t="s">
        <v>6</v>
      </c>
      <c r="B104" s="4">
        <v>4401930759.5004387</v>
      </c>
      <c r="E104" s="10"/>
      <c r="F104" s="355" t="s">
        <v>54</v>
      </c>
      <c r="G104" s="361">
        <v>21884883.368005507</v>
      </c>
    </row>
    <row r="105" spans="1:7" x14ac:dyDescent="0.3">
      <c r="A105"/>
      <c r="B105"/>
      <c r="E105" s="85"/>
      <c r="F105" s="355" t="s">
        <v>64</v>
      </c>
      <c r="G105" s="361">
        <v>21933547.996909343</v>
      </c>
    </row>
    <row r="106" spans="1:7" x14ac:dyDescent="0.3">
      <c r="E106" s="4"/>
      <c r="F106" s="355" t="s">
        <v>77</v>
      </c>
      <c r="G106" s="361">
        <v>22236858.96383141</v>
      </c>
    </row>
    <row r="107" spans="1:7" x14ac:dyDescent="0.3">
      <c r="A107" s="356" t="s">
        <v>744</v>
      </c>
      <c r="E107" s="85"/>
      <c r="F107" s="355" t="s">
        <v>731</v>
      </c>
      <c r="G107" s="361">
        <v>22660311.490475543</v>
      </c>
    </row>
    <row r="108" spans="1:7" x14ac:dyDescent="0.3">
      <c r="E108" s="10"/>
      <c r="F108" s="355" t="s">
        <v>65</v>
      </c>
      <c r="G108" s="361">
        <v>23628776.126723357</v>
      </c>
    </row>
    <row r="109" spans="1:7" x14ac:dyDescent="0.3">
      <c r="E109" s="85"/>
      <c r="F109" s="355" t="s">
        <v>338</v>
      </c>
      <c r="G109" s="361">
        <v>24620713.539744012</v>
      </c>
    </row>
    <row r="110" spans="1:7" x14ac:dyDescent="0.3">
      <c r="A110" s="86" t="s">
        <v>432</v>
      </c>
      <c r="B110" t="s" vm="25">
        <v>721</v>
      </c>
      <c r="E110" s="4"/>
      <c r="F110" s="355" t="s">
        <v>47</v>
      </c>
      <c r="G110" s="361">
        <v>25349218.970002241</v>
      </c>
    </row>
    <row r="111" spans="1:7" x14ac:dyDescent="0.3">
      <c r="A111" s="86" t="s">
        <v>434</v>
      </c>
      <c r="B111" t="s" vm="11">
        <v>384</v>
      </c>
      <c r="E111" s="85"/>
      <c r="F111" s="355" t="s">
        <v>70</v>
      </c>
      <c r="G111" s="361">
        <v>31005781.035214938</v>
      </c>
    </row>
    <row r="112" spans="1:7" x14ac:dyDescent="0.3">
      <c r="A112" s="86" t="s">
        <v>435</v>
      </c>
      <c r="B112" t="s" vm="13">
        <v>106</v>
      </c>
      <c r="E112" s="10"/>
      <c r="F112" s="355" t="s">
        <v>50</v>
      </c>
      <c r="G112" s="361">
        <v>31226421.287860315</v>
      </c>
    </row>
    <row r="113" spans="1:7" x14ac:dyDescent="0.3">
      <c r="B113" s="356" t="s">
        <v>436</v>
      </c>
      <c r="E113" s="85"/>
      <c r="F113" s="355" t="s">
        <v>48</v>
      </c>
      <c r="G113" s="361">
        <v>32826557.607130643</v>
      </c>
    </row>
    <row r="114" spans="1:7" x14ac:dyDescent="0.3">
      <c r="A114" s="86" t="s">
        <v>439</v>
      </c>
      <c r="B114" t="s">
        <v>438</v>
      </c>
      <c r="E114" s="4"/>
      <c r="F114" s="355" t="s">
        <v>74</v>
      </c>
      <c r="G114" s="361">
        <v>35235596.435806461</v>
      </c>
    </row>
    <row r="115" spans="1:7" x14ac:dyDescent="0.3">
      <c r="A115" s="100" t="s">
        <v>724</v>
      </c>
      <c r="B115" s="358">
        <v>-9.9668380386121029</v>
      </c>
      <c r="E115" s="85"/>
      <c r="F115" s="355" t="s">
        <v>735</v>
      </c>
      <c r="G115" s="361">
        <v>35810601.186181366</v>
      </c>
    </row>
    <row r="116" spans="1:7" x14ac:dyDescent="0.3">
      <c r="A116" s="100" t="s">
        <v>727</v>
      </c>
      <c r="B116" s="358">
        <v>-1.6068860097800863</v>
      </c>
      <c r="E116" s="10"/>
      <c r="F116" s="355" t="s">
        <v>51</v>
      </c>
      <c r="G116" s="361">
        <v>51384754.378443792</v>
      </c>
    </row>
    <row r="117" spans="1:7" x14ac:dyDescent="0.3">
      <c r="A117" s="100" t="s">
        <v>730</v>
      </c>
      <c r="B117" s="358">
        <v>-0.17992765673937294</v>
      </c>
      <c r="E117" s="85"/>
      <c r="F117" s="355" t="s">
        <v>72</v>
      </c>
      <c r="G117" s="361">
        <v>58786311.042926021</v>
      </c>
    </row>
    <row r="118" spans="1:7" x14ac:dyDescent="0.3">
      <c r="A118" s="100" t="s">
        <v>59</v>
      </c>
      <c r="B118" s="358">
        <v>-9.0301537716930391E-2</v>
      </c>
      <c r="E118" s="4"/>
      <c r="F118" s="355" t="s">
        <v>73</v>
      </c>
      <c r="G118" s="361">
        <v>62972010.98376593</v>
      </c>
    </row>
    <row r="119" spans="1:7" x14ac:dyDescent="0.3">
      <c r="A119" s="100" t="s">
        <v>723</v>
      </c>
      <c r="B119" s="358">
        <v>-4.5029209597039647E-2</v>
      </c>
      <c r="E119" s="85"/>
      <c r="F119" s="355" t="s">
        <v>79</v>
      </c>
      <c r="G119" s="361">
        <v>75609817.342944801</v>
      </c>
    </row>
    <row r="120" spans="1:7" hidden="1" x14ac:dyDescent="0.3">
      <c r="A120" s="99" t="s">
        <v>722</v>
      </c>
      <c r="B120" s="85">
        <v>0</v>
      </c>
      <c r="E120" s="10"/>
      <c r="F120" s="99" t="s">
        <v>6</v>
      </c>
      <c r="G120" s="4">
        <v>676813349.77514911</v>
      </c>
    </row>
    <row r="121" spans="1:7" hidden="1" x14ac:dyDescent="0.3">
      <c r="A121" s="99" t="s">
        <v>67</v>
      </c>
      <c r="B121" s="85">
        <v>0</v>
      </c>
      <c r="E121" s="85"/>
      <c r="F121" s="85"/>
      <c r="G121" s="85"/>
    </row>
    <row r="122" spans="1:7" hidden="1" x14ac:dyDescent="0.3">
      <c r="A122" s="99" t="s">
        <v>71</v>
      </c>
      <c r="B122" s="85">
        <v>0</v>
      </c>
      <c r="E122" s="4"/>
      <c r="F122" s="4"/>
      <c r="G122" s="4"/>
    </row>
    <row r="123" spans="1:7" hidden="1" x14ac:dyDescent="0.3">
      <c r="A123" s="99" t="s">
        <v>725</v>
      </c>
      <c r="B123" s="85">
        <v>0</v>
      </c>
      <c r="E123" s="85"/>
      <c r="F123" s="85"/>
      <c r="G123" s="85"/>
    </row>
    <row r="124" spans="1:7" hidden="1" x14ac:dyDescent="0.3">
      <c r="A124" s="99" t="s">
        <v>732</v>
      </c>
      <c r="B124" s="85">
        <v>0</v>
      </c>
      <c r="E124" s="10"/>
      <c r="F124" s="10"/>
      <c r="G124" s="10"/>
    </row>
    <row r="125" spans="1:7" hidden="1" x14ac:dyDescent="0.3">
      <c r="A125" s="99" t="s">
        <v>738</v>
      </c>
      <c r="B125" s="85">
        <v>0</v>
      </c>
      <c r="E125" s="85"/>
      <c r="F125" s="85"/>
      <c r="G125" s="85"/>
    </row>
    <row r="126" spans="1:7" hidden="1" x14ac:dyDescent="0.3">
      <c r="A126" s="99" t="s">
        <v>737</v>
      </c>
      <c r="B126" s="85">
        <v>0</v>
      </c>
      <c r="E126" s="4"/>
      <c r="F126" s="4"/>
      <c r="G126" s="4"/>
    </row>
    <row r="127" spans="1:7" x14ac:dyDescent="0.3">
      <c r="A127" s="99" t="s">
        <v>729</v>
      </c>
      <c r="B127" s="85">
        <v>1.3720849290913824E-3</v>
      </c>
      <c r="E127" s="85"/>
      <c r="F127" s="85"/>
      <c r="G127" s="85"/>
    </row>
    <row r="128" spans="1:7" x14ac:dyDescent="0.3">
      <c r="A128" s="99" t="s">
        <v>60</v>
      </c>
      <c r="B128" s="85">
        <v>5.3961011766214331E-2</v>
      </c>
      <c r="E128" s="10"/>
      <c r="F128" s="10"/>
      <c r="G128" s="10"/>
    </row>
    <row r="129" spans="1:7" x14ac:dyDescent="0.3">
      <c r="A129" s="99" t="s">
        <v>104</v>
      </c>
      <c r="B129" s="85">
        <v>6.5360957810085454E-2</v>
      </c>
      <c r="E129" s="85"/>
      <c r="F129" s="85"/>
      <c r="G129" s="85"/>
    </row>
    <row r="130" spans="1:7" x14ac:dyDescent="0.3">
      <c r="A130" s="99" t="s">
        <v>63</v>
      </c>
      <c r="B130" s="85">
        <v>0.10921460119003762</v>
      </c>
      <c r="E130" s="4"/>
      <c r="F130" s="4"/>
      <c r="G130" s="4"/>
    </row>
    <row r="131" spans="1:7" x14ac:dyDescent="0.3">
      <c r="A131" s="99" t="s">
        <v>54</v>
      </c>
      <c r="B131" s="85">
        <v>0.11574742814003272</v>
      </c>
      <c r="E131" s="85"/>
      <c r="F131" s="85"/>
      <c r="G131" s="85"/>
    </row>
    <row r="132" spans="1:7" x14ac:dyDescent="0.3">
      <c r="A132" s="99" t="s">
        <v>726</v>
      </c>
      <c r="B132" s="85">
        <v>0.11824750358708377</v>
      </c>
      <c r="E132" s="10"/>
      <c r="F132" s="10"/>
      <c r="G132" s="10"/>
    </row>
    <row r="133" spans="1:7" x14ac:dyDescent="0.3">
      <c r="A133" s="99" t="s">
        <v>728</v>
      </c>
      <c r="B133" s="85">
        <v>0.11862075437852596</v>
      </c>
      <c r="E133" s="85"/>
      <c r="F133" s="85"/>
      <c r="G133" s="85"/>
    </row>
    <row r="134" spans="1:7" x14ac:dyDescent="0.3">
      <c r="A134" s="99" t="s">
        <v>68</v>
      </c>
      <c r="B134" s="85">
        <v>0.13377940240742656</v>
      </c>
      <c r="E134" s="4"/>
      <c r="F134" s="4"/>
      <c r="G134" s="4"/>
    </row>
    <row r="135" spans="1:7" x14ac:dyDescent="0.3">
      <c r="A135" s="99" t="s">
        <v>734</v>
      </c>
      <c r="B135" s="85">
        <v>0.13445816596373436</v>
      </c>
      <c r="E135" s="85"/>
      <c r="F135" s="85"/>
      <c r="G135" s="85"/>
    </row>
    <row r="136" spans="1:7" x14ac:dyDescent="0.3">
      <c r="A136" s="99" t="s">
        <v>58</v>
      </c>
      <c r="B136" s="85">
        <v>0.13638216055660907</v>
      </c>
      <c r="E136" s="10"/>
      <c r="F136" s="10"/>
      <c r="G136" s="10"/>
    </row>
    <row r="137" spans="1:7" x14ac:dyDescent="0.3">
      <c r="A137" s="99" t="s">
        <v>76</v>
      </c>
      <c r="B137" s="85">
        <v>0.1428991974761939</v>
      </c>
      <c r="E137" s="85"/>
      <c r="F137" s="85"/>
      <c r="G137" s="85"/>
    </row>
    <row r="138" spans="1:7" x14ac:dyDescent="0.3">
      <c r="A138" s="99" t="s">
        <v>47</v>
      </c>
      <c r="B138" s="85">
        <v>0.14502259612927001</v>
      </c>
      <c r="E138" s="4"/>
      <c r="F138" s="4"/>
      <c r="G138" s="4"/>
    </row>
    <row r="139" spans="1:7" x14ac:dyDescent="0.3">
      <c r="A139" s="99" t="s">
        <v>80</v>
      </c>
      <c r="B139" s="85">
        <v>0.14698126099518888</v>
      </c>
      <c r="E139" s="85"/>
      <c r="F139" s="85"/>
      <c r="G139" s="85"/>
    </row>
    <row r="140" spans="1:7" x14ac:dyDescent="0.3">
      <c r="A140" s="99" t="s">
        <v>733</v>
      </c>
      <c r="B140" s="85">
        <v>0.17309646908849227</v>
      </c>
      <c r="E140" s="10"/>
      <c r="F140" s="10"/>
      <c r="G140" s="10"/>
    </row>
    <row r="141" spans="1:7" x14ac:dyDescent="0.3">
      <c r="A141" s="99" t="s">
        <v>61</v>
      </c>
      <c r="B141" s="85">
        <v>0.19578659067037782</v>
      </c>
      <c r="E141" s="85"/>
      <c r="F141" s="85"/>
      <c r="G141" s="85"/>
    </row>
    <row r="142" spans="1:7" x14ac:dyDescent="0.3">
      <c r="A142" s="99" t="s">
        <v>66</v>
      </c>
      <c r="B142" s="85">
        <v>0.2069355609087489</v>
      </c>
      <c r="E142" s="4"/>
      <c r="F142" s="4"/>
      <c r="G142" s="4"/>
    </row>
    <row r="143" spans="1:7" x14ac:dyDescent="0.3">
      <c r="A143" s="99" t="s">
        <v>64</v>
      </c>
      <c r="B143" s="85">
        <v>0.21180464526816054</v>
      </c>
      <c r="C143" s="85"/>
      <c r="D143" s="85"/>
      <c r="E143" s="85"/>
      <c r="F143" s="85"/>
      <c r="G143" s="85"/>
    </row>
    <row r="144" spans="1:7" x14ac:dyDescent="0.3">
      <c r="A144" s="99" t="s">
        <v>50</v>
      </c>
      <c r="B144" s="85">
        <v>0.21649962121093735</v>
      </c>
      <c r="C144" s="10"/>
      <c r="D144" s="10"/>
      <c r="E144" s="10"/>
      <c r="F144" s="10"/>
      <c r="G144" s="10"/>
    </row>
    <row r="145" spans="1:7" x14ac:dyDescent="0.3">
      <c r="A145" s="99" t="s">
        <v>56</v>
      </c>
      <c r="B145" s="85">
        <v>0.22007229842991902</v>
      </c>
      <c r="C145" s="85"/>
      <c r="D145" s="85"/>
      <c r="E145" s="85"/>
      <c r="F145" s="85"/>
      <c r="G145" s="85"/>
    </row>
    <row r="146" spans="1:7" x14ac:dyDescent="0.3">
      <c r="A146" s="99" t="s">
        <v>53</v>
      </c>
      <c r="B146" s="85">
        <v>0.22825886332800929</v>
      </c>
      <c r="C146" s="4"/>
      <c r="D146" s="4"/>
      <c r="E146" s="4"/>
      <c r="F146" s="4"/>
      <c r="G146" s="4"/>
    </row>
    <row r="147" spans="1:7" x14ac:dyDescent="0.3">
      <c r="A147" s="99" t="s">
        <v>55</v>
      </c>
      <c r="B147" s="85">
        <v>0.23484266703157289</v>
      </c>
      <c r="C147" s="85"/>
      <c r="D147" s="85"/>
      <c r="E147" s="85"/>
      <c r="F147" s="85"/>
      <c r="G147" s="85"/>
    </row>
    <row r="148" spans="1:7" x14ac:dyDescent="0.3">
      <c r="A148" s="99" t="s">
        <v>52</v>
      </c>
      <c r="B148" s="85">
        <v>0.2384686869980375</v>
      </c>
      <c r="C148" s="10"/>
      <c r="D148" s="10"/>
      <c r="E148" s="10"/>
      <c r="F148" s="10"/>
      <c r="G148" s="10"/>
    </row>
    <row r="149" spans="1:7" x14ac:dyDescent="0.3">
      <c r="A149" s="99" t="s">
        <v>79</v>
      </c>
      <c r="B149" s="85">
        <v>0.25388010516914189</v>
      </c>
      <c r="C149" s="85"/>
      <c r="D149" s="85"/>
      <c r="E149" s="85"/>
      <c r="F149" s="85"/>
      <c r="G149" s="85"/>
    </row>
    <row r="150" spans="1:7" x14ac:dyDescent="0.3">
      <c r="A150" s="99" t="s">
        <v>51</v>
      </c>
      <c r="B150" s="85">
        <v>0.25488956028444226</v>
      </c>
      <c r="C150" s="4"/>
      <c r="D150" s="4"/>
      <c r="E150" s="4"/>
      <c r="F150" s="4"/>
      <c r="G150" s="4"/>
    </row>
    <row r="151" spans="1:7" x14ac:dyDescent="0.3">
      <c r="A151" s="99" t="s">
        <v>735</v>
      </c>
      <c r="B151" s="85">
        <v>0.26360695710272614</v>
      </c>
      <c r="C151" s="85"/>
      <c r="D151" s="85"/>
      <c r="E151" s="85"/>
      <c r="F151" s="85"/>
      <c r="G151" s="85"/>
    </row>
    <row r="152" spans="1:7" x14ac:dyDescent="0.3">
      <c r="A152" s="99" t="s">
        <v>731</v>
      </c>
      <c r="B152" s="85">
        <v>0.26419228004834766</v>
      </c>
      <c r="C152" s="10"/>
      <c r="D152" s="10"/>
      <c r="E152" s="10"/>
      <c r="F152" s="10"/>
      <c r="G152" s="10"/>
    </row>
    <row r="153" spans="1:7" x14ac:dyDescent="0.3">
      <c r="A153" s="99" t="s">
        <v>70</v>
      </c>
      <c r="B153" s="85">
        <v>0.26540145985386088</v>
      </c>
      <c r="C153" s="85"/>
      <c r="D153" s="85"/>
      <c r="E153" s="85"/>
      <c r="F153" s="85"/>
      <c r="G153" s="85"/>
    </row>
    <row r="154" spans="1:7" x14ac:dyDescent="0.3">
      <c r="A154" s="99" t="s">
        <v>62</v>
      </c>
      <c r="B154" s="85">
        <v>0.26778762416190277</v>
      </c>
      <c r="C154" s="4"/>
      <c r="D154" s="4"/>
      <c r="E154" s="4"/>
      <c r="F154" s="4"/>
      <c r="G154" s="4"/>
    </row>
    <row r="155" spans="1:7" x14ac:dyDescent="0.3">
      <c r="A155" s="99" t="s">
        <v>69</v>
      </c>
      <c r="B155" s="85">
        <v>0.27401310358478859</v>
      </c>
      <c r="C155" s="85"/>
      <c r="D155" s="85"/>
      <c r="E155" s="85"/>
      <c r="F155" s="85"/>
      <c r="G155" s="85"/>
    </row>
    <row r="156" spans="1:7" x14ac:dyDescent="0.3">
      <c r="A156" s="99" t="s">
        <v>49</v>
      </c>
      <c r="B156" s="85">
        <v>0.28817288105259042</v>
      </c>
      <c r="C156" s="10"/>
      <c r="D156" s="10"/>
      <c r="E156" s="10"/>
      <c r="F156" s="10"/>
      <c r="G156" s="10"/>
    </row>
    <row r="157" spans="1:7" x14ac:dyDescent="0.3">
      <c r="A157" s="99" t="s">
        <v>338</v>
      </c>
      <c r="B157" s="85">
        <v>0.29087347091513321</v>
      </c>
      <c r="C157" s="85"/>
      <c r="D157" s="85"/>
      <c r="E157" s="85"/>
      <c r="F157" s="85"/>
      <c r="G157" s="85"/>
    </row>
    <row r="158" spans="1:7" x14ac:dyDescent="0.3">
      <c r="A158" s="99" t="s">
        <v>57</v>
      </c>
      <c r="B158" s="85">
        <v>0.2950665323614407</v>
      </c>
      <c r="C158" s="4"/>
      <c r="D158" s="4"/>
      <c r="E158" s="4"/>
      <c r="F158" s="4"/>
      <c r="G158" s="4"/>
    </row>
    <row r="159" spans="1:7" x14ac:dyDescent="0.3">
      <c r="A159" s="99" t="s">
        <v>75</v>
      </c>
      <c r="B159" s="85">
        <v>0.30010222920631852</v>
      </c>
      <c r="C159" s="85"/>
      <c r="D159" s="85"/>
      <c r="E159" s="85"/>
      <c r="F159" s="85"/>
      <c r="G159" s="85"/>
    </row>
    <row r="160" spans="1:7" x14ac:dyDescent="0.3">
      <c r="A160" s="99" t="s">
        <v>72</v>
      </c>
      <c r="B160" s="85">
        <v>0.30551308574893621</v>
      </c>
      <c r="C160" s="10"/>
      <c r="D160" s="10"/>
      <c r="E160" s="10"/>
      <c r="F160" s="10"/>
      <c r="G160" s="10"/>
    </row>
    <row r="161" spans="1:7" x14ac:dyDescent="0.3">
      <c r="A161" s="99" t="s">
        <v>74</v>
      </c>
      <c r="B161" s="85">
        <v>0.30782539812616405</v>
      </c>
      <c r="C161" s="85"/>
      <c r="D161" s="85"/>
      <c r="E161" s="85"/>
      <c r="F161" s="85"/>
      <c r="G161" s="85"/>
    </row>
    <row r="162" spans="1:7" x14ac:dyDescent="0.3">
      <c r="A162" s="100" t="s">
        <v>78</v>
      </c>
      <c r="B162" s="85">
        <v>0.30975418211858963</v>
      </c>
      <c r="C162" s="4"/>
      <c r="D162" s="4"/>
      <c r="E162" s="4"/>
      <c r="F162" s="4"/>
      <c r="G162" s="4"/>
    </row>
    <row r="163" spans="1:7" x14ac:dyDescent="0.3">
      <c r="A163" s="100" t="s">
        <v>65</v>
      </c>
      <c r="B163" s="85">
        <v>0.31471587832962966</v>
      </c>
      <c r="C163" s="85"/>
      <c r="D163" s="85"/>
      <c r="E163" s="85"/>
      <c r="F163" s="85"/>
      <c r="G163" s="85"/>
    </row>
    <row r="164" spans="1:7" x14ac:dyDescent="0.3">
      <c r="A164" s="100" t="s">
        <v>73</v>
      </c>
      <c r="B164" s="85">
        <v>0.31839151060483684</v>
      </c>
      <c r="C164" s="10"/>
      <c r="D164" s="10"/>
      <c r="E164" s="10"/>
      <c r="F164" s="10"/>
      <c r="G164" s="10"/>
    </row>
    <row r="165" spans="1:7" x14ac:dyDescent="0.3">
      <c r="A165" s="100" t="s">
        <v>48</v>
      </c>
      <c r="B165" s="85">
        <v>0.34342785979422896</v>
      </c>
      <c r="C165" s="85"/>
      <c r="D165" s="85"/>
      <c r="E165" s="85"/>
      <c r="F165" s="85"/>
      <c r="G165" s="85"/>
    </row>
    <row r="166" spans="1:7" x14ac:dyDescent="0.3">
      <c r="A166" s="100" t="s">
        <v>77</v>
      </c>
      <c r="B166" s="85">
        <v>0.3911859238195452</v>
      </c>
      <c r="C166" s="4"/>
      <c r="D166" s="4"/>
      <c r="E166" s="4"/>
      <c r="F166" s="4"/>
      <c r="G166" s="4"/>
    </row>
    <row r="167" spans="1:7" x14ac:dyDescent="0.3">
      <c r="A167" s="99" t="s">
        <v>100</v>
      </c>
      <c r="B167" s="85">
        <v>0.57682639602666141</v>
      </c>
      <c r="C167" s="85"/>
      <c r="D167" s="85"/>
      <c r="E167" s="85"/>
      <c r="F167" s="85"/>
      <c r="G167" s="85"/>
    </row>
    <row r="168" spans="1:7" x14ac:dyDescent="0.3">
      <c r="A168" s="99" t="s">
        <v>6</v>
      </c>
      <c r="B168" s="85">
        <v>0.20405016394166706</v>
      </c>
      <c r="C168" s="10"/>
      <c r="D168" s="10"/>
      <c r="E168" s="10"/>
      <c r="F168" s="10"/>
      <c r="G168" s="10"/>
    </row>
    <row r="169" spans="1:7" x14ac:dyDescent="0.3">
      <c r="A169"/>
      <c r="B169"/>
      <c r="C169" s="85"/>
      <c r="D169" s="85"/>
      <c r="E169" s="85"/>
      <c r="F169" s="85"/>
      <c r="G169" s="85"/>
    </row>
    <row r="170" spans="1:7" x14ac:dyDescent="0.3">
      <c r="A170"/>
      <c r="B170"/>
      <c r="C170" s="4"/>
      <c r="D170" s="4"/>
      <c r="E170" s="4"/>
      <c r="F170" s="4"/>
      <c r="G170" s="4"/>
    </row>
    <row r="171" spans="1:7" x14ac:dyDescent="0.3">
      <c r="A171"/>
      <c r="B171"/>
      <c r="C171" s="85"/>
      <c r="D171" s="85"/>
      <c r="E171" s="85"/>
      <c r="F171" s="85"/>
      <c r="G171" s="85"/>
    </row>
    <row r="172" spans="1:7" x14ac:dyDescent="0.3">
      <c r="A172"/>
      <c r="B172"/>
      <c r="C172" s="10"/>
      <c r="D172" s="10"/>
      <c r="E172" s="10"/>
      <c r="F172" s="10"/>
      <c r="G172" s="10"/>
    </row>
    <row r="173" spans="1:7" x14ac:dyDescent="0.3">
      <c r="A173"/>
      <c r="B173"/>
      <c r="C173" s="85"/>
      <c r="D173" s="85"/>
      <c r="E173" s="85"/>
      <c r="F173" s="85"/>
      <c r="G173" s="85"/>
    </row>
    <row r="174" spans="1:7" x14ac:dyDescent="0.3">
      <c r="A174"/>
      <c r="B174"/>
      <c r="C174" s="4"/>
      <c r="D174" s="4"/>
      <c r="E174" s="4"/>
      <c r="F174" s="4"/>
      <c r="G174" s="4"/>
    </row>
    <row r="175" spans="1:7" x14ac:dyDescent="0.3">
      <c r="A175"/>
      <c r="B175"/>
      <c r="C175" s="85"/>
      <c r="D175" s="85"/>
      <c r="E175" s="85"/>
      <c r="F175" s="85"/>
      <c r="G175" s="85"/>
    </row>
    <row r="176" spans="1:7" x14ac:dyDescent="0.3">
      <c r="A176"/>
      <c r="B176"/>
      <c r="C176" s="10"/>
      <c r="D176" s="10"/>
      <c r="E176" s="10"/>
      <c r="F176" s="10"/>
      <c r="G176" s="10"/>
    </row>
    <row r="177" spans="1:7" x14ac:dyDescent="0.3">
      <c r="A177"/>
      <c r="B177"/>
      <c r="C177" s="85"/>
      <c r="D177" s="85"/>
      <c r="E177" s="85"/>
      <c r="F177" s="85"/>
      <c r="G177" s="85"/>
    </row>
    <row r="178" spans="1:7" x14ac:dyDescent="0.3">
      <c r="A178"/>
      <c r="B178"/>
      <c r="C178" s="4"/>
      <c r="D178" s="4"/>
      <c r="E178" s="4"/>
      <c r="F178" s="4"/>
      <c r="G178" s="4"/>
    </row>
    <row r="179" spans="1:7" x14ac:dyDescent="0.3">
      <c r="A179"/>
      <c r="B179"/>
      <c r="C179" s="85"/>
      <c r="D179" s="85"/>
      <c r="E179" s="85"/>
      <c r="F179" s="85"/>
      <c r="G179" s="85"/>
    </row>
    <row r="180" spans="1:7" x14ac:dyDescent="0.3">
      <c r="A180"/>
      <c r="B180"/>
      <c r="C180" s="10"/>
      <c r="D180" s="10"/>
      <c r="E180" s="10"/>
      <c r="F180" s="10"/>
      <c r="G180" s="10"/>
    </row>
    <row r="181" spans="1:7" x14ac:dyDescent="0.3">
      <c r="A181"/>
      <c r="B181"/>
      <c r="C181" s="85"/>
      <c r="D181" s="85"/>
      <c r="E181" s="85"/>
      <c r="F181" s="85"/>
      <c r="G181" s="85"/>
    </row>
    <row r="182" spans="1:7" x14ac:dyDescent="0.3">
      <c r="A182"/>
      <c r="B182"/>
      <c r="C182" s="4"/>
      <c r="D182" s="4"/>
      <c r="E182" s="4"/>
      <c r="F182" s="4"/>
      <c r="G182" s="4"/>
    </row>
    <row r="183" spans="1:7" x14ac:dyDescent="0.3">
      <c r="A183"/>
      <c r="B183"/>
      <c r="C183" s="85"/>
      <c r="D183" s="85"/>
      <c r="E183" s="85"/>
      <c r="F183" s="85"/>
      <c r="G183" s="85"/>
    </row>
    <row r="184" spans="1:7" x14ac:dyDescent="0.3">
      <c r="A184"/>
      <c r="B184"/>
      <c r="C184" s="10"/>
      <c r="D184" s="10"/>
      <c r="E184" s="10"/>
      <c r="F184" s="10"/>
      <c r="G184" s="10"/>
    </row>
    <row r="185" spans="1:7" x14ac:dyDescent="0.3">
      <c r="A185"/>
      <c r="B185"/>
      <c r="C185" s="85"/>
      <c r="D185" s="85"/>
      <c r="E185" s="85"/>
      <c r="F185" s="85"/>
      <c r="G185" s="85"/>
    </row>
    <row r="186" spans="1:7" x14ac:dyDescent="0.3">
      <c r="A186"/>
      <c r="B186"/>
      <c r="C186" s="4"/>
      <c r="D186" s="4"/>
      <c r="E186" s="4"/>
      <c r="F186" s="4"/>
      <c r="G186" s="4"/>
    </row>
    <row r="187" spans="1:7" x14ac:dyDescent="0.3">
      <c r="A187"/>
      <c r="B187"/>
      <c r="C187" s="85"/>
      <c r="D187" s="85"/>
      <c r="E187" s="85"/>
      <c r="F187" s="85"/>
      <c r="G187" s="85"/>
    </row>
    <row r="188" spans="1:7" x14ac:dyDescent="0.3">
      <c r="A188"/>
      <c r="B188"/>
      <c r="C188" s="10"/>
      <c r="D188" s="10"/>
      <c r="E188" s="10"/>
      <c r="F188" s="10"/>
      <c r="G188" s="10"/>
    </row>
    <row r="189" spans="1:7" x14ac:dyDescent="0.3">
      <c r="A189"/>
      <c r="B189"/>
      <c r="C189" s="85"/>
      <c r="D189" s="85"/>
      <c r="E189" s="85"/>
      <c r="F189" s="85"/>
      <c r="G189" s="85"/>
    </row>
    <row r="190" spans="1:7" x14ac:dyDescent="0.3">
      <c r="A190"/>
      <c r="B190"/>
      <c r="C190" s="4"/>
      <c r="D190" s="4"/>
      <c r="E190" s="4"/>
      <c r="F190" s="4"/>
      <c r="G190" s="4"/>
    </row>
    <row r="191" spans="1:7" x14ac:dyDescent="0.3">
      <c r="A191"/>
      <c r="B191"/>
      <c r="C191" s="85"/>
      <c r="D191" s="85"/>
      <c r="E191" s="85"/>
      <c r="F191" s="85"/>
      <c r="G191" s="85"/>
    </row>
    <row r="192" spans="1:7" x14ac:dyDescent="0.3">
      <c r="A192"/>
      <c r="B192"/>
      <c r="C192" s="10"/>
      <c r="D192" s="10"/>
      <c r="E192" s="10"/>
      <c r="F192" s="10"/>
      <c r="G192" s="10"/>
    </row>
    <row r="193" spans="1:7" x14ac:dyDescent="0.3">
      <c r="A193"/>
      <c r="B193"/>
      <c r="C193" s="85"/>
      <c r="D193" s="85"/>
      <c r="E193" s="85"/>
      <c r="F193" s="85"/>
      <c r="G193" s="85"/>
    </row>
    <row r="194" spans="1:7" x14ac:dyDescent="0.3">
      <c r="A194"/>
      <c r="B194"/>
      <c r="C194" s="4"/>
      <c r="D194" s="4"/>
      <c r="E194" s="4"/>
      <c r="F194" s="4"/>
      <c r="G194" s="4"/>
    </row>
    <row r="195" spans="1:7" x14ac:dyDescent="0.3">
      <c r="A195"/>
      <c r="B195"/>
      <c r="C195" s="85"/>
      <c r="D195" s="85"/>
      <c r="E195" s="85"/>
      <c r="F195" s="85"/>
      <c r="G195" s="85"/>
    </row>
    <row r="196" spans="1:7" x14ac:dyDescent="0.3">
      <c r="A196"/>
      <c r="B196"/>
      <c r="C196" s="10"/>
      <c r="D196" s="10"/>
      <c r="E196" s="10"/>
      <c r="F196" s="10"/>
      <c r="G196" s="10"/>
    </row>
    <row r="197" spans="1:7" x14ac:dyDescent="0.3">
      <c r="A197"/>
      <c r="B197"/>
      <c r="C197" s="85"/>
      <c r="D197" s="85"/>
      <c r="E197" s="85"/>
      <c r="F197" s="85"/>
      <c r="G197" s="85"/>
    </row>
    <row r="198" spans="1:7" x14ac:dyDescent="0.3">
      <c r="A198"/>
      <c r="B198"/>
      <c r="C198" s="4"/>
      <c r="D198" s="4"/>
      <c r="E198" s="4"/>
      <c r="F198" s="4"/>
      <c r="G198" s="4"/>
    </row>
    <row r="199" spans="1:7" x14ac:dyDescent="0.3">
      <c r="A199"/>
      <c r="B199"/>
      <c r="C199" s="85"/>
      <c r="D199" s="85"/>
      <c r="E199" s="85"/>
      <c r="F199" s="85"/>
      <c r="G199" s="85"/>
    </row>
    <row r="200" spans="1:7" x14ac:dyDescent="0.3">
      <c r="A200"/>
      <c r="B200"/>
      <c r="C200" s="10"/>
      <c r="D200" s="10"/>
      <c r="E200" s="10"/>
      <c r="F200" s="10"/>
      <c r="G200" s="10"/>
    </row>
    <row r="201" spans="1:7" x14ac:dyDescent="0.3">
      <c r="A201"/>
      <c r="B201"/>
      <c r="C201" s="85"/>
      <c r="D201" s="85"/>
      <c r="E201" s="85"/>
      <c r="F201" s="85"/>
      <c r="G201" s="85"/>
    </row>
    <row r="202" spans="1:7" x14ac:dyDescent="0.3">
      <c r="A202"/>
      <c r="B202"/>
      <c r="C202" s="4"/>
      <c r="D202" s="4"/>
      <c r="E202" s="4"/>
      <c r="F202" s="4"/>
      <c r="G202" s="4"/>
    </row>
    <row r="203" spans="1:7" x14ac:dyDescent="0.3">
      <c r="A203"/>
      <c r="B203"/>
      <c r="C203" s="85"/>
      <c r="D203" s="85"/>
      <c r="E203" s="85"/>
      <c r="F203" s="85"/>
      <c r="G203" s="85"/>
    </row>
    <row r="204" spans="1:7" x14ac:dyDescent="0.3">
      <c r="A204"/>
      <c r="B204"/>
      <c r="C204" s="10"/>
      <c r="D204" s="10"/>
      <c r="E204" s="10"/>
      <c r="F204" s="10"/>
      <c r="G204" s="10"/>
    </row>
    <row r="205" spans="1:7" x14ac:dyDescent="0.3">
      <c r="A205"/>
      <c r="B205"/>
      <c r="C205" s="85"/>
      <c r="D205" s="85"/>
      <c r="E205" s="85"/>
      <c r="F205" s="85"/>
      <c r="G205" s="85"/>
    </row>
    <row r="206" spans="1:7" x14ac:dyDescent="0.3">
      <c r="A206"/>
      <c r="B206"/>
      <c r="C206" s="4"/>
      <c r="D206" s="4"/>
      <c r="E206" s="4"/>
      <c r="F206" s="4"/>
      <c r="G206" s="4"/>
    </row>
    <row r="207" spans="1:7" x14ac:dyDescent="0.3">
      <c r="A207"/>
      <c r="B207"/>
      <c r="C207" s="85"/>
      <c r="D207" s="85"/>
      <c r="E207" s="85"/>
      <c r="F207" s="85"/>
      <c r="G207" s="85"/>
    </row>
    <row r="208" spans="1:7" x14ac:dyDescent="0.3">
      <c r="A208"/>
      <c r="B208"/>
      <c r="C208" s="10"/>
      <c r="D208" s="10"/>
      <c r="E208" s="10"/>
      <c r="F208" s="10"/>
      <c r="G208" s="10"/>
    </row>
    <row r="209" spans="1:7" x14ac:dyDescent="0.3">
      <c r="A209"/>
      <c r="B209"/>
      <c r="C209" s="85"/>
      <c r="D209" s="85"/>
      <c r="E209" s="85"/>
      <c r="F209" s="85"/>
      <c r="G209" s="85"/>
    </row>
    <row r="210" spans="1:7" x14ac:dyDescent="0.3">
      <c r="A210"/>
      <c r="B210"/>
      <c r="C210" s="4"/>
      <c r="D210" s="4"/>
      <c r="E210" s="4"/>
      <c r="F210" s="4"/>
      <c r="G210" s="4"/>
    </row>
    <row r="211" spans="1:7" x14ac:dyDescent="0.3">
      <c r="A211"/>
      <c r="B211"/>
      <c r="C211" s="85"/>
      <c r="D211" s="85"/>
      <c r="E211" s="85"/>
      <c r="F211" s="85"/>
      <c r="G211" s="85"/>
    </row>
    <row r="212" spans="1:7" x14ac:dyDescent="0.3">
      <c r="A212"/>
      <c r="B212"/>
      <c r="C212" s="10"/>
      <c r="D212" s="10"/>
      <c r="E212" s="10"/>
      <c r="F212" s="10"/>
      <c r="G212" s="10"/>
    </row>
    <row r="213" spans="1:7" x14ac:dyDescent="0.3">
      <c r="A213"/>
      <c r="B213"/>
      <c r="C213" s="85"/>
      <c r="D213" s="85"/>
      <c r="E213" s="85"/>
      <c r="F213" s="85"/>
      <c r="G213" s="85"/>
    </row>
    <row r="214" spans="1:7" x14ac:dyDescent="0.3">
      <c r="A214"/>
      <c r="B214"/>
      <c r="C214" s="4"/>
      <c r="D214" s="4"/>
      <c r="E214" s="4"/>
      <c r="F214" s="4"/>
      <c r="G214" s="4"/>
    </row>
    <row r="215" spans="1:7" x14ac:dyDescent="0.3">
      <c r="A215"/>
      <c r="B215"/>
      <c r="C215" s="85"/>
      <c r="D215" s="85"/>
      <c r="E215" s="85"/>
      <c r="F215" s="85"/>
      <c r="G215" s="85"/>
    </row>
    <row r="216" spans="1:7" x14ac:dyDescent="0.3">
      <c r="A216"/>
      <c r="B216"/>
      <c r="C216" s="10"/>
      <c r="D216" s="10"/>
      <c r="E216" s="10"/>
      <c r="F216" s="10"/>
      <c r="G216" s="10"/>
    </row>
    <row r="217" spans="1:7" x14ac:dyDescent="0.3">
      <c r="A217"/>
      <c r="B217"/>
      <c r="C217" s="85"/>
      <c r="D217" s="85"/>
      <c r="E217" s="85"/>
      <c r="F217" s="85"/>
      <c r="G217" s="85"/>
    </row>
    <row r="218" spans="1:7" x14ac:dyDescent="0.3">
      <c r="A218"/>
      <c r="B218"/>
      <c r="C218" s="4"/>
      <c r="D218" s="4"/>
      <c r="E218" s="4"/>
      <c r="F218" s="4"/>
      <c r="G218" s="4"/>
    </row>
    <row r="219" spans="1:7" x14ac:dyDescent="0.3">
      <c r="A219"/>
      <c r="B219"/>
      <c r="C219" s="85"/>
      <c r="D219" s="85"/>
      <c r="E219" s="85"/>
      <c r="F219" s="85"/>
      <c r="G219" s="85"/>
    </row>
    <row r="220" spans="1:7" x14ac:dyDescent="0.3">
      <c r="A220"/>
      <c r="B220"/>
      <c r="C220" s="10"/>
      <c r="D220" s="10"/>
      <c r="E220" s="10"/>
      <c r="F220" s="10"/>
      <c r="G220" s="10"/>
    </row>
    <row r="221" spans="1:7" x14ac:dyDescent="0.3">
      <c r="A221"/>
      <c r="B221"/>
      <c r="C221" s="85"/>
      <c r="D221" s="85"/>
      <c r="E221" s="85"/>
      <c r="F221" s="85"/>
      <c r="G221" s="85"/>
    </row>
    <row r="222" spans="1:7" x14ac:dyDescent="0.3">
      <c r="A222"/>
      <c r="B222"/>
      <c r="C222" s="4"/>
      <c r="D222" s="4"/>
      <c r="E222" s="4"/>
      <c r="F222" s="4"/>
      <c r="G222" s="4"/>
    </row>
    <row r="223" spans="1:7" x14ac:dyDescent="0.3">
      <c r="A223"/>
      <c r="B223"/>
      <c r="C223" s="85"/>
      <c r="D223" s="85"/>
      <c r="E223" s="85"/>
      <c r="F223" s="85"/>
      <c r="G223" s="85"/>
    </row>
    <row r="224" spans="1:7" x14ac:dyDescent="0.3">
      <c r="A224"/>
      <c r="B224"/>
      <c r="C224" s="10"/>
      <c r="D224" s="10"/>
      <c r="E224" s="10"/>
      <c r="F224" s="10"/>
      <c r="G224" s="10"/>
    </row>
    <row r="225" spans="1:7" x14ac:dyDescent="0.3">
      <c r="A225"/>
      <c r="B225"/>
      <c r="C225" s="85"/>
      <c r="D225" s="85"/>
      <c r="E225" s="85"/>
      <c r="F225" s="85"/>
      <c r="G225" s="85"/>
    </row>
    <row r="226" spans="1:7" x14ac:dyDescent="0.3">
      <c r="A226"/>
      <c r="B226"/>
      <c r="C226" s="4"/>
      <c r="D226" s="4"/>
      <c r="E226" s="4"/>
      <c r="F226" s="4"/>
      <c r="G226" s="4"/>
    </row>
    <row r="227" spans="1:7" x14ac:dyDescent="0.3">
      <c r="A227"/>
      <c r="B227"/>
      <c r="C227" s="85"/>
      <c r="D227" s="85"/>
      <c r="E227" s="85"/>
      <c r="F227" s="85"/>
      <c r="G227" s="85"/>
    </row>
    <row r="228" spans="1:7" x14ac:dyDescent="0.3">
      <c r="A228"/>
      <c r="B228"/>
      <c r="C228" s="10"/>
      <c r="D228" s="10"/>
      <c r="E228" s="10"/>
      <c r="F228" s="10"/>
      <c r="G228" s="10"/>
    </row>
    <row r="229" spans="1:7" x14ac:dyDescent="0.3">
      <c r="A229"/>
      <c r="B229"/>
      <c r="C229" s="85"/>
      <c r="D229" s="85"/>
      <c r="E229" s="85"/>
      <c r="F229" s="85"/>
      <c r="G229" s="85"/>
    </row>
    <row r="230" spans="1:7" x14ac:dyDescent="0.3">
      <c r="A230"/>
      <c r="B230"/>
      <c r="C230" s="4"/>
      <c r="D230" s="4"/>
      <c r="E230" s="4"/>
      <c r="F230" s="4"/>
      <c r="G230" s="4"/>
    </row>
    <row r="231" spans="1:7" x14ac:dyDescent="0.3">
      <c r="A231"/>
      <c r="B231"/>
      <c r="C231" s="85"/>
      <c r="D231" s="85"/>
      <c r="E231" s="85"/>
      <c r="F231" s="85"/>
      <c r="G231" s="85"/>
    </row>
    <row r="232" spans="1:7" x14ac:dyDescent="0.3">
      <c r="A232"/>
      <c r="B232"/>
      <c r="C232" s="10"/>
      <c r="D232" s="10"/>
      <c r="E232" s="10"/>
      <c r="F232" s="10"/>
      <c r="G232" s="10"/>
    </row>
    <row r="233" spans="1:7" x14ac:dyDescent="0.3">
      <c r="A233"/>
      <c r="B233"/>
      <c r="C233" s="85"/>
      <c r="D233" s="85"/>
      <c r="E233" s="85"/>
      <c r="F233" s="85"/>
      <c r="G233" s="85"/>
    </row>
    <row r="234" spans="1:7" x14ac:dyDescent="0.3">
      <c r="A234"/>
      <c r="B234"/>
      <c r="C234" s="4"/>
      <c r="D234" s="4"/>
      <c r="E234" s="4"/>
      <c r="F234" s="4"/>
      <c r="G234" s="4"/>
    </row>
    <row r="235" spans="1:7" x14ac:dyDescent="0.3">
      <c r="A235"/>
      <c r="B235"/>
      <c r="C235" s="85"/>
      <c r="D235" s="85"/>
      <c r="E235" s="85"/>
      <c r="F235" s="85"/>
      <c r="G235" s="85"/>
    </row>
    <row r="236" spans="1:7" x14ac:dyDescent="0.3">
      <c r="A236"/>
      <c r="B236"/>
      <c r="C236" s="10"/>
      <c r="D236" s="10"/>
      <c r="E236" s="10"/>
      <c r="F236" s="10"/>
      <c r="G236" s="10"/>
    </row>
    <row r="237" spans="1:7" x14ac:dyDescent="0.3">
      <c r="A237"/>
      <c r="B237"/>
      <c r="C237" s="85"/>
      <c r="D237" s="85"/>
      <c r="E237" s="85"/>
      <c r="F237" s="85"/>
      <c r="G237" s="85"/>
    </row>
    <row r="238" spans="1:7" x14ac:dyDescent="0.3">
      <c r="A238"/>
      <c r="B238"/>
      <c r="C238" s="4"/>
      <c r="D238" s="4"/>
      <c r="E238" s="4"/>
      <c r="F238" s="4"/>
      <c r="G238" s="4"/>
    </row>
    <row r="239" spans="1:7" x14ac:dyDescent="0.3">
      <c r="A239"/>
      <c r="B239"/>
      <c r="C239" s="85"/>
      <c r="D239" s="85"/>
      <c r="E239" s="85"/>
      <c r="F239" s="85"/>
      <c r="G239" s="85"/>
    </row>
    <row r="240" spans="1:7" x14ac:dyDescent="0.3">
      <c r="A240"/>
      <c r="B240"/>
      <c r="C240" s="85"/>
      <c r="D240" s="85"/>
      <c r="E240" s="85"/>
      <c r="F240" s="85"/>
      <c r="G240" s="85"/>
    </row>
    <row r="241" spans="1:7" x14ac:dyDescent="0.3">
      <c r="A241"/>
      <c r="B241"/>
      <c r="C241" s="4"/>
      <c r="D241" s="4"/>
      <c r="E241" s="4"/>
      <c r="F241" s="4"/>
      <c r="G241" s="4"/>
    </row>
    <row r="242" spans="1:7" x14ac:dyDescent="0.3">
      <c r="A242"/>
      <c r="B242"/>
      <c r="C242" s="85"/>
      <c r="D242" s="85"/>
      <c r="E242" s="85"/>
      <c r="F242" s="85"/>
      <c r="G242" s="85"/>
    </row>
  </sheetData>
  <pageMargins left="0" right="0" top="0" bottom="0" header="0" footer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366" t="s">
        <v>41</v>
      </c>
      <c r="B12" s="366" t="s">
        <v>42</v>
      </c>
      <c r="C12" s="366" t="s">
        <v>120</v>
      </c>
      <c r="D12" s="367" t="s">
        <v>123</v>
      </c>
      <c r="E12" s="368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14" t="s">
        <v>107</v>
      </c>
      <c r="B25" s="33"/>
      <c r="C25" s="34">
        <v>1058073504</v>
      </c>
      <c r="D25" s="35">
        <v>897280820</v>
      </c>
      <c r="E25" s="36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14" t="s">
        <v>108</v>
      </c>
      <c r="B30" s="33"/>
      <c r="C30" s="34">
        <v>450004381</v>
      </c>
      <c r="D30" s="35">
        <v>413827054</v>
      </c>
      <c r="E30" s="36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14" t="s">
        <v>109</v>
      </c>
      <c r="B42" s="33"/>
      <c r="C42" s="34">
        <v>455712235</v>
      </c>
      <c r="D42" s="35">
        <v>469613836</v>
      </c>
      <c r="E42" s="36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14" t="s">
        <v>110</v>
      </c>
      <c r="B58" s="33"/>
      <c r="C58" s="34">
        <v>886617286</v>
      </c>
      <c r="D58" s="35">
        <v>986201688</v>
      </c>
      <c r="E58" s="36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14" t="s">
        <v>111</v>
      </c>
      <c r="B61" s="33"/>
      <c r="C61" s="34">
        <v>136064536</v>
      </c>
      <c r="D61" s="35">
        <v>129324839</v>
      </c>
      <c r="E61" s="36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14" t="s">
        <v>112</v>
      </c>
      <c r="B64" s="33"/>
      <c r="C64" s="34">
        <v>129523465</v>
      </c>
      <c r="D64" s="35">
        <v>119391377</v>
      </c>
      <c r="E64" s="36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14" t="s">
        <v>105</v>
      </c>
      <c r="E13" s="17" t="s">
        <v>40</v>
      </c>
      <c r="F13" s="14" t="s">
        <v>105</v>
      </c>
      <c r="G13" s="17" t="s">
        <v>40</v>
      </c>
      <c r="H13" s="14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31</vt:i4>
      </vt:variant>
    </vt:vector>
  </HeadingPairs>
  <TitlesOfParts>
    <vt:vector size="31" baseType="lpstr">
      <vt:lpstr>ventas ticket promedio</vt:lpstr>
      <vt:lpstr>METODOS USAQUEN</vt:lpstr>
      <vt:lpstr>MODELO FINANCIERO BARRANQUERO</vt:lpstr>
      <vt:lpstr>Mensual Barranquero</vt:lpstr>
      <vt:lpstr>Acumulado Barranquero</vt:lpstr>
      <vt:lpstr>rentabilidad exportaciones</vt:lpstr>
      <vt:lpstr>rentabilidad exportaciones mes</vt:lpstr>
      <vt:lpstr>rentabilidad exportaciones acum</vt:lpstr>
      <vt:lpstr>financiera</vt:lpstr>
      <vt:lpstr>financiera mes</vt:lpstr>
      <vt:lpstr>financiera acum</vt:lpstr>
      <vt:lpstr>rentabilidad comercial</vt:lpstr>
      <vt:lpstr>rentabilidad comercial mes</vt:lpstr>
      <vt:lpstr>rentabilidad comercial acum</vt:lpstr>
      <vt:lpstr>mercadeo</vt:lpstr>
      <vt:lpstr>lanzamiento_base</vt:lpstr>
      <vt:lpstr>lanzamiento</vt:lpstr>
      <vt:lpstr>mercadeo2</vt:lpstr>
      <vt:lpstr>COMERCIAL</vt:lpstr>
      <vt:lpstr>Comercial1_mes</vt:lpstr>
      <vt:lpstr>Comercial2_mes</vt:lpstr>
      <vt:lpstr>Comercial1_acum</vt:lpstr>
      <vt:lpstr>Comercial2_acum</vt:lpstr>
      <vt:lpstr>CARTERA</vt:lpstr>
      <vt:lpstr>Cartera1</vt:lpstr>
      <vt:lpstr>RENTABILIDAD TIENDAS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2025-06-11T14:31:25Z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