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uliana\Desktop\Tese_Mestrado\Novos dados experimentais\"/>
    </mc:Choice>
  </mc:AlternateContent>
  <xr:revisionPtr revIDLastSave="0" documentId="13_ncr:1_{50C3A54C-53F8-4FE8-98BF-43A0C824F330}" xr6:coauthVersionLast="47" xr6:coauthVersionMax="47" xr10:uidLastSave="{00000000-0000-0000-0000-000000000000}"/>
  <bookViews>
    <workbookView xWindow="-108" yWindow="-108" windowWidth="23256" windowHeight="12576" firstSheet="7" activeTab="11" xr2:uid="{00000000-000D-0000-FFFF-FFFF00000000}"/>
  </bookViews>
  <sheets>
    <sheet name="Growth Parameters" sheetId="1" r:id="rId1"/>
    <sheet name="Growth Parameter average" sheetId="7" r:id="rId2"/>
    <sheet name="Growth Parameter graphs" sheetId="8" r:id="rId3"/>
    <sheet name="Plate Plating" sheetId="2" r:id="rId4"/>
    <sheet name="Plate Plating average" sheetId="12" r:id="rId5"/>
    <sheet name="Plate Plating graphs" sheetId="11" r:id="rId6"/>
    <sheet name="Nutrients" sheetId="4" r:id="rId7"/>
    <sheet name="Nutrients average" sheetId="13" r:id="rId8"/>
    <sheet name="Nutrients graphs" sheetId="14" r:id="rId9"/>
    <sheet name="Nitrates Standart Curves" sheetId="5" r:id="rId10"/>
    <sheet name="Phosphate Standart Curve" sheetId="6" r:id="rId11"/>
    <sheet name="All Graphs" sheetId="15" r:id="rId12"/>
  </sheets>
  <definedNames>
    <definedName name="_xlnm._FilterDatabase" localSheetId="1" hidden="1">'Growth Parameter average'!$A$1:$P$28</definedName>
    <definedName name="_xlnm._FilterDatabase" localSheetId="7" hidden="1">'Nutrients average'!$A$1:$K$28</definedName>
    <definedName name="_xlnm._FilterDatabase" localSheetId="4" hidden="1">'Plate Plating average'!$A$1:$M$29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58" i="2" l="1"/>
  <c r="AK58" i="2"/>
  <c r="AK59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7" i="2"/>
  <c r="C7" i="2"/>
  <c r="AL32" i="2"/>
  <c r="AK32" i="2"/>
  <c r="Z31" i="2"/>
  <c r="K16" i="8"/>
  <c r="K17" i="8"/>
  <c r="K18" i="8"/>
  <c r="K19" i="8"/>
  <c r="K20" i="8"/>
  <c r="K21" i="8"/>
  <c r="K22" i="8"/>
  <c r="L15" i="8"/>
  <c r="L16" i="8"/>
  <c r="L17" i="8"/>
  <c r="L18" i="8"/>
  <c r="L19" i="8"/>
  <c r="L20" i="8"/>
  <c r="L21" i="8"/>
  <c r="L22" i="8"/>
  <c r="K28" i="8"/>
  <c r="K29" i="8"/>
  <c r="K30" i="8"/>
  <c r="K31" i="8"/>
  <c r="K32" i="8"/>
  <c r="K33" i="8"/>
  <c r="K34" i="8"/>
  <c r="K40" i="8"/>
  <c r="K41" i="8"/>
  <c r="K42" i="8"/>
  <c r="K43" i="8"/>
  <c r="K44" i="8"/>
  <c r="K45" i="8"/>
  <c r="K46" i="8"/>
  <c r="A30" i="7"/>
  <c r="B30" i="7"/>
  <c r="D30" i="7"/>
  <c r="E30" i="7"/>
  <c r="F30" i="7"/>
  <c r="G30" i="7"/>
  <c r="H30" i="7"/>
  <c r="I30" i="7"/>
  <c r="J30" i="7"/>
  <c r="K30" i="7"/>
  <c r="L30" i="7"/>
  <c r="A31" i="7"/>
  <c r="B31" i="7"/>
  <c r="D31" i="7"/>
  <c r="E31" i="7"/>
  <c r="F31" i="7"/>
  <c r="G31" i="7"/>
  <c r="H31" i="7"/>
  <c r="I31" i="7"/>
  <c r="J31" i="7"/>
  <c r="K31" i="7"/>
  <c r="L31" i="7"/>
  <c r="A32" i="7"/>
  <c r="B32" i="7"/>
  <c r="D32" i="7"/>
  <c r="E32" i="7"/>
  <c r="F32" i="7"/>
  <c r="G32" i="7"/>
  <c r="H32" i="7"/>
  <c r="I32" i="7"/>
  <c r="J32" i="7"/>
  <c r="K32" i="7"/>
  <c r="L32" i="7"/>
  <c r="L29" i="7"/>
  <c r="K29" i="7"/>
  <c r="J29" i="7"/>
  <c r="I29" i="7"/>
  <c r="H29" i="7"/>
  <c r="G29" i="7"/>
  <c r="B29" i="7"/>
  <c r="D29" i="7"/>
  <c r="E29" i="7"/>
  <c r="F29" i="7"/>
  <c r="A29" i="7"/>
  <c r="C128" i="1"/>
  <c r="J128" i="1"/>
  <c r="K128" i="1"/>
  <c r="C129" i="1"/>
  <c r="J129" i="1"/>
  <c r="C122" i="1"/>
  <c r="J122" i="1"/>
  <c r="C123" i="1"/>
  <c r="J123" i="1"/>
  <c r="C116" i="1"/>
  <c r="J116" i="1"/>
  <c r="C117" i="1"/>
  <c r="J117" i="1"/>
  <c r="C110" i="1"/>
  <c r="J110" i="1"/>
  <c r="C111" i="1"/>
  <c r="J111" i="1"/>
  <c r="J127" i="1"/>
  <c r="C127" i="1"/>
  <c r="J126" i="1"/>
  <c r="C126" i="1"/>
  <c r="J125" i="1"/>
  <c r="C125" i="1"/>
  <c r="J124" i="1"/>
  <c r="C124" i="1"/>
  <c r="C32" i="7"/>
  <c r="J121" i="1"/>
  <c r="C121" i="1"/>
  <c r="J120" i="1"/>
  <c r="C120" i="1"/>
  <c r="J119" i="1"/>
  <c r="C119" i="1"/>
  <c r="J118" i="1"/>
  <c r="C118" i="1"/>
  <c r="C31" i="7"/>
  <c r="J115" i="1"/>
  <c r="C115" i="1"/>
  <c r="J114" i="1"/>
  <c r="C114" i="1"/>
  <c r="J113" i="1"/>
  <c r="C113" i="1"/>
  <c r="J112" i="1"/>
  <c r="C112" i="1"/>
  <c r="C30" i="7"/>
  <c r="J109" i="1"/>
  <c r="C109" i="1"/>
  <c r="J108" i="1"/>
  <c r="C108" i="1"/>
  <c r="J107" i="1"/>
  <c r="C107" i="1"/>
  <c r="K129" i="1"/>
  <c r="J106" i="1"/>
  <c r="C106" i="1"/>
  <c r="C29" i="7"/>
  <c r="M31" i="7"/>
  <c r="N31" i="7"/>
  <c r="N29" i="7"/>
  <c r="M30" i="7"/>
  <c r="N30" i="7"/>
  <c r="M32" i="7"/>
  <c r="N32" i="7"/>
  <c r="M29" i="7"/>
  <c r="M102" i="4"/>
  <c r="M101" i="4"/>
  <c r="M100" i="4"/>
  <c r="M99" i="4"/>
  <c r="M98" i="4"/>
  <c r="M97" i="4"/>
  <c r="M96" i="4"/>
  <c r="M95" i="4"/>
  <c r="M94" i="4"/>
  <c r="M93" i="4"/>
  <c r="M92" i="4"/>
  <c r="M91" i="4"/>
  <c r="B128" i="6"/>
  <c r="B127" i="6"/>
  <c r="G126" i="6"/>
  <c r="B126" i="6"/>
  <c r="B125" i="6"/>
  <c r="B124" i="6"/>
  <c r="G123" i="6"/>
  <c r="B123" i="6"/>
  <c r="B122" i="6"/>
  <c r="B121" i="6"/>
  <c r="G120" i="6"/>
  <c r="B120" i="6"/>
  <c r="B119" i="6"/>
  <c r="B118" i="6"/>
  <c r="G117" i="6"/>
  <c r="B117" i="6"/>
  <c r="B116" i="6"/>
  <c r="B115" i="6"/>
  <c r="G114" i="6"/>
  <c r="B114" i="6"/>
  <c r="B113" i="6"/>
  <c r="B112" i="6"/>
  <c r="G111" i="6"/>
  <c r="I111" i="6"/>
  <c r="N97" i="4"/>
  <c r="B111" i="6"/>
  <c r="N103" i="4"/>
  <c r="N102" i="4"/>
  <c r="N100" i="4"/>
  <c r="N96" i="4"/>
  <c r="N99" i="4"/>
  <c r="N93" i="4"/>
  <c r="N101" i="4"/>
  <c r="N105" i="4"/>
  <c r="N92" i="4"/>
  <c r="N98" i="4"/>
  <c r="N94" i="4"/>
  <c r="N106" i="4"/>
  <c r="N95" i="4"/>
  <c r="N104" i="4"/>
  <c r="N91" i="4"/>
  <c r="N82" i="4"/>
  <c r="N83" i="4"/>
  <c r="N90" i="4"/>
  <c r="N75" i="4"/>
  <c r="M84" i="4"/>
  <c r="M83" i="4"/>
  <c r="M86" i="4"/>
  <c r="M85" i="4"/>
  <c r="M82" i="4"/>
  <c r="M81" i="4"/>
  <c r="M80" i="4"/>
  <c r="M79" i="4"/>
  <c r="M78" i="4"/>
  <c r="M77" i="4"/>
  <c r="M76" i="4"/>
  <c r="M75" i="4"/>
  <c r="B110" i="6"/>
  <c r="B109" i="6"/>
  <c r="G108" i="6"/>
  <c r="B108" i="6"/>
  <c r="B107" i="6"/>
  <c r="B106" i="6"/>
  <c r="G105" i="6"/>
  <c r="B105" i="6"/>
  <c r="B104" i="6"/>
  <c r="B103" i="6"/>
  <c r="G102" i="6"/>
  <c r="B102" i="6"/>
  <c r="B101" i="6"/>
  <c r="B100" i="6"/>
  <c r="G99" i="6"/>
  <c r="B99" i="6"/>
  <c r="B98" i="6"/>
  <c r="B97" i="6"/>
  <c r="G96" i="6"/>
  <c r="B96" i="6"/>
  <c r="B95" i="6"/>
  <c r="B94" i="6"/>
  <c r="G93" i="6"/>
  <c r="I93" i="6"/>
  <c r="N76" i="4"/>
  <c r="B93" i="6"/>
  <c r="N88" i="4"/>
  <c r="N80" i="4"/>
  <c r="N89" i="4"/>
  <c r="N79" i="4"/>
  <c r="N87" i="4"/>
  <c r="N86" i="4"/>
  <c r="N78" i="4"/>
  <c r="N81" i="4"/>
  <c r="N85" i="4"/>
  <c r="N77" i="4"/>
  <c r="N84" i="4"/>
  <c r="M70" i="4"/>
  <c r="M69" i="4"/>
  <c r="M68" i="4"/>
  <c r="M67" i="4"/>
  <c r="M66" i="4"/>
  <c r="M65" i="4"/>
  <c r="M64" i="4"/>
  <c r="M63" i="4"/>
  <c r="M61" i="4"/>
  <c r="M60" i="4"/>
  <c r="M59" i="4"/>
  <c r="B92" i="6"/>
  <c r="B91" i="6"/>
  <c r="G90" i="6"/>
  <c r="B90" i="6"/>
  <c r="B89" i="6"/>
  <c r="B88" i="6"/>
  <c r="G87" i="6"/>
  <c r="B87" i="6"/>
  <c r="B86" i="6"/>
  <c r="B85" i="6"/>
  <c r="G84" i="6"/>
  <c r="B84" i="6"/>
  <c r="B83" i="6"/>
  <c r="B82" i="6"/>
  <c r="G81" i="6"/>
  <c r="B81" i="6"/>
  <c r="B80" i="6"/>
  <c r="B79" i="6"/>
  <c r="G78" i="6"/>
  <c r="B78" i="6"/>
  <c r="B77" i="6"/>
  <c r="B76" i="6"/>
  <c r="G75" i="6"/>
  <c r="I75" i="6"/>
  <c r="B75" i="6"/>
  <c r="N60" i="4"/>
  <c r="N68" i="4"/>
  <c r="N65" i="4"/>
  <c r="N61" i="4"/>
  <c r="N69" i="4"/>
  <c r="N72" i="4"/>
  <c r="N62" i="4"/>
  <c r="N70" i="4"/>
  <c r="N63" i="4"/>
  <c r="N71" i="4"/>
  <c r="N64" i="4"/>
  <c r="N73" i="4"/>
  <c r="N66" i="4"/>
  <c r="N74" i="4"/>
  <c r="N67" i="4"/>
  <c r="N59" i="4"/>
  <c r="M54" i="4"/>
  <c r="M53" i="4"/>
  <c r="M52" i="4"/>
  <c r="M51" i="4"/>
  <c r="M50" i="4"/>
  <c r="M49" i="4"/>
  <c r="M48" i="4"/>
  <c r="M47" i="4"/>
  <c r="M46" i="4"/>
  <c r="M45" i="4"/>
  <c r="M44" i="4"/>
  <c r="M43" i="4"/>
  <c r="B74" i="6"/>
  <c r="B73" i="6"/>
  <c r="G72" i="6"/>
  <c r="B72" i="6"/>
  <c r="B71" i="6"/>
  <c r="B70" i="6"/>
  <c r="G69" i="6"/>
  <c r="B69" i="6"/>
  <c r="B68" i="6"/>
  <c r="B67" i="6"/>
  <c r="G66" i="6"/>
  <c r="B66" i="6"/>
  <c r="B65" i="6"/>
  <c r="B64" i="6"/>
  <c r="G63" i="6"/>
  <c r="B63" i="6"/>
  <c r="B62" i="6"/>
  <c r="B61" i="6"/>
  <c r="G60" i="6"/>
  <c r="B60" i="6"/>
  <c r="B59" i="6"/>
  <c r="B58" i="6"/>
  <c r="G57" i="6"/>
  <c r="I57" i="6"/>
  <c r="N47" i="4"/>
  <c r="B57" i="6"/>
  <c r="N54" i="4"/>
  <c r="N46" i="4"/>
  <c r="N53" i="4"/>
  <c r="N45" i="4"/>
  <c r="N52" i="4"/>
  <c r="N43" i="4"/>
  <c r="N51" i="4"/>
  <c r="N58" i="4"/>
  <c r="N50" i="4"/>
  <c r="N57" i="4"/>
  <c r="N49" i="4"/>
  <c r="N44" i="4"/>
  <c r="N56" i="4"/>
  <c r="N48" i="4"/>
  <c r="N55" i="4"/>
  <c r="D16" i="11"/>
  <c r="E16" i="11"/>
  <c r="D15" i="11"/>
  <c r="E15" i="11"/>
  <c r="D14" i="11"/>
  <c r="G14" i="11"/>
  <c r="F14" i="11"/>
  <c r="J14" i="11"/>
  <c r="K14" i="11"/>
  <c r="E14" i="11"/>
  <c r="N34" i="4"/>
  <c r="N42" i="4"/>
  <c r="H40" i="4"/>
  <c r="H29" i="4"/>
  <c r="G41" i="4"/>
  <c r="G34" i="4"/>
  <c r="J34" i="4"/>
  <c r="K34" i="4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39" i="6"/>
  <c r="G54" i="6"/>
  <c r="G51" i="6"/>
  <c r="G48" i="6"/>
  <c r="G45" i="6"/>
  <c r="G42" i="6"/>
  <c r="G39" i="6"/>
  <c r="I39" i="6"/>
  <c r="N35" i="4"/>
  <c r="K37" i="5"/>
  <c r="M37" i="5"/>
  <c r="K35" i="5"/>
  <c r="M35" i="5"/>
  <c r="M33" i="5"/>
  <c r="N33" i="5"/>
  <c r="K33" i="5"/>
  <c r="K31" i="5"/>
  <c r="M31" i="5"/>
  <c r="N31" i="5"/>
  <c r="K29" i="5"/>
  <c r="M29" i="5"/>
  <c r="N29" i="5"/>
  <c r="K27" i="5"/>
  <c r="M27" i="5"/>
  <c r="G37" i="5"/>
  <c r="I37" i="5"/>
  <c r="I35" i="5"/>
  <c r="G35" i="5"/>
  <c r="G33" i="5"/>
  <c r="I33" i="5"/>
  <c r="I31" i="5"/>
  <c r="G31" i="5"/>
  <c r="G29" i="5"/>
  <c r="I29" i="5"/>
  <c r="G27" i="5"/>
  <c r="I27" i="5"/>
  <c r="B28" i="5"/>
  <c r="B29" i="5"/>
  <c r="B30" i="5"/>
  <c r="B31" i="5"/>
  <c r="B32" i="5"/>
  <c r="B33" i="5"/>
  <c r="B34" i="5"/>
  <c r="B35" i="5"/>
  <c r="B36" i="5"/>
  <c r="B37" i="5"/>
  <c r="B38" i="5"/>
  <c r="B27" i="5"/>
  <c r="N19" i="4"/>
  <c r="N20" i="4"/>
  <c r="J12" i="4"/>
  <c r="K12" i="4"/>
  <c r="J13" i="4"/>
  <c r="K13" i="4"/>
  <c r="J14" i="4"/>
  <c r="K14" i="4"/>
  <c r="J15" i="4"/>
  <c r="K15" i="4"/>
  <c r="J16" i="4"/>
  <c r="K16" i="4"/>
  <c r="J18" i="4"/>
  <c r="K18" i="4"/>
  <c r="J19" i="4"/>
  <c r="K19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H21" i="4"/>
  <c r="J21" i="4"/>
  <c r="K21" i="4"/>
  <c r="H20" i="4"/>
  <c r="G26" i="4"/>
  <c r="J26" i="4"/>
  <c r="K26" i="4"/>
  <c r="G25" i="4"/>
  <c r="J25" i="4"/>
  <c r="K25" i="4"/>
  <c r="G24" i="4"/>
  <c r="J24" i="4"/>
  <c r="K24" i="4"/>
  <c r="G23" i="4"/>
  <c r="J23" i="4"/>
  <c r="K23" i="4"/>
  <c r="G22" i="4"/>
  <c r="J22" i="4"/>
  <c r="K22" i="4"/>
  <c r="G20" i="4"/>
  <c r="J20" i="4"/>
  <c r="K20" i="4"/>
  <c r="G17" i="4"/>
  <c r="J17" i="4"/>
  <c r="K17" i="4"/>
  <c r="G11" i="4"/>
  <c r="J11" i="4"/>
  <c r="K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M20" i="4"/>
  <c r="M21" i="4"/>
  <c r="N21" i="4"/>
  <c r="M22" i="4"/>
  <c r="M23" i="4"/>
  <c r="N23" i="4"/>
  <c r="M24" i="4"/>
  <c r="N24" i="4"/>
  <c r="M25" i="4"/>
  <c r="N25" i="4"/>
  <c r="M26" i="4"/>
  <c r="N26" i="4"/>
  <c r="M11" i="4"/>
  <c r="L22" i="4"/>
  <c r="N22" i="4"/>
  <c r="L11" i="4"/>
  <c r="N11" i="4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G36" i="6"/>
  <c r="G33" i="6"/>
  <c r="G30" i="6"/>
  <c r="G27" i="6"/>
  <c r="G24" i="6"/>
  <c r="G21" i="6"/>
  <c r="I21" i="6"/>
  <c r="B3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K25" i="5"/>
  <c r="M25" i="5"/>
  <c r="G25" i="5"/>
  <c r="I25" i="5"/>
  <c r="K23" i="5"/>
  <c r="M23" i="5"/>
  <c r="G23" i="5"/>
  <c r="I23" i="5"/>
  <c r="K21" i="5"/>
  <c r="M21" i="5"/>
  <c r="G21" i="5"/>
  <c r="I21" i="5"/>
  <c r="N21" i="5"/>
  <c r="K19" i="5"/>
  <c r="M19" i="5"/>
  <c r="G19" i="5"/>
  <c r="I19" i="5"/>
  <c r="K17" i="5"/>
  <c r="M17" i="5"/>
  <c r="G17" i="5"/>
  <c r="I17" i="5"/>
  <c r="K15" i="5"/>
  <c r="M15" i="5"/>
  <c r="G15" i="5"/>
  <c r="I15" i="5"/>
  <c r="N35" i="5"/>
  <c r="N41" i="4"/>
  <c r="N33" i="4"/>
  <c r="N23" i="5"/>
  <c r="N27" i="5"/>
  <c r="N37" i="5"/>
  <c r="N40" i="4"/>
  <c r="N32" i="4"/>
  <c r="N39" i="4"/>
  <c r="N31" i="4"/>
  <c r="N38" i="4"/>
  <c r="N30" i="4"/>
  <c r="N37" i="4"/>
  <c r="N29" i="4"/>
  <c r="N36" i="4"/>
  <c r="N28" i="4"/>
  <c r="N27" i="4"/>
  <c r="I14" i="11"/>
  <c r="H14" i="11"/>
  <c r="N15" i="5"/>
  <c r="N25" i="5"/>
  <c r="N19" i="5"/>
  <c r="N17" i="5"/>
  <c r="P13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7" i="2"/>
  <c r="L10" i="4"/>
  <c r="N10" i="4"/>
  <c r="L9" i="4"/>
  <c r="N9" i="4"/>
  <c r="L8" i="4"/>
  <c r="N8" i="4"/>
  <c r="L7" i="4"/>
  <c r="N7" i="4"/>
  <c r="G7" i="4"/>
  <c r="J7" i="4"/>
  <c r="K7" i="4"/>
  <c r="H7" i="4"/>
  <c r="G8" i="4"/>
  <c r="J8" i="4"/>
  <c r="K8" i="4"/>
  <c r="G9" i="4"/>
  <c r="G10" i="4"/>
  <c r="J9" i="4"/>
  <c r="K9" i="4"/>
  <c r="J10" i="4"/>
  <c r="K10" i="4"/>
  <c r="G3" i="6"/>
  <c r="I3" i="6"/>
  <c r="I117" i="6"/>
  <c r="I123" i="6"/>
  <c r="I126" i="6"/>
  <c r="I114" i="6"/>
  <c r="I120" i="6"/>
  <c r="I108" i="6"/>
  <c r="I105" i="6"/>
  <c r="I99" i="6"/>
  <c r="I96" i="6"/>
  <c r="I102" i="6"/>
  <c r="I90" i="6"/>
  <c r="I78" i="6"/>
  <c r="I81" i="6"/>
  <c r="I87" i="6"/>
  <c r="I84" i="6"/>
  <c r="I63" i="6"/>
  <c r="I60" i="6"/>
  <c r="I66" i="6"/>
  <c r="I69" i="6"/>
  <c r="I72" i="6"/>
  <c r="I54" i="6"/>
  <c r="I48" i="6"/>
  <c r="I42" i="6"/>
  <c r="I45" i="6"/>
  <c r="I51" i="6"/>
  <c r="I36" i="6"/>
  <c r="I24" i="6"/>
  <c r="I27" i="6"/>
  <c r="I30" i="6"/>
  <c r="I33" i="6"/>
  <c r="C4" i="4"/>
  <c r="C5" i="4"/>
  <c r="C6" i="4"/>
  <c r="C7" i="4"/>
  <c r="C8" i="4"/>
  <c r="C9" i="4"/>
  <c r="C10" i="4"/>
  <c r="C11" i="4"/>
  <c r="C5" i="13"/>
  <c r="B17" i="14"/>
  <c r="C12" i="4"/>
  <c r="C13" i="4"/>
  <c r="C14" i="4"/>
  <c r="C15" i="4"/>
  <c r="C16" i="4"/>
  <c r="C17" i="4"/>
  <c r="C18" i="4"/>
  <c r="C19" i="4"/>
  <c r="C7" i="13"/>
  <c r="B43" i="14"/>
  <c r="C20" i="4"/>
  <c r="C21" i="4"/>
  <c r="C22" i="4"/>
  <c r="C23" i="4"/>
  <c r="C8" i="13"/>
  <c r="B56" i="14"/>
  <c r="C24" i="4"/>
  <c r="C25" i="4"/>
  <c r="C26" i="4"/>
  <c r="C27" i="4"/>
  <c r="C9" i="13"/>
  <c r="B19" i="14"/>
  <c r="C28" i="4"/>
  <c r="C29" i="4"/>
  <c r="C30" i="4"/>
  <c r="C31" i="4"/>
  <c r="C32" i="4"/>
  <c r="C33" i="4"/>
  <c r="C34" i="4"/>
  <c r="C35" i="4"/>
  <c r="C11" i="13"/>
  <c r="B45" i="14"/>
  <c r="C36" i="4"/>
  <c r="C37" i="4"/>
  <c r="C38" i="4"/>
  <c r="C39" i="4"/>
  <c r="C12" i="13"/>
  <c r="B58" i="14"/>
  <c r="C40" i="4"/>
  <c r="C41" i="4"/>
  <c r="C42" i="4"/>
  <c r="C43" i="4"/>
  <c r="C13" i="13"/>
  <c r="B20" i="1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17" i="13"/>
  <c r="B21" i="14"/>
  <c r="C60" i="4"/>
  <c r="C61" i="4"/>
  <c r="C62" i="4"/>
  <c r="C63" i="4"/>
  <c r="C64" i="4"/>
  <c r="C65" i="4"/>
  <c r="C66" i="4"/>
  <c r="C67" i="4"/>
  <c r="C19" i="13"/>
  <c r="B47" i="14"/>
  <c r="C68" i="4"/>
  <c r="C69" i="4"/>
  <c r="C70" i="4"/>
  <c r="C71" i="4"/>
  <c r="C72" i="4"/>
  <c r="C73" i="4"/>
  <c r="C74" i="4"/>
  <c r="C75" i="4"/>
  <c r="C21" i="13"/>
  <c r="B22" i="14"/>
  <c r="C76" i="4"/>
  <c r="C77" i="4"/>
  <c r="C78" i="4"/>
  <c r="C79" i="4"/>
  <c r="C80" i="4"/>
  <c r="C81" i="4"/>
  <c r="C82" i="4"/>
  <c r="C83" i="4"/>
  <c r="C23" i="13"/>
  <c r="B48" i="14"/>
  <c r="C84" i="4"/>
  <c r="C85" i="4"/>
  <c r="C86" i="4"/>
  <c r="C87" i="4"/>
  <c r="C88" i="4"/>
  <c r="C89" i="4"/>
  <c r="C90" i="4"/>
  <c r="C91" i="4"/>
  <c r="C25" i="13"/>
  <c r="B23" i="14"/>
  <c r="C92" i="4"/>
  <c r="C93" i="4"/>
  <c r="C94" i="4"/>
  <c r="C95" i="4"/>
  <c r="C96" i="4"/>
  <c r="C97" i="4"/>
  <c r="C98" i="4"/>
  <c r="C99" i="4"/>
  <c r="C27" i="13"/>
  <c r="B49" i="14"/>
  <c r="C100" i="4"/>
  <c r="C101" i="4"/>
  <c r="C102" i="4"/>
  <c r="C103" i="4"/>
  <c r="C104" i="4"/>
  <c r="C105" i="4"/>
  <c r="C106" i="4"/>
  <c r="C3" i="4"/>
  <c r="C3" i="13"/>
  <c r="B54" i="14"/>
  <c r="H4" i="13"/>
  <c r="E42" i="14"/>
  <c r="I4" i="13"/>
  <c r="F42" i="14"/>
  <c r="J4" i="13"/>
  <c r="G55" i="14"/>
  <c r="K4" i="13"/>
  <c r="H16" i="14"/>
  <c r="F5" i="13"/>
  <c r="C17" i="14"/>
  <c r="G5" i="13"/>
  <c r="D17" i="14"/>
  <c r="H5" i="13"/>
  <c r="E17" i="14"/>
  <c r="I5" i="13"/>
  <c r="F17" i="14"/>
  <c r="J5" i="13"/>
  <c r="G17" i="14"/>
  <c r="K5" i="13"/>
  <c r="H17" i="14"/>
  <c r="F6" i="13"/>
  <c r="C30" i="14"/>
  <c r="G6" i="13"/>
  <c r="D30" i="14"/>
  <c r="H6" i="13"/>
  <c r="E30" i="14"/>
  <c r="I6" i="13"/>
  <c r="F30" i="14"/>
  <c r="J6" i="13"/>
  <c r="G30" i="14"/>
  <c r="K6" i="13"/>
  <c r="H30" i="14"/>
  <c r="F7" i="13"/>
  <c r="C43" i="14"/>
  <c r="G7" i="13"/>
  <c r="D43" i="14"/>
  <c r="H7" i="13"/>
  <c r="E43" i="14"/>
  <c r="I7" i="13"/>
  <c r="F43" i="14"/>
  <c r="J7" i="13"/>
  <c r="G43" i="14"/>
  <c r="K7" i="13"/>
  <c r="H43" i="14"/>
  <c r="F8" i="13"/>
  <c r="C56" i="14"/>
  <c r="G8" i="13"/>
  <c r="D56" i="14"/>
  <c r="H8" i="13"/>
  <c r="E56" i="14"/>
  <c r="I8" i="13"/>
  <c r="F56" i="14"/>
  <c r="J8" i="13"/>
  <c r="G56" i="14"/>
  <c r="K8" i="13"/>
  <c r="H56" i="14"/>
  <c r="F9" i="13"/>
  <c r="C19" i="14"/>
  <c r="G9" i="13"/>
  <c r="D19" i="14"/>
  <c r="H9" i="13"/>
  <c r="E19" i="14"/>
  <c r="I9" i="13"/>
  <c r="F19" i="14"/>
  <c r="J9" i="13"/>
  <c r="G19" i="14"/>
  <c r="K9" i="13"/>
  <c r="H19" i="14"/>
  <c r="F10" i="13"/>
  <c r="C32" i="14"/>
  <c r="G10" i="13"/>
  <c r="D32" i="14"/>
  <c r="H10" i="13"/>
  <c r="E32" i="14"/>
  <c r="I10" i="13"/>
  <c r="F32" i="14"/>
  <c r="J10" i="13"/>
  <c r="G32" i="14"/>
  <c r="K10" i="13"/>
  <c r="H32" i="14"/>
  <c r="F11" i="13"/>
  <c r="C45" i="14"/>
  <c r="G11" i="13"/>
  <c r="D45" i="14"/>
  <c r="H11" i="13"/>
  <c r="E45" i="14"/>
  <c r="I11" i="13"/>
  <c r="F45" i="14"/>
  <c r="J11" i="13"/>
  <c r="G45" i="14"/>
  <c r="K11" i="13"/>
  <c r="H45" i="14"/>
  <c r="F12" i="13"/>
  <c r="C58" i="14"/>
  <c r="G12" i="13"/>
  <c r="D58" i="14"/>
  <c r="H12" i="13"/>
  <c r="E58" i="14"/>
  <c r="I12" i="13"/>
  <c r="F58" i="14"/>
  <c r="J12" i="13"/>
  <c r="G58" i="14"/>
  <c r="K12" i="13"/>
  <c r="H58" i="14"/>
  <c r="F13" i="13"/>
  <c r="C20" i="14"/>
  <c r="G13" i="13"/>
  <c r="D20" i="14"/>
  <c r="H13" i="13"/>
  <c r="E20" i="14"/>
  <c r="I13" i="13"/>
  <c r="F20" i="14"/>
  <c r="J13" i="13"/>
  <c r="G20" i="14"/>
  <c r="K13" i="13"/>
  <c r="H20" i="14"/>
  <c r="F14" i="13"/>
  <c r="C33" i="14"/>
  <c r="G14" i="13"/>
  <c r="D33" i="14"/>
  <c r="H14" i="13"/>
  <c r="E33" i="14"/>
  <c r="I14" i="13"/>
  <c r="F33" i="14"/>
  <c r="J14" i="13"/>
  <c r="G33" i="14"/>
  <c r="K14" i="13"/>
  <c r="H33" i="14"/>
  <c r="F15" i="13"/>
  <c r="C46" i="14"/>
  <c r="G15" i="13"/>
  <c r="D46" i="14"/>
  <c r="H15" i="13"/>
  <c r="E46" i="14"/>
  <c r="I15" i="13"/>
  <c r="F46" i="14"/>
  <c r="J15" i="13"/>
  <c r="G46" i="14"/>
  <c r="K15" i="13"/>
  <c r="H46" i="14"/>
  <c r="F16" i="13"/>
  <c r="C59" i="14"/>
  <c r="G16" i="13"/>
  <c r="D59" i="14"/>
  <c r="H16" i="13"/>
  <c r="E59" i="14"/>
  <c r="I16" i="13"/>
  <c r="F59" i="14"/>
  <c r="J16" i="13"/>
  <c r="G59" i="14"/>
  <c r="K16" i="13"/>
  <c r="H59" i="14"/>
  <c r="F17" i="13"/>
  <c r="C21" i="14"/>
  <c r="G17" i="13"/>
  <c r="D21" i="14"/>
  <c r="H17" i="13"/>
  <c r="E21" i="14"/>
  <c r="I17" i="13"/>
  <c r="F21" i="14"/>
  <c r="J17" i="13"/>
  <c r="G21" i="14"/>
  <c r="K17" i="13"/>
  <c r="H21" i="14"/>
  <c r="F18" i="13"/>
  <c r="C34" i="14"/>
  <c r="G18" i="13"/>
  <c r="D34" i="14"/>
  <c r="H18" i="13"/>
  <c r="E34" i="14"/>
  <c r="I18" i="13"/>
  <c r="F34" i="14"/>
  <c r="J18" i="13"/>
  <c r="G34" i="14"/>
  <c r="K18" i="13"/>
  <c r="H34" i="14"/>
  <c r="F19" i="13"/>
  <c r="C47" i="14"/>
  <c r="G19" i="13"/>
  <c r="D47" i="14"/>
  <c r="H19" i="13"/>
  <c r="E47" i="14"/>
  <c r="I19" i="13"/>
  <c r="F47" i="14"/>
  <c r="J19" i="13"/>
  <c r="G47" i="14"/>
  <c r="K19" i="13"/>
  <c r="H47" i="14"/>
  <c r="F20" i="13"/>
  <c r="C60" i="14"/>
  <c r="G20" i="13"/>
  <c r="D60" i="14"/>
  <c r="H20" i="13"/>
  <c r="E60" i="14"/>
  <c r="I20" i="13"/>
  <c r="F60" i="14"/>
  <c r="J20" i="13"/>
  <c r="G60" i="14"/>
  <c r="K20" i="13"/>
  <c r="H60" i="14"/>
  <c r="F21" i="13"/>
  <c r="C22" i="14"/>
  <c r="G21" i="13"/>
  <c r="D22" i="14"/>
  <c r="H21" i="13"/>
  <c r="E22" i="14"/>
  <c r="I21" i="13"/>
  <c r="F22" i="14"/>
  <c r="J21" i="13"/>
  <c r="G22" i="14"/>
  <c r="K21" i="13"/>
  <c r="H22" i="14"/>
  <c r="F22" i="13"/>
  <c r="C35" i="14"/>
  <c r="G22" i="13"/>
  <c r="D35" i="14"/>
  <c r="H22" i="13"/>
  <c r="E35" i="14"/>
  <c r="I22" i="13"/>
  <c r="F35" i="14"/>
  <c r="J22" i="13"/>
  <c r="G35" i="14"/>
  <c r="K22" i="13"/>
  <c r="H35" i="14"/>
  <c r="F23" i="13"/>
  <c r="C48" i="14"/>
  <c r="G23" i="13"/>
  <c r="D48" i="14"/>
  <c r="H23" i="13"/>
  <c r="E48" i="14"/>
  <c r="I23" i="13"/>
  <c r="F48" i="14"/>
  <c r="J23" i="13"/>
  <c r="G48" i="14"/>
  <c r="K23" i="13"/>
  <c r="H48" i="14"/>
  <c r="F24" i="13"/>
  <c r="C61" i="14"/>
  <c r="G24" i="13"/>
  <c r="D61" i="14"/>
  <c r="H24" i="13"/>
  <c r="E61" i="14"/>
  <c r="I24" i="13"/>
  <c r="F61" i="14"/>
  <c r="J24" i="13"/>
  <c r="G61" i="14"/>
  <c r="K24" i="13"/>
  <c r="H61" i="14"/>
  <c r="F25" i="13"/>
  <c r="C23" i="14"/>
  <c r="G25" i="13"/>
  <c r="D23" i="14"/>
  <c r="H25" i="13"/>
  <c r="E23" i="14"/>
  <c r="I25" i="13"/>
  <c r="F23" i="14"/>
  <c r="J25" i="13"/>
  <c r="G23" i="14"/>
  <c r="K25" i="13"/>
  <c r="H23" i="14"/>
  <c r="F26" i="13"/>
  <c r="C36" i="14"/>
  <c r="G26" i="13"/>
  <c r="D36" i="14"/>
  <c r="H26" i="13"/>
  <c r="E36" i="14"/>
  <c r="I26" i="13"/>
  <c r="F36" i="14"/>
  <c r="J26" i="13"/>
  <c r="G36" i="14"/>
  <c r="K26" i="13"/>
  <c r="H36" i="14"/>
  <c r="F27" i="13"/>
  <c r="C49" i="14"/>
  <c r="G27" i="13"/>
  <c r="D49" i="14"/>
  <c r="H27" i="13"/>
  <c r="E49" i="14"/>
  <c r="I27" i="13"/>
  <c r="F49" i="14"/>
  <c r="J27" i="13"/>
  <c r="G49" i="14"/>
  <c r="K27" i="13"/>
  <c r="H49" i="14"/>
  <c r="F28" i="13"/>
  <c r="C62" i="14"/>
  <c r="G28" i="13"/>
  <c r="D62" i="14"/>
  <c r="H28" i="13"/>
  <c r="E62" i="14"/>
  <c r="I28" i="13"/>
  <c r="F62" i="14"/>
  <c r="J28" i="13"/>
  <c r="G62" i="14"/>
  <c r="K28" i="13"/>
  <c r="H62" i="14"/>
  <c r="K3" i="13"/>
  <c r="H28" i="14"/>
  <c r="J3" i="13"/>
  <c r="G54" i="14"/>
  <c r="I3" i="13"/>
  <c r="F41" i="14"/>
  <c r="H3" i="13"/>
  <c r="E28" i="14"/>
  <c r="G3" i="13"/>
  <c r="D54" i="14"/>
  <c r="F3" i="13"/>
  <c r="C28" i="14"/>
  <c r="A3" i="13"/>
  <c r="B3" i="13"/>
  <c r="A54" i="14"/>
  <c r="D3" i="13"/>
  <c r="E3" i="13"/>
  <c r="A4" i="13"/>
  <c r="B4" i="13"/>
  <c r="A29" i="14"/>
  <c r="C4" i="13"/>
  <c r="B16" i="14"/>
  <c r="D4" i="13"/>
  <c r="E4" i="13"/>
  <c r="A5" i="13"/>
  <c r="B5" i="13"/>
  <c r="A17" i="14"/>
  <c r="D5" i="13"/>
  <c r="E5" i="13"/>
  <c r="A6" i="13"/>
  <c r="B6" i="13"/>
  <c r="A30" i="14"/>
  <c r="C6" i="13"/>
  <c r="B30" i="14"/>
  <c r="D6" i="13"/>
  <c r="E6" i="13"/>
  <c r="A7" i="13"/>
  <c r="B7" i="13"/>
  <c r="A43" i="14"/>
  <c r="D7" i="13"/>
  <c r="E7" i="13"/>
  <c r="A8" i="13"/>
  <c r="B8" i="13"/>
  <c r="A56" i="14"/>
  <c r="D8" i="13"/>
  <c r="E8" i="13"/>
  <c r="A9" i="13"/>
  <c r="B9" i="13"/>
  <c r="A19" i="14"/>
  <c r="D9" i="13"/>
  <c r="E9" i="13"/>
  <c r="A10" i="13"/>
  <c r="B10" i="13"/>
  <c r="A32" i="14"/>
  <c r="C10" i="13"/>
  <c r="B32" i="14"/>
  <c r="D10" i="13"/>
  <c r="E10" i="13"/>
  <c r="A11" i="13"/>
  <c r="B11" i="13"/>
  <c r="A45" i="14"/>
  <c r="D11" i="13"/>
  <c r="E11" i="13"/>
  <c r="A12" i="13"/>
  <c r="B12" i="13"/>
  <c r="A58" i="14"/>
  <c r="D12" i="13"/>
  <c r="E12" i="13"/>
  <c r="A13" i="13"/>
  <c r="B13" i="13"/>
  <c r="A20" i="14"/>
  <c r="D13" i="13"/>
  <c r="E13" i="13"/>
  <c r="A14" i="13"/>
  <c r="B14" i="13"/>
  <c r="A33" i="14"/>
  <c r="C14" i="13"/>
  <c r="B33" i="14"/>
  <c r="D14" i="13"/>
  <c r="E14" i="13"/>
  <c r="A15" i="13"/>
  <c r="B15" i="13"/>
  <c r="A46" i="14"/>
  <c r="C15" i="13"/>
  <c r="B46" i="14"/>
  <c r="D15" i="13"/>
  <c r="E15" i="13"/>
  <c r="A16" i="13"/>
  <c r="B16" i="13"/>
  <c r="A59" i="14"/>
  <c r="C16" i="13"/>
  <c r="B59" i="14"/>
  <c r="D16" i="13"/>
  <c r="E16" i="13"/>
  <c r="A17" i="13"/>
  <c r="B17" i="13"/>
  <c r="A21" i="14"/>
  <c r="D17" i="13"/>
  <c r="E17" i="13"/>
  <c r="A18" i="13"/>
  <c r="B18" i="13"/>
  <c r="A34" i="14"/>
  <c r="C18" i="13"/>
  <c r="B34" i="14"/>
  <c r="D18" i="13"/>
  <c r="E18" i="13"/>
  <c r="A19" i="13"/>
  <c r="B19" i="13"/>
  <c r="A47" i="14"/>
  <c r="D19" i="13"/>
  <c r="E19" i="13"/>
  <c r="A20" i="13"/>
  <c r="B20" i="13"/>
  <c r="A60" i="14"/>
  <c r="C20" i="13"/>
  <c r="B60" i="14"/>
  <c r="D20" i="13"/>
  <c r="E20" i="13"/>
  <c r="A21" i="13"/>
  <c r="B21" i="13"/>
  <c r="A22" i="14"/>
  <c r="D21" i="13"/>
  <c r="E21" i="13"/>
  <c r="A22" i="13"/>
  <c r="B22" i="13"/>
  <c r="A35" i="14"/>
  <c r="C22" i="13"/>
  <c r="B35" i="14"/>
  <c r="D22" i="13"/>
  <c r="E22" i="13"/>
  <c r="A23" i="13"/>
  <c r="B23" i="13"/>
  <c r="A48" i="14"/>
  <c r="D23" i="13"/>
  <c r="E23" i="13"/>
  <c r="A24" i="13"/>
  <c r="B24" i="13"/>
  <c r="A61" i="14"/>
  <c r="C24" i="13"/>
  <c r="B61" i="14"/>
  <c r="D24" i="13"/>
  <c r="E24" i="13"/>
  <c r="A25" i="13"/>
  <c r="B25" i="13"/>
  <c r="A23" i="14"/>
  <c r="D25" i="13"/>
  <c r="E25" i="13"/>
  <c r="A26" i="13"/>
  <c r="B26" i="13"/>
  <c r="A36" i="14"/>
  <c r="C26" i="13"/>
  <c r="B36" i="14"/>
  <c r="D26" i="13"/>
  <c r="E26" i="13"/>
  <c r="A27" i="13"/>
  <c r="B27" i="13"/>
  <c r="A49" i="14"/>
  <c r="D27" i="13"/>
  <c r="E27" i="13"/>
  <c r="A28" i="13"/>
  <c r="B28" i="13"/>
  <c r="A62" i="14"/>
  <c r="C28" i="13"/>
  <c r="B62" i="14"/>
  <c r="D28" i="13"/>
  <c r="E28" i="13"/>
  <c r="F4" i="13"/>
  <c r="C29" i="14"/>
  <c r="G4" i="13"/>
  <c r="D29" i="14"/>
  <c r="G28" i="14"/>
  <c r="D15" i="14"/>
  <c r="D28" i="14"/>
  <c r="D41" i="14"/>
  <c r="F16" i="14"/>
  <c r="G15" i="14"/>
  <c r="F55" i="14"/>
  <c r="A15" i="14"/>
  <c r="A28" i="14"/>
  <c r="F29" i="14"/>
  <c r="E41" i="14"/>
  <c r="E54" i="14"/>
  <c r="E16" i="14"/>
  <c r="E15" i="14"/>
  <c r="E29" i="14"/>
  <c r="B42" i="14"/>
  <c r="C41" i="14"/>
  <c r="F15" i="14"/>
  <c r="E55" i="14"/>
  <c r="H41" i="14"/>
  <c r="B55" i="14"/>
  <c r="C54" i="14"/>
  <c r="A16" i="14"/>
  <c r="C15" i="14"/>
  <c r="B29" i="14"/>
  <c r="A41" i="14"/>
  <c r="G41" i="14"/>
  <c r="A55" i="14"/>
  <c r="H54" i="14"/>
  <c r="F54" i="14"/>
  <c r="F28" i="14"/>
  <c r="A42" i="14"/>
  <c r="B15" i="14"/>
  <c r="H15" i="14"/>
  <c r="G16" i="14"/>
  <c r="H29" i="14"/>
  <c r="H42" i="14"/>
  <c r="G42" i="14"/>
  <c r="G29" i="14"/>
  <c r="H55" i="14"/>
  <c r="B28" i="14"/>
  <c r="B41" i="14"/>
  <c r="C42" i="14"/>
  <c r="C55" i="14"/>
  <c r="C16" i="14"/>
  <c r="D55" i="14"/>
  <c r="D42" i="14"/>
  <c r="D16" i="14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A4" i="12"/>
  <c r="B4" i="12"/>
  <c r="A34" i="11"/>
  <c r="C4" i="12"/>
  <c r="B22" i="11"/>
  <c r="D4" i="12"/>
  <c r="E4" i="12"/>
  <c r="A5" i="12"/>
  <c r="B5" i="12"/>
  <c r="A59" i="11"/>
  <c r="C5" i="12"/>
  <c r="B23" i="11"/>
  <c r="D5" i="12"/>
  <c r="E5" i="12"/>
  <c r="A6" i="12"/>
  <c r="B6" i="12"/>
  <c r="A24" i="11"/>
  <c r="C6" i="12"/>
  <c r="B24" i="11"/>
  <c r="D6" i="12"/>
  <c r="E6" i="12"/>
  <c r="A7" i="12"/>
  <c r="B7" i="12"/>
  <c r="A36" i="11"/>
  <c r="C7" i="12"/>
  <c r="B36" i="11"/>
  <c r="D7" i="12"/>
  <c r="E7" i="12"/>
  <c r="A8" i="12"/>
  <c r="B8" i="12"/>
  <c r="A48" i="11"/>
  <c r="C8" i="12"/>
  <c r="B48" i="11"/>
  <c r="D8" i="12"/>
  <c r="E8" i="12"/>
  <c r="A9" i="12"/>
  <c r="B9" i="12"/>
  <c r="A60" i="11"/>
  <c r="C9" i="12"/>
  <c r="B60" i="11"/>
  <c r="D9" i="12"/>
  <c r="E9" i="12"/>
  <c r="A10" i="12"/>
  <c r="B10" i="12"/>
  <c r="A25" i="11"/>
  <c r="C10" i="12"/>
  <c r="B25" i="11"/>
  <c r="D10" i="12"/>
  <c r="E10" i="12"/>
  <c r="A11" i="12"/>
  <c r="B11" i="12"/>
  <c r="A37" i="11"/>
  <c r="C11" i="12"/>
  <c r="B37" i="11"/>
  <c r="D11" i="12"/>
  <c r="E11" i="12"/>
  <c r="A12" i="12"/>
  <c r="B12" i="12"/>
  <c r="A49" i="11"/>
  <c r="C12" i="12"/>
  <c r="B49" i="11"/>
  <c r="D12" i="12"/>
  <c r="E12" i="12"/>
  <c r="A13" i="12"/>
  <c r="B13" i="12"/>
  <c r="A61" i="11"/>
  <c r="C13" i="12"/>
  <c r="B61" i="11"/>
  <c r="D13" i="12"/>
  <c r="E13" i="12"/>
  <c r="A14" i="12"/>
  <c r="B14" i="12"/>
  <c r="A26" i="11"/>
  <c r="C14" i="12"/>
  <c r="B26" i="11"/>
  <c r="D14" i="12"/>
  <c r="E14" i="12"/>
  <c r="A15" i="12"/>
  <c r="B15" i="12"/>
  <c r="A38" i="11"/>
  <c r="C15" i="12"/>
  <c r="B38" i="11"/>
  <c r="D15" i="12"/>
  <c r="E15" i="12"/>
  <c r="A16" i="12"/>
  <c r="B16" i="12"/>
  <c r="A50" i="11"/>
  <c r="C16" i="12"/>
  <c r="B50" i="11"/>
  <c r="D16" i="12"/>
  <c r="E16" i="12"/>
  <c r="A17" i="12"/>
  <c r="B17" i="12"/>
  <c r="A62" i="11"/>
  <c r="C17" i="12"/>
  <c r="B62" i="11"/>
  <c r="D17" i="12"/>
  <c r="E17" i="12"/>
  <c r="A18" i="12"/>
  <c r="B18" i="12"/>
  <c r="A27" i="11"/>
  <c r="C18" i="12"/>
  <c r="B27" i="11"/>
  <c r="D18" i="12"/>
  <c r="E18" i="12"/>
  <c r="A19" i="12"/>
  <c r="B19" i="12"/>
  <c r="A39" i="11"/>
  <c r="C19" i="12"/>
  <c r="B39" i="11"/>
  <c r="D19" i="12"/>
  <c r="E19" i="12"/>
  <c r="A20" i="12"/>
  <c r="B20" i="12"/>
  <c r="A51" i="11"/>
  <c r="C20" i="12"/>
  <c r="B51" i="11"/>
  <c r="D20" i="12"/>
  <c r="E20" i="12"/>
  <c r="A21" i="12"/>
  <c r="B21" i="12"/>
  <c r="A63" i="11"/>
  <c r="C21" i="12"/>
  <c r="B63" i="11"/>
  <c r="D21" i="12"/>
  <c r="E21" i="12"/>
  <c r="A22" i="12"/>
  <c r="B22" i="12"/>
  <c r="A28" i="11"/>
  <c r="C22" i="12"/>
  <c r="B28" i="11"/>
  <c r="D22" i="12"/>
  <c r="E22" i="12"/>
  <c r="A23" i="12"/>
  <c r="B23" i="12"/>
  <c r="A40" i="11"/>
  <c r="C23" i="12"/>
  <c r="B40" i="11"/>
  <c r="D23" i="12"/>
  <c r="E23" i="12"/>
  <c r="A24" i="12"/>
  <c r="B24" i="12"/>
  <c r="A52" i="11"/>
  <c r="C24" i="12"/>
  <c r="B52" i="11"/>
  <c r="D24" i="12"/>
  <c r="E24" i="12"/>
  <c r="A25" i="12"/>
  <c r="B25" i="12"/>
  <c r="A64" i="11"/>
  <c r="C25" i="12"/>
  <c r="B64" i="11"/>
  <c r="D25" i="12"/>
  <c r="E25" i="12"/>
  <c r="A26" i="12"/>
  <c r="B26" i="12"/>
  <c r="A29" i="11"/>
  <c r="C26" i="12"/>
  <c r="B29" i="11"/>
  <c r="D26" i="12"/>
  <c r="E26" i="12"/>
  <c r="A27" i="12"/>
  <c r="B27" i="12"/>
  <c r="A41" i="11"/>
  <c r="C27" i="12"/>
  <c r="B41" i="11"/>
  <c r="D27" i="12"/>
  <c r="E27" i="12"/>
  <c r="A28" i="12"/>
  <c r="B28" i="12"/>
  <c r="A53" i="11"/>
  <c r="C28" i="12"/>
  <c r="B53" i="11"/>
  <c r="D28" i="12"/>
  <c r="E28" i="12"/>
  <c r="A29" i="12"/>
  <c r="B29" i="12"/>
  <c r="A65" i="11"/>
  <c r="C29" i="12"/>
  <c r="B65" i="11"/>
  <c r="D29" i="12"/>
  <c r="E29" i="1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106" i="1"/>
  <c r="C91" i="1"/>
  <c r="K107" i="1"/>
  <c r="C92" i="1"/>
  <c r="K108" i="1"/>
  <c r="C93" i="1"/>
  <c r="K109" i="1"/>
  <c r="C94" i="1"/>
  <c r="C95" i="1"/>
  <c r="C96" i="1"/>
  <c r="K114" i="1"/>
  <c r="C97" i="1"/>
  <c r="K115" i="1"/>
  <c r="C98" i="1"/>
  <c r="C99" i="1"/>
  <c r="C100" i="1"/>
  <c r="K120" i="1"/>
  <c r="C101" i="1"/>
  <c r="K121" i="1"/>
  <c r="C102" i="1"/>
  <c r="C103" i="1"/>
  <c r="C104" i="1"/>
  <c r="K126" i="1"/>
  <c r="C105" i="1"/>
  <c r="K127" i="1"/>
  <c r="C2" i="1"/>
  <c r="K125" i="1"/>
  <c r="K123" i="1"/>
  <c r="K113" i="1"/>
  <c r="K111" i="1"/>
  <c r="K124" i="1"/>
  <c r="K122" i="1"/>
  <c r="K112" i="1"/>
  <c r="K110" i="1"/>
  <c r="P29" i="7"/>
  <c r="K119" i="1"/>
  <c r="K117" i="1"/>
  <c r="K116" i="1"/>
  <c r="K118" i="1"/>
  <c r="K102" i="1"/>
  <c r="K96" i="1"/>
  <c r="K90" i="1"/>
  <c r="K84" i="1"/>
  <c r="K78" i="1"/>
  <c r="K72" i="1"/>
  <c r="K66" i="1"/>
  <c r="K60" i="1"/>
  <c r="K54" i="1"/>
  <c r="K48" i="1"/>
  <c r="K42" i="1"/>
  <c r="K36" i="1"/>
  <c r="K30" i="1"/>
  <c r="K101" i="1"/>
  <c r="K95" i="1"/>
  <c r="K89" i="1"/>
  <c r="K83" i="1"/>
  <c r="K77" i="1"/>
  <c r="K71" i="1"/>
  <c r="K65" i="1"/>
  <c r="K59" i="1"/>
  <c r="K53" i="1"/>
  <c r="K47" i="1"/>
  <c r="K41" i="1"/>
  <c r="K35" i="1"/>
  <c r="K29" i="1"/>
  <c r="K104" i="1"/>
  <c r="K98" i="1"/>
  <c r="K92" i="1"/>
  <c r="K86" i="1"/>
  <c r="K80" i="1"/>
  <c r="K74" i="1"/>
  <c r="K68" i="1"/>
  <c r="K62" i="1"/>
  <c r="K56" i="1"/>
  <c r="K50" i="1"/>
  <c r="K44" i="1"/>
  <c r="K38" i="1"/>
  <c r="K32" i="1"/>
  <c r="K26" i="1"/>
  <c r="K8" i="1"/>
  <c r="K103" i="1"/>
  <c r="K97" i="1"/>
  <c r="K91" i="1"/>
  <c r="K85" i="1"/>
  <c r="K79" i="1"/>
  <c r="K73" i="1"/>
  <c r="K67" i="1"/>
  <c r="K61" i="1"/>
  <c r="K55" i="1"/>
  <c r="K49" i="1"/>
  <c r="K43" i="1"/>
  <c r="K37" i="1"/>
  <c r="K31" i="1"/>
  <c r="K7" i="1"/>
  <c r="K23" i="1"/>
  <c r="K11" i="1"/>
  <c r="K15" i="1"/>
  <c r="K19" i="1"/>
  <c r="K21" i="1"/>
  <c r="K17" i="1"/>
  <c r="K25" i="1"/>
  <c r="K13" i="1"/>
  <c r="K24" i="1"/>
  <c r="K12" i="1"/>
  <c r="K20" i="1"/>
  <c r="K16" i="1"/>
  <c r="K100" i="1"/>
  <c r="K94" i="1"/>
  <c r="K88" i="1"/>
  <c r="K82" i="1"/>
  <c r="K76" i="1"/>
  <c r="K70" i="1"/>
  <c r="K64" i="1"/>
  <c r="K58" i="1"/>
  <c r="K52" i="1"/>
  <c r="K46" i="1"/>
  <c r="K40" i="1"/>
  <c r="K34" i="1"/>
  <c r="K28" i="1"/>
  <c r="K14" i="1"/>
  <c r="K18" i="1"/>
  <c r="K6" i="1"/>
  <c r="K22" i="1"/>
  <c r="K10" i="1"/>
  <c r="K105" i="1"/>
  <c r="K99" i="1"/>
  <c r="K93" i="1"/>
  <c r="K87" i="1"/>
  <c r="K81" i="1"/>
  <c r="K75" i="1"/>
  <c r="K69" i="1"/>
  <c r="K63" i="1"/>
  <c r="K57" i="1"/>
  <c r="K51" i="1"/>
  <c r="K45" i="1"/>
  <c r="K39" i="1"/>
  <c r="K33" i="1"/>
  <c r="K27" i="1"/>
  <c r="K9" i="1"/>
  <c r="A47" i="11"/>
  <c r="B47" i="11"/>
  <c r="A46" i="11"/>
  <c r="A58" i="11"/>
  <c r="A23" i="11"/>
  <c r="B35" i="11"/>
  <c r="A22" i="11"/>
  <c r="A35" i="11"/>
  <c r="B59" i="11"/>
  <c r="B34" i="11"/>
  <c r="B46" i="11"/>
  <c r="B58" i="11"/>
  <c r="G4" i="7"/>
  <c r="C52" i="8"/>
  <c r="H4" i="7"/>
  <c r="D28" i="8"/>
  <c r="I4" i="7"/>
  <c r="E40" i="8"/>
  <c r="J4" i="7"/>
  <c r="F28" i="8"/>
  <c r="K4" i="7"/>
  <c r="G52" i="8"/>
  <c r="L4" i="7"/>
  <c r="H16" i="8"/>
  <c r="G5" i="7"/>
  <c r="C17" i="8"/>
  <c r="H5" i="7"/>
  <c r="D17" i="8"/>
  <c r="I5" i="7"/>
  <c r="E17" i="8"/>
  <c r="J5" i="7"/>
  <c r="F17" i="8"/>
  <c r="K5" i="7"/>
  <c r="G17" i="8"/>
  <c r="L5" i="7"/>
  <c r="H17" i="8"/>
  <c r="G6" i="7"/>
  <c r="C29" i="8"/>
  <c r="H6" i="7"/>
  <c r="D29" i="8"/>
  <c r="I6" i="7"/>
  <c r="E29" i="8"/>
  <c r="J6" i="7"/>
  <c r="F29" i="8"/>
  <c r="K6" i="7"/>
  <c r="G29" i="8"/>
  <c r="L6" i="7"/>
  <c r="H29" i="8"/>
  <c r="G7" i="7"/>
  <c r="C41" i="8"/>
  <c r="H7" i="7"/>
  <c r="D41" i="8"/>
  <c r="I7" i="7"/>
  <c r="E41" i="8"/>
  <c r="J7" i="7"/>
  <c r="F41" i="8"/>
  <c r="K7" i="7"/>
  <c r="G41" i="8"/>
  <c r="L7" i="7"/>
  <c r="H41" i="8"/>
  <c r="G8" i="7"/>
  <c r="C53" i="8"/>
  <c r="H8" i="7"/>
  <c r="D53" i="8"/>
  <c r="I8" i="7"/>
  <c r="E53" i="8"/>
  <c r="J8" i="7"/>
  <c r="F53" i="8"/>
  <c r="K8" i="7"/>
  <c r="G53" i="8"/>
  <c r="L8" i="7"/>
  <c r="H53" i="8"/>
  <c r="G9" i="7"/>
  <c r="C18" i="8"/>
  <c r="H9" i="7"/>
  <c r="D18" i="8"/>
  <c r="I9" i="7"/>
  <c r="E18" i="8"/>
  <c r="J9" i="7"/>
  <c r="F18" i="8"/>
  <c r="K9" i="7"/>
  <c r="G18" i="8"/>
  <c r="L9" i="7"/>
  <c r="H18" i="8"/>
  <c r="G10" i="7"/>
  <c r="C30" i="8"/>
  <c r="H10" i="7"/>
  <c r="D30" i="8"/>
  <c r="I10" i="7"/>
  <c r="E30" i="8"/>
  <c r="J10" i="7"/>
  <c r="F30" i="8"/>
  <c r="K10" i="7"/>
  <c r="G30" i="8"/>
  <c r="L10" i="7"/>
  <c r="H30" i="8"/>
  <c r="G11" i="7"/>
  <c r="C42" i="8"/>
  <c r="H11" i="7"/>
  <c r="D42" i="8"/>
  <c r="I11" i="7"/>
  <c r="E42" i="8"/>
  <c r="J11" i="7"/>
  <c r="F42" i="8"/>
  <c r="K11" i="7"/>
  <c r="G42" i="8"/>
  <c r="L11" i="7"/>
  <c r="H42" i="8"/>
  <c r="G12" i="7"/>
  <c r="C54" i="8"/>
  <c r="H12" i="7"/>
  <c r="D54" i="8"/>
  <c r="I12" i="7"/>
  <c r="E54" i="8"/>
  <c r="J12" i="7"/>
  <c r="F54" i="8"/>
  <c r="K12" i="7"/>
  <c r="G54" i="8"/>
  <c r="L12" i="7"/>
  <c r="H54" i="8"/>
  <c r="G13" i="7"/>
  <c r="C19" i="8"/>
  <c r="H13" i="7"/>
  <c r="D19" i="8"/>
  <c r="I13" i="7"/>
  <c r="E19" i="8"/>
  <c r="J13" i="7"/>
  <c r="F19" i="8"/>
  <c r="K13" i="7"/>
  <c r="G19" i="8"/>
  <c r="L13" i="7"/>
  <c r="H19" i="8"/>
  <c r="G14" i="7"/>
  <c r="C31" i="8"/>
  <c r="H14" i="7"/>
  <c r="D31" i="8"/>
  <c r="I14" i="7"/>
  <c r="E31" i="8"/>
  <c r="J14" i="7"/>
  <c r="F31" i="8"/>
  <c r="K14" i="7"/>
  <c r="G31" i="8"/>
  <c r="L14" i="7"/>
  <c r="H31" i="8"/>
  <c r="G15" i="7"/>
  <c r="C43" i="8"/>
  <c r="H15" i="7"/>
  <c r="D43" i="8"/>
  <c r="I15" i="7"/>
  <c r="E43" i="8"/>
  <c r="J15" i="7"/>
  <c r="F43" i="8"/>
  <c r="K15" i="7"/>
  <c r="G43" i="8"/>
  <c r="L15" i="7"/>
  <c r="H43" i="8"/>
  <c r="G16" i="7"/>
  <c r="C55" i="8"/>
  <c r="H16" i="7"/>
  <c r="D55" i="8"/>
  <c r="I16" i="7"/>
  <c r="E55" i="8"/>
  <c r="J16" i="7"/>
  <c r="F55" i="8"/>
  <c r="K16" i="7"/>
  <c r="G55" i="8"/>
  <c r="L16" i="7"/>
  <c r="H55" i="8"/>
  <c r="G17" i="7"/>
  <c r="C20" i="8"/>
  <c r="H17" i="7"/>
  <c r="D20" i="8"/>
  <c r="I17" i="7"/>
  <c r="E20" i="8"/>
  <c r="J17" i="7"/>
  <c r="F20" i="8"/>
  <c r="K17" i="7"/>
  <c r="G20" i="8"/>
  <c r="L17" i="7"/>
  <c r="H20" i="8"/>
  <c r="G18" i="7"/>
  <c r="C32" i="8"/>
  <c r="H18" i="7"/>
  <c r="D32" i="8"/>
  <c r="I18" i="7"/>
  <c r="E32" i="8"/>
  <c r="J18" i="7"/>
  <c r="F32" i="8"/>
  <c r="K18" i="7"/>
  <c r="G32" i="8"/>
  <c r="L18" i="7"/>
  <c r="H32" i="8"/>
  <c r="G19" i="7"/>
  <c r="C44" i="8"/>
  <c r="H19" i="7"/>
  <c r="D44" i="8"/>
  <c r="I19" i="7"/>
  <c r="E44" i="8"/>
  <c r="J19" i="7"/>
  <c r="F44" i="8"/>
  <c r="K19" i="7"/>
  <c r="G44" i="8"/>
  <c r="L19" i="7"/>
  <c r="H44" i="8"/>
  <c r="G20" i="7"/>
  <c r="C56" i="8"/>
  <c r="H20" i="7"/>
  <c r="D56" i="8"/>
  <c r="I20" i="7"/>
  <c r="E56" i="8"/>
  <c r="J20" i="7"/>
  <c r="F56" i="8"/>
  <c r="K20" i="7"/>
  <c r="G56" i="8"/>
  <c r="L20" i="7"/>
  <c r="H56" i="8"/>
  <c r="G21" i="7"/>
  <c r="C21" i="8"/>
  <c r="H21" i="7"/>
  <c r="D21" i="8"/>
  <c r="I21" i="7"/>
  <c r="E21" i="8"/>
  <c r="J21" i="7"/>
  <c r="F21" i="8"/>
  <c r="K21" i="7"/>
  <c r="G21" i="8"/>
  <c r="L21" i="7"/>
  <c r="H21" i="8"/>
  <c r="G22" i="7"/>
  <c r="C33" i="8"/>
  <c r="H22" i="7"/>
  <c r="D33" i="8"/>
  <c r="I22" i="7"/>
  <c r="E33" i="8"/>
  <c r="J22" i="7"/>
  <c r="F33" i="8"/>
  <c r="K22" i="7"/>
  <c r="G33" i="8"/>
  <c r="L22" i="7"/>
  <c r="H33" i="8"/>
  <c r="G23" i="7"/>
  <c r="C45" i="8"/>
  <c r="H23" i="7"/>
  <c r="D45" i="8"/>
  <c r="I23" i="7"/>
  <c r="E45" i="8"/>
  <c r="J23" i="7"/>
  <c r="F45" i="8"/>
  <c r="K23" i="7"/>
  <c r="G45" i="8"/>
  <c r="L23" i="7"/>
  <c r="H45" i="8"/>
  <c r="G24" i="7"/>
  <c r="C57" i="8"/>
  <c r="H24" i="7"/>
  <c r="D57" i="8"/>
  <c r="I24" i="7"/>
  <c r="E57" i="8"/>
  <c r="J24" i="7"/>
  <c r="F57" i="8"/>
  <c r="K24" i="7"/>
  <c r="G57" i="8"/>
  <c r="L24" i="7"/>
  <c r="H57" i="8"/>
  <c r="G25" i="7"/>
  <c r="C22" i="8"/>
  <c r="H25" i="7"/>
  <c r="D22" i="8"/>
  <c r="I25" i="7"/>
  <c r="E22" i="8"/>
  <c r="J25" i="7"/>
  <c r="F22" i="8"/>
  <c r="K25" i="7"/>
  <c r="G22" i="8"/>
  <c r="L25" i="7"/>
  <c r="H22" i="8"/>
  <c r="G26" i="7"/>
  <c r="C34" i="8"/>
  <c r="H26" i="7"/>
  <c r="D34" i="8"/>
  <c r="I26" i="7"/>
  <c r="E34" i="8"/>
  <c r="J26" i="7"/>
  <c r="F34" i="8"/>
  <c r="K26" i="7"/>
  <c r="G34" i="8"/>
  <c r="L26" i="7"/>
  <c r="H34" i="8"/>
  <c r="G27" i="7"/>
  <c r="C46" i="8"/>
  <c r="H27" i="7"/>
  <c r="D46" i="8"/>
  <c r="I27" i="7"/>
  <c r="E46" i="8"/>
  <c r="J27" i="7"/>
  <c r="F46" i="8"/>
  <c r="K27" i="7"/>
  <c r="G46" i="8"/>
  <c r="L27" i="7"/>
  <c r="H46" i="8"/>
  <c r="G28" i="7"/>
  <c r="C58" i="8"/>
  <c r="H28" i="7"/>
  <c r="D58" i="8"/>
  <c r="I28" i="7"/>
  <c r="E58" i="8"/>
  <c r="J28" i="7"/>
  <c r="F58" i="8"/>
  <c r="K28" i="7"/>
  <c r="G58" i="8"/>
  <c r="L28" i="7"/>
  <c r="H58" i="8"/>
  <c r="L3" i="7"/>
  <c r="H51" i="8"/>
  <c r="K3" i="7"/>
  <c r="G39" i="8"/>
  <c r="J3" i="7"/>
  <c r="F15" i="8"/>
  <c r="I3" i="7"/>
  <c r="E39" i="8"/>
  <c r="H3" i="7"/>
  <c r="D51" i="8"/>
  <c r="G3" i="7"/>
  <c r="C51" i="8"/>
  <c r="A3" i="7"/>
  <c r="B3" i="7"/>
  <c r="A15" i="8"/>
  <c r="C3" i="7"/>
  <c r="B15" i="8"/>
  <c r="D3" i="7"/>
  <c r="E3" i="7"/>
  <c r="F3" i="7"/>
  <c r="A4" i="7"/>
  <c r="B4" i="7"/>
  <c r="A40" i="8"/>
  <c r="C4" i="7"/>
  <c r="B16" i="8"/>
  <c r="D4" i="7"/>
  <c r="E4" i="7"/>
  <c r="F4" i="7"/>
  <c r="A5" i="7"/>
  <c r="B5" i="7"/>
  <c r="A17" i="8"/>
  <c r="C5" i="7"/>
  <c r="B17" i="8"/>
  <c r="D5" i="7"/>
  <c r="E5" i="7"/>
  <c r="F5" i="7"/>
  <c r="A6" i="7"/>
  <c r="B6" i="7"/>
  <c r="A29" i="8"/>
  <c r="C6" i="7"/>
  <c r="B29" i="8"/>
  <c r="D6" i="7"/>
  <c r="E6" i="7"/>
  <c r="F6" i="7"/>
  <c r="A7" i="7"/>
  <c r="B7" i="7"/>
  <c r="A41" i="8"/>
  <c r="C7" i="7"/>
  <c r="B41" i="8"/>
  <c r="D7" i="7"/>
  <c r="E7" i="7"/>
  <c r="F7" i="7"/>
  <c r="A8" i="7"/>
  <c r="B8" i="7"/>
  <c r="A53" i="8"/>
  <c r="C8" i="7"/>
  <c r="B53" i="8"/>
  <c r="D8" i="7"/>
  <c r="E8" i="7"/>
  <c r="F8" i="7"/>
  <c r="A9" i="7"/>
  <c r="B9" i="7"/>
  <c r="A18" i="8"/>
  <c r="C9" i="7"/>
  <c r="B18" i="8"/>
  <c r="D9" i="7"/>
  <c r="E9" i="7"/>
  <c r="F9" i="7"/>
  <c r="A10" i="7"/>
  <c r="B10" i="7"/>
  <c r="A30" i="8"/>
  <c r="C10" i="7"/>
  <c r="B30" i="8"/>
  <c r="D10" i="7"/>
  <c r="E10" i="7"/>
  <c r="F10" i="7"/>
  <c r="A11" i="7"/>
  <c r="B11" i="7"/>
  <c r="A42" i="8"/>
  <c r="C11" i="7"/>
  <c r="B42" i="8"/>
  <c r="D11" i="7"/>
  <c r="E11" i="7"/>
  <c r="F11" i="7"/>
  <c r="A12" i="7"/>
  <c r="B12" i="7"/>
  <c r="A54" i="8"/>
  <c r="C12" i="7"/>
  <c r="B54" i="8"/>
  <c r="D12" i="7"/>
  <c r="E12" i="7"/>
  <c r="F12" i="7"/>
  <c r="A13" i="7"/>
  <c r="B13" i="7"/>
  <c r="A19" i="8"/>
  <c r="C13" i="7"/>
  <c r="B19" i="8"/>
  <c r="D13" i="7"/>
  <c r="E13" i="7"/>
  <c r="F13" i="7"/>
  <c r="A14" i="7"/>
  <c r="B14" i="7"/>
  <c r="A31" i="8"/>
  <c r="C14" i="7"/>
  <c r="B31" i="8"/>
  <c r="D14" i="7"/>
  <c r="E14" i="7"/>
  <c r="F14" i="7"/>
  <c r="A15" i="7"/>
  <c r="B15" i="7"/>
  <c r="A43" i="8"/>
  <c r="C15" i="7"/>
  <c r="B43" i="8"/>
  <c r="D15" i="7"/>
  <c r="E15" i="7"/>
  <c r="F15" i="7"/>
  <c r="A16" i="7"/>
  <c r="B16" i="7"/>
  <c r="A55" i="8"/>
  <c r="C16" i="7"/>
  <c r="B55" i="8"/>
  <c r="D16" i="7"/>
  <c r="E16" i="7"/>
  <c r="F16" i="7"/>
  <c r="A17" i="7"/>
  <c r="B17" i="7"/>
  <c r="A20" i="8"/>
  <c r="C17" i="7"/>
  <c r="B20" i="8"/>
  <c r="D17" i="7"/>
  <c r="E17" i="7"/>
  <c r="F17" i="7"/>
  <c r="A18" i="7"/>
  <c r="B18" i="7"/>
  <c r="A32" i="8"/>
  <c r="C18" i="7"/>
  <c r="B32" i="8"/>
  <c r="D18" i="7"/>
  <c r="E18" i="7"/>
  <c r="F18" i="7"/>
  <c r="A19" i="7"/>
  <c r="B19" i="7"/>
  <c r="A44" i="8"/>
  <c r="C19" i="7"/>
  <c r="B44" i="8"/>
  <c r="D19" i="7"/>
  <c r="E19" i="7"/>
  <c r="F19" i="7"/>
  <c r="A20" i="7"/>
  <c r="B20" i="7"/>
  <c r="A56" i="8"/>
  <c r="C20" i="7"/>
  <c r="B56" i="8"/>
  <c r="D20" i="7"/>
  <c r="E20" i="7"/>
  <c r="F20" i="7"/>
  <c r="A21" i="7"/>
  <c r="B21" i="7"/>
  <c r="A21" i="8"/>
  <c r="C21" i="7"/>
  <c r="B21" i="8"/>
  <c r="D21" i="7"/>
  <c r="E21" i="7"/>
  <c r="F21" i="7"/>
  <c r="A22" i="7"/>
  <c r="B22" i="7"/>
  <c r="A33" i="8"/>
  <c r="C22" i="7"/>
  <c r="B33" i="8"/>
  <c r="D22" i="7"/>
  <c r="E22" i="7"/>
  <c r="F22" i="7"/>
  <c r="A23" i="7"/>
  <c r="B23" i="7"/>
  <c r="A45" i="8"/>
  <c r="C23" i="7"/>
  <c r="B45" i="8"/>
  <c r="D23" i="7"/>
  <c r="E23" i="7"/>
  <c r="F23" i="7"/>
  <c r="A24" i="7"/>
  <c r="B24" i="7"/>
  <c r="A57" i="8"/>
  <c r="C24" i="7"/>
  <c r="B57" i="8"/>
  <c r="D24" i="7"/>
  <c r="E24" i="7"/>
  <c r="F24" i="7"/>
  <c r="A25" i="7"/>
  <c r="B25" i="7"/>
  <c r="A22" i="8"/>
  <c r="C25" i="7"/>
  <c r="B22" i="8"/>
  <c r="D25" i="7"/>
  <c r="E25" i="7"/>
  <c r="F25" i="7"/>
  <c r="A26" i="7"/>
  <c r="B26" i="7"/>
  <c r="A34" i="8"/>
  <c r="C26" i="7"/>
  <c r="B34" i="8"/>
  <c r="D26" i="7"/>
  <c r="E26" i="7"/>
  <c r="F26" i="7"/>
  <c r="A27" i="7"/>
  <c r="B27" i="7"/>
  <c r="A46" i="8"/>
  <c r="C27" i="7"/>
  <c r="B46" i="8"/>
  <c r="D27" i="7"/>
  <c r="E27" i="7"/>
  <c r="F27" i="7"/>
  <c r="A28" i="7"/>
  <c r="B28" i="7"/>
  <c r="A58" i="8"/>
  <c r="C28" i="7"/>
  <c r="B58" i="8"/>
  <c r="D28" i="7"/>
  <c r="E28" i="7"/>
  <c r="F28" i="7"/>
  <c r="K5" i="5"/>
  <c r="M5" i="5"/>
  <c r="K3" i="5"/>
  <c r="M3" i="5"/>
  <c r="K13" i="5"/>
  <c r="M13" i="5"/>
  <c r="K11" i="5"/>
  <c r="M11" i="5"/>
  <c r="K9" i="5"/>
  <c r="M9" i="5"/>
  <c r="K7" i="5"/>
  <c r="M7" i="5"/>
  <c r="G5" i="5"/>
  <c r="I5" i="5"/>
  <c r="G7" i="5"/>
  <c r="I7" i="5"/>
  <c r="G9" i="5"/>
  <c r="I9" i="5"/>
  <c r="G11" i="5"/>
  <c r="I11" i="5"/>
  <c r="G13" i="5"/>
  <c r="I13" i="5"/>
  <c r="G3" i="5"/>
  <c r="I3" i="5"/>
  <c r="G18" i="6"/>
  <c r="I18" i="6"/>
  <c r="G9" i="6"/>
  <c r="I9" i="6"/>
  <c r="G12" i="6"/>
  <c r="I12" i="6"/>
  <c r="G15" i="6"/>
  <c r="I15" i="6"/>
  <c r="G6" i="6"/>
  <c r="I6" i="6"/>
  <c r="O30" i="7"/>
  <c r="P30" i="7"/>
  <c r="P32" i="7"/>
  <c r="O32" i="7"/>
  <c r="O31" i="7"/>
  <c r="P31" i="7"/>
  <c r="O29" i="7"/>
  <c r="N9" i="5"/>
  <c r="AA9" i="5"/>
  <c r="H27" i="8"/>
  <c r="G27" i="8"/>
  <c r="G16" i="8"/>
  <c r="F27" i="8"/>
  <c r="C16" i="8"/>
  <c r="H39" i="8"/>
  <c r="H15" i="8"/>
  <c r="F39" i="8"/>
  <c r="G28" i="8"/>
  <c r="G51" i="8"/>
  <c r="A39" i="8"/>
  <c r="G15" i="8"/>
  <c r="E27" i="8"/>
  <c r="H40" i="8"/>
  <c r="F51" i="8"/>
  <c r="A28" i="8"/>
  <c r="G40" i="8"/>
  <c r="A52" i="8"/>
  <c r="E51" i="8"/>
  <c r="A16" i="8"/>
  <c r="E15" i="8"/>
  <c r="H28" i="8"/>
  <c r="A27" i="8"/>
  <c r="D40" i="8"/>
  <c r="A51" i="8"/>
  <c r="H52" i="8"/>
  <c r="C28" i="8"/>
  <c r="D52" i="8"/>
  <c r="C40" i="8"/>
  <c r="D16" i="8"/>
  <c r="D15" i="8"/>
  <c r="D27" i="8"/>
  <c r="C15" i="8"/>
  <c r="C27" i="8"/>
  <c r="D39" i="8"/>
  <c r="C39" i="8"/>
  <c r="E16" i="8"/>
  <c r="E28" i="8"/>
  <c r="F52" i="8"/>
  <c r="E52" i="8"/>
  <c r="F40" i="8"/>
  <c r="F16" i="8"/>
  <c r="N13" i="5"/>
  <c r="AA13" i="5"/>
  <c r="N7" i="5"/>
  <c r="AA7" i="5"/>
  <c r="N3" i="5"/>
  <c r="AA3" i="5"/>
  <c r="N11" i="5"/>
  <c r="AA11" i="5"/>
  <c r="N5" i="5"/>
  <c r="AA5" i="5"/>
  <c r="B52" i="8"/>
  <c r="B28" i="8"/>
  <c r="B40" i="8"/>
  <c r="B27" i="8"/>
  <c r="B39" i="8"/>
  <c r="B51" i="8"/>
  <c r="V8" i="2"/>
  <c r="W8" i="2"/>
  <c r="AK8" i="2"/>
  <c r="X8" i="2"/>
  <c r="Y8" i="2"/>
  <c r="Z8" i="2"/>
  <c r="AA8" i="2"/>
  <c r="AB8" i="2"/>
  <c r="AC8" i="2"/>
  <c r="AD8" i="2"/>
  <c r="AE8" i="2"/>
  <c r="AF8" i="2"/>
  <c r="AG8" i="2"/>
  <c r="AH8" i="2"/>
  <c r="AI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V10" i="2"/>
  <c r="W10" i="2"/>
  <c r="X10" i="2"/>
  <c r="Y10" i="2"/>
  <c r="Z10" i="2"/>
  <c r="AA10" i="2"/>
  <c r="AB10" i="2"/>
  <c r="AC10" i="2"/>
  <c r="AD10" i="2"/>
  <c r="AL10" i="2"/>
  <c r="AE10" i="2"/>
  <c r="AF10" i="2"/>
  <c r="AG10" i="2"/>
  <c r="AH10" i="2"/>
  <c r="AI10" i="2"/>
  <c r="V11" i="2"/>
  <c r="W11" i="2"/>
  <c r="X11" i="2"/>
  <c r="Y11" i="2"/>
  <c r="Z11" i="2"/>
  <c r="AA11" i="2"/>
  <c r="AB11" i="2"/>
  <c r="AC11" i="2"/>
  <c r="AD11" i="2"/>
  <c r="AE11" i="2"/>
  <c r="AF11" i="2"/>
  <c r="AL11" i="2"/>
  <c r="AG11" i="2"/>
  <c r="AH11" i="2"/>
  <c r="AI11" i="2"/>
  <c r="V12" i="2"/>
  <c r="W12" i="2"/>
  <c r="AK12" i="2"/>
  <c r="X12" i="2"/>
  <c r="Y12" i="2"/>
  <c r="Z12" i="2"/>
  <c r="AA12" i="2"/>
  <c r="AB12" i="2"/>
  <c r="AC12" i="2"/>
  <c r="AD12" i="2"/>
  <c r="AE12" i="2"/>
  <c r="AF12" i="2"/>
  <c r="AL12" i="2"/>
  <c r="AG12" i="2"/>
  <c r="AH12" i="2"/>
  <c r="AI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V14" i="2"/>
  <c r="W14" i="2"/>
  <c r="X14" i="2"/>
  <c r="Y14" i="2"/>
  <c r="Z14" i="2"/>
  <c r="AA14" i="2"/>
  <c r="AB14" i="2"/>
  <c r="AC14" i="2"/>
  <c r="AD14" i="2"/>
  <c r="AE14" i="2"/>
  <c r="AF14" i="2"/>
  <c r="AL14" i="2"/>
  <c r="AG14" i="2"/>
  <c r="AH14" i="2"/>
  <c r="AI14" i="2"/>
  <c r="V15" i="2"/>
  <c r="W15" i="2"/>
  <c r="X15" i="2"/>
  <c r="Y15" i="2"/>
  <c r="Z15" i="2"/>
  <c r="AA15" i="2"/>
  <c r="AB15" i="2"/>
  <c r="AC15" i="2"/>
  <c r="AD15" i="2"/>
  <c r="AE15" i="2"/>
  <c r="AF15" i="2"/>
  <c r="AL15" i="2"/>
  <c r="AG15" i="2"/>
  <c r="AH15" i="2"/>
  <c r="AI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V17" i="2"/>
  <c r="W17" i="2"/>
  <c r="X17" i="2"/>
  <c r="Y17" i="2"/>
  <c r="AK17" i="2"/>
  <c r="Z17" i="2"/>
  <c r="AA17" i="2"/>
  <c r="AB17" i="2"/>
  <c r="AC17" i="2"/>
  <c r="AD17" i="2"/>
  <c r="AE17" i="2"/>
  <c r="AF17" i="2"/>
  <c r="AG17" i="2"/>
  <c r="AH17" i="2"/>
  <c r="AI17" i="2"/>
  <c r="V18" i="2"/>
  <c r="W18" i="2"/>
  <c r="X18" i="2"/>
  <c r="Y18" i="2"/>
  <c r="Z18" i="2"/>
  <c r="AA18" i="2"/>
  <c r="AB18" i="2"/>
  <c r="AC18" i="2"/>
  <c r="AD18" i="2"/>
  <c r="AE18" i="2"/>
  <c r="AF18" i="2"/>
  <c r="AL18" i="2"/>
  <c r="AG18" i="2"/>
  <c r="AH18" i="2"/>
  <c r="AI18" i="2"/>
  <c r="V19" i="2"/>
  <c r="W19" i="2"/>
  <c r="X19" i="2"/>
  <c r="Y19" i="2"/>
  <c r="Z19" i="2"/>
  <c r="AA19" i="2"/>
  <c r="AB19" i="2"/>
  <c r="AC19" i="2"/>
  <c r="AD19" i="2"/>
  <c r="AE19" i="2"/>
  <c r="AF19" i="2"/>
  <c r="AL19" i="2"/>
  <c r="AG19" i="2"/>
  <c r="AH19" i="2"/>
  <c r="AI19" i="2"/>
  <c r="V20" i="2"/>
  <c r="W20" i="2"/>
  <c r="X20" i="2"/>
  <c r="Y20" i="2"/>
  <c r="Z20" i="2"/>
  <c r="AA20" i="2"/>
  <c r="AB20" i="2"/>
  <c r="AC20" i="2"/>
  <c r="AD20" i="2"/>
  <c r="AE20" i="2"/>
  <c r="AF20" i="2"/>
  <c r="AL20" i="2"/>
  <c r="AG20" i="2"/>
  <c r="AH20" i="2"/>
  <c r="AI20" i="2"/>
  <c r="V21" i="2"/>
  <c r="W21" i="2"/>
  <c r="X21" i="2"/>
  <c r="Y21" i="2"/>
  <c r="AK21" i="2"/>
  <c r="Z21" i="2"/>
  <c r="AA21" i="2"/>
  <c r="AB21" i="2"/>
  <c r="AC21" i="2"/>
  <c r="AD21" i="2"/>
  <c r="AE21" i="2"/>
  <c r="AF21" i="2"/>
  <c r="AG21" i="2"/>
  <c r="AH21" i="2"/>
  <c r="AI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V24" i="2"/>
  <c r="W24" i="2"/>
  <c r="X24" i="2"/>
  <c r="Y24" i="2"/>
  <c r="Z24" i="2"/>
  <c r="AA24" i="2"/>
  <c r="AB24" i="2"/>
  <c r="AC24" i="2"/>
  <c r="AD24" i="2"/>
  <c r="AE24" i="2"/>
  <c r="AF24" i="2"/>
  <c r="AL24" i="2"/>
  <c r="AG24" i="2"/>
  <c r="AH24" i="2"/>
  <c r="AI24" i="2"/>
  <c r="V25" i="2"/>
  <c r="W25" i="2"/>
  <c r="X25" i="2"/>
  <c r="Y25" i="2"/>
  <c r="AK25" i="2"/>
  <c r="Z25" i="2"/>
  <c r="AA25" i="2"/>
  <c r="AB25" i="2"/>
  <c r="AC25" i="2"/>
  <c r="AD25" i="2"/>
  <c r="AE25" i="2"/>
  <c r="AF25" i="2"/>
  <c r="AG25" i="2"/>
  <c r="AH25" i="2"/>
  <c r="AI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V27" i="2"/>
  <c r="W27" i="2"/>
  <c r="X27" i="2"/>
  <c r="Y27" i="2"/>
  <c r="Z27" i="2"/>
  <c r="AA27" i="2"/>
  <c r="AB27" i="2"/>
  <c r="AC27" i="2"/>
  <c r="AD27" i="2"/>
  <c r="AE27" i="2"/>
  <c r="AF27" i="2"/>
  <c r="AL27" i="2"/>
  <c r="AG27" i="2"/>
  <c r="AH27" i="2"/>
  <c r="AI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V29" i="2"/>
  <c r="W29" i="2"/>
  <c r="X29" i="2"/>
  <c r="Y29" i="2"/>
  <c r="AK29" i="2"/>
  <c r="Z29" i="2"/>
  <c r="AA29" i="2"/>
  <c r="AB29" i="2"/>
  <c r="AC29" i="2"/>
  <c r="AD29" i="2"/>
  <c r="AE29" i="2"/>
  <c r="AF29" i="2"/>
  <c r="AG29" i="2"/>
  <c r="AH29" i="2"/>
  <c r="AI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V31" i="2"/>
  <c r="W31" i="2"/>
  <c r="X31" i="2"/>
  <c r="Y31" i="2"/>
  <c r="AA31" i="2"/>
  <c r="AK31" i="2"/>
  <c r="AB31" i="2"/>
  <c r="AC31" i="2"/>
  <c r="AD31" i="2"/>
  <c r="AE31" i="2"/>
  <c r="AF31" i="2"/>
  <c r="AG31" i="2"/>
  <c r="AH31" i="2"/>
  <c r="AL31" i="2"/>
  <c r="AI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V33" i="2"/>
  <c r="W33" i="2"/>
  <c r="X33" i="2"/>
  <c r="Y33" i="2"/>
  <c r="Z33" i="2"/>
  <c r="AK33" i="2"/>
  <c r="AA33" i="2"/>
  <c r="AB33" i="2"/>
  <c r="AC33" i="2"/>
  <c r="AD33" i="2"/>
  <c r="AE33" i="2"/>
  <c r="AF33" i="2"/>
  <c r="AG33" i="2"/>
  <c r="AL33" i="2"/>
  <c r="AH33" i="2"/>
  <c r="AI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L34" i="2"/>
  <c r="AH34" i="2"/>
  <c r="AI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L35" i="2"/>
  <c r="AH35" i="2"/>
  <c r="AI35" i="2"/>
  <c r="V36" i="2"/>
  <c r="W36" i="2"/>
  <c r="X36" i="2"/>
  <c r="Y36" i="2"/>
  <c r="Z36" i="2"/>
  <c r="AA36" i="2"/>
  <c r="AK36" i="2"/>
  <c r="AB36" i="2"/>
  <c r="AC36" i="2"/>
  <c r="AD36" i="2"/>
  <c r="AE36" i="2"/>
  <c r="AF36" i="2"/>
  <c r="AG36" i="2"/>
  <c r="AH36" i="2"/>
  <c r="AI36" i="2"/>
  <c r="V37" i="2"/>
  <c r="W37" i="2"/>
  <c r="X37" i="2"/>
  <c r="Y37" i="2"/>
  <c r="Z37" i="2"/>
  <c r="AK37" i="2"/>
  <c r="AA37" i="2"/>
  <c r="AB37" i="2"/>
  <c r="AC37" i="2"/>
  <c r="AD37" i="2"/>
  <c r="AE37" i="2"/>
  <c r="AF37" i="2"/>
  <c r="AG37" i="2"/>
  <c r="AL37" i="2"/>
  <c r="AH37" i="2"/>
  <c r="AI37" i="2"/>
  <c r="V38" i="2"/>
  <c r="W38" i="2"/>
  <c r="X38" i="2"/>
  <c r="Y38" i="2"/>
  <c r="Z38" i="2"/>
  <c r="AK38" i="2"/>
  <c r="AA38" i="2"/>
  <c r="AB38" i="2"/>
  <c r="AC38" i="2"/>
  <c r="AD38" i="2"/>
  <c r="AE38" i="2"/>
  <c r="AF38" i="2"/>
  <c r="AG38" i="2"/>
  <c r="AL38" i="2"/>
  <c r="AH38" i="2"/>
  <c r="AI38" i="2"/>
  <c r="V39" i="2"/>
  <c r="W39" i="2"/>
  <c r="X39" i="2"/>
  <c r="Y39" i="2"/>
  <c r="Z39" i="2"/>
  <c r="AK39" i="2"/>
  <c r="AA39" i="2"/>
  <c r="AB39" i="2"/>
  <c r="AC39" i="2"/>
  <c r="AD39" i="2"/>
  <c r="AE39" i="2"/>
  <c r="AF39" i="2"/>
  <c r="AG39" i="2"/>
  <c r="AL39" i="2"/>
  <c r="AH39" i="2"/>
  <c r="AI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V41" i="2"/>
  <c r="W41" i="2"/>
  <c r="X41" i="2"/>
  <c r="Y41" i="2"/>
  <c r="Z41" i="2"/>
  <c r="AK41" i="2"/>
  <c r="AA41" i="2"/>
  <c r="AB41" i="2"/>
  <c r="AC41" i="2"/>
  <c r="AD41" i="2"/>
  <c r="AE41" i="2"/>
  <c r="AF41" i="2"/>
  <c r="AG41" i="2"/>
  <c r="AL41" i="2"/>
  <c r="AH41" i="2"/>
  <c r="AI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L42" i="2"/>
  <c r="AH42" i="2"/>
  <c r="AI42" i="2"/>
  <c r="V43" i="2"/>
  <c r="W43" i="2"/>
  <c r="X43" i="2"/>
  <c r="Y43" i="2"/>
  <c r="AK43" i="2"/>
  <c r="Z43" i="2"/>
  <c r="AA43" i="2"/>
  <c r="AB43" i="2"/>
  <c r="AC43" i="2"/>
  <c r="AD43" i="2"/>
  <c r="AE43" i="2"/>
  <c r="AF43" i="2"/>
  <c r="AG43" i="2"/>
  <c r="AL43" i="2"/>
  <c r="AH43" i="2"/>
  <c r="AI43" i="2"/>
  <c r="V44" i="2"/>
  <c r="W44" i="2"/>
  <c r="X44" i="2"/>
  <c r="Y44" i="2"/>
  <c r="Z44" i="2"/>
  <c r="AK44" i="2"/>
  <c r="AA44" i="2"/>
  <c r="AB44" i="2"/>
  <c r="AC44" i="2"/>
  <c r="AD44" i="2"/>
  <c r="AE44" i="2"/>
  <c r="AF44" i="2"/>
  <c r="AG44" i="2"/>
  <c r="AL44" i="2"/>
  <c r="AH44" i="2"/>
  <c r="AI44" i="2"/>
  <c r="V45" i="2"/>
  <c r="W45" i="2"/>
  <c r="X45" i="2"/>
  <c r="Y45" i="2"/>
  <c r="Z45" i="2"/>
  <c r="AK45" i="2"/>
  <c r="AA45" i="2"/>
  <c r="AB45" i="2"/>
  <c r="AC45" i="2"/>
  <c r="AD45" i="2"/>
  <c r="AE45" i="2"/>
  <c r="AF45" i="2"/>
  <c r="AG45" i="2"/>
  <c r="AL45" i="2"/>
  <c r="AH45" i="2"/>
  <c r="AI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L46" i="2"/>
  <c r="AH46" i="2"/>
  <c r="AI46" i="2"/>
  <c r="V47" i="2"/>
  <c r="W47" i="2"/>
  <c r="X47" i="2"/>
  <c r="Y47" i="2"/>
  <c r="AK47" i="2"/>
  <c r="Z47" i="2"/>
  <c r="AA47" i="2"/>
  <c r="AB47" i="2"/>
  <c r="AC47" i="2"/>
  <c r="AD47" i="2"/>
  <c r="AE47" i="2"/>
  <c r="AF47" i="2"/>
  <c r="AL47" i="2"/>
  <c r="AG47" i="2"/>
  <c r="AH47" i="2"/>
  <c r="AI47" i="2"/>
  <c r="V48" i="2"/>
  <c r="W48" i="2"/>
  <c r="X48" i="2"/>
  <c r="Y48" i="2"/>
  <c r="Z48" i="2"/>
  <c r="AA48" i="2"/>
  <c r="AB48" i="2"/>
  <c r="AC48" i="2"/>
  <c r="AD48" i="2"/>
  <c r="AE48" i="2"/>
  <c r="AF48" i="2"/>
  <c r="AG48" i="2"/>
  <c r="AL48" i="2"/>
  <c r="AH48" i="2"/>
  <c r="AI48" i="2"/>
  <c r="V49" i="2"/>
  <c r="W49" i="2"/>
  <c r="X49" i="2"/>
  <c r="Y49" i="2"/>
  <c r="Z49" i="2"/>
  <c r="AK49" i="2"/>
  <c r="AA49" i="2"/>
  <c r="AB49" i="2"/>
  <c r="AC49" i="2"/>
  <c r="AD49" i="2"/>
  <c r="AE49" i="2"/>
  <c r="AF49" i="2"/>
  <c r="AG49" i="2"/>
  <c r="AL49" i="2"/>
  <c r="AH49" i="2"/>
  <c r="AI49" i="2"/>
  <c r="V50" i="2"/>
  <c r="W50" i="2"/>
  <c r="X50" i="2"/>
  <c r="Y50" i="2"/>
  <c r="AK50" i="2"/>
  <c r="Z50" i="2"/>
  <c r="AA50" i="2"/>
  <c r="AB50" i="2"/>
  <c r="AC50" i="2"/>
  <c r="AD50" i="2"/>
  <c r="AE50" i="2"/>
  <c r="AF50" i="2"/>
  <c r="AL50" i="2"/>
  <c r="AG50" i="2"/>
  <c r="AH50" i="2"/>
  <c r="AI50" i="2"/>
  <c r="V51" i="2"/>
  <c r="W51" i="2"/>
  <c r="X51" i="2"/>
  <c r="Y51" i="2"/>
  <c r="AK51" i="2"/>
  <c r="Z51" i="2"/>
  <c r="AA51" i="2"/>
  <c r="AB51" i="2"/>
  <c r="AC51" i="2"/>
  <c r="AD51" i="2"/>
  <c r="AE51" i="2"/>
  <c r="AF51" i="2"/>
  <c r="AG51" i="2"/>
  <c r="AH51" i="2"/>
  <c r="AI51" i="2"/>
  <c r="V52" i="2"/>
  <c r="W52" i="2"/>
  <c r="X52" i="2"/>
  <c r="Y52" i="2"/>
  <c r="AK52" i="2"/>
  <c r="Z52" i="2"/>
  <c r="AA52" i="2"/>
  <c r="AB52" i="2"/>
  <c r="AC52" i="2"/>
  <c r="AD52" i="2"/>
  <c r="AE52" i="2"/>
  <c r="AF52" i="2"/>
  <c r="AG52" i="2"/>
  <c r="AH52" i="2"/>
  <c r="AI52" i="2"/>
  <c r="V53" i="2"/>
  <c r="W53" i="2"/>
  <c r="X53" i="2"/>
  <c r="Y53" i="2"/>
  <c r="AK53" i="2"/>
  <c r="Z53" i="2"/>
  <c r="AA53" i="2"/>
  <c r="AB53" i="2"/>
  <c r="AC53" i="2"/>
  <c r="AD53" i="2"/>
  <c r="AE53" i="2"/>
  <c r="AF53" i="2"/>
  <c r="AG53" i="2"/>
  <c r="AL53" i="2"/>
  <c r="AH53" i="2"/>
  <c r="AI53" i="2"/>
  <c r="V54" i="2"/>
  <c r="W54" i="2"/>
  <c r="X54" i="2"/>
  <c r="Y54" i="2"/>
  <c r="Z54" i="2"/>
  <c r="AK54" i="2"/>
  <c r="AA54" i="2"/>
  <c r="AB54" i="2"/>
  <c r="AC54" i="2"/>
  <c r="AD54" i="2"/>
  <c r="AE54" i="2"/>
  <c r="AF54" i="2"/>
  <c r="AG54" i="2"/>
  <c r="AL54" i="2"/>
  <c r="AH54" i="2"/>
  <c r="AI54" i="2"/>
  <c r="V55" i="2"/>
  <c r="W55" i="2"/>
  <c r="X55" i="2"/>
  <c r="Y55" i="2"/>
  <c r="AK55" i="2"/>
  <c r="Z55" i="2"/>
  <c r="AA55" i="2"/>
  <c r="AB55" i="2"/>
  <c r="AC55" i="2"/>
  <c r="AD55" i="2"/>
  <c r="AE55" i="2"/>
  <c r="AF55" i="2"/>
  <c r="AG55" i="2"/>
  <c r="AL55" i="2"/>
  <c r="AH55" i="2"/>
  <c r="AI55" i="2"/>
  <c r="V56" i="2"/>
  <c r="W56" i="2"/>
  <c r="X56" i="2"/>
  <c r="Y56" i="2"/>
  <c r="AK56" i="2"/>
  <c r="Z56" i="2"/>
  <c r="AA56" i="2"/>
  <c r="AB56" i="2"/>
  <c r="AC56" i="2"/>
  <c r="AD56" i="2"/>
  <c r="AE56" i="2"/>
  <c r="AF56" i="2"/>
  <c r="AG56" i="2"/>
  <c r="AL56" i="2"/>
  <c r="AH56" i="2"/>
  <c r="AI56" i="2"/>
  <c r="V57" i="2"/>
  <c r="W57" i="2"/>
  <c r="X57" i="2"/>
  <c r="Y57" i="2"/>
  <c r="Z57" i="2"/>
  <c r="AK57" i="2"/>
  <c r="AA57" i="2"/>
  <c r="AB57" i="2"/>
  <c r="AC57" i="2"/>
  <c r="AD57" i="2"/>
  <c r="AE57" i="2"/>
  <c r="AF57" i="2"/>
  <c r="AG57" i="2"/>
  <c r="AL57" i="2"/>
  <c r="AH57" i="2"/>
  <c r="AI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V59" i="2"/>
  <c r="W59" i="2"/>
  <c r="X59" i="2"/>
  <c r="Y59" i="2"/>
  <c r="Z59" i="2"/>
  <c r="AA59" i="2"/>
  <c r="AB59" i="2"/>
  <c r="AC59" i="2"/>
  <c r="AD59" i="2"/>
  <c r="AE59" i="2"/>
  <c r="AF59" i="2"/>
  <c r="AG59" i="2"/>
  <c r="AL59" i="2"/>
  <c r="AH59" i="2"/>
  <c r="AI59" i="2"/>
  <c r="V60" i="2"/>
  <c r="W60" i="2"/>
  <c r="X60" i="2"/>
  <c r="Y60" i="2"/>
  <c r="AK60" i="2"/>
  <c r="Z60" i="2"/>
  <c r="AA60" i="2"/>
  <c r="AB60" i="2"/>
  <c r="AC60" i="2"/>
  <c r="AD60" i="2"/>
  <c r="AE60" i="2"/>
  <c r="AF60" i="2"/>
  <c r="AL60" i="2"/>
  <c r="AG60" i="2"/>
  <c r="AH60" i="2"/>
  <c r="AI60" i="2"/>
  <c r="V61" i="2"/>
  <c r="W61" i="2"/>
  <c r="X61" i="2"/>
  <c r="Y61" i="2"/>
  <c r="Z61" i="2"/>
  <c r="AK61" i="2"/>
  <c r="AA61" i="2"/>
  <c r="AB61" i="2"/>
  <c r="AC61" i="2"/>
  <c r="AD61" i="2"/>
  <c r="AE61" i="2"/>
  <c r="AF61" i="2"/>
  <c r="AG61" i="2"/>
  <c r="AL61" i="2"/>
  <c r="AH61" i="2"/>
  <c r="AI61" i="2"/>
  <c r="V62" i="2"/>
  <c r="W62" i="2"/>
  <c r="X62" i="2"/>
  <c r="Y62" i="2"/>
  <c r="AK62" i="2"/>
  <c r="Z62" i="2"/>
  <c r="AA62" i="2"/>
  <c r="AB62" i="2"/>
  <c r="AC62" i="2"/>
  <c r="AD62" i="2"/>
  <c r="AE62" i="2"/>
  <c r="AF62" i="2"/>
  <c r="AL62" i="2"/>
  <c r="AG62" i="2"/>
  <c r="AH62" i="2"/>
  <c r="AI62" i="2"/>
  <c r="V63" i="2"/>
  <c r="W63" i="2"/>
  <c r="X63" i="2"/>
  <c r="Y63" i="2"/>
  <c r="Z63" i="2"/>
  <c r="AA63" i="2"/>
  <c r="AB63" i="2"/>
  <c r="AC63" i="2"/>
  <c r="AD63" i="2"/>
  <c r="AE63" i="2"/>
  <c r="AF63" i="2"/>
  <c r="AL63" i="2"/>
  <c r="AG63" i="2"/>
  <c r="AH63" i="2"/>
  <c r="AI63" i="2"/>
  <c r="V64" i="2"/>
  <c r="W64" i="2"/>
  <c r="X64" i="2"/>
  <c r="Y64" i="2"/>
  <c r="AK64" i="2"/>
  <c r="Z64" i="2"/>
  <c r="AA64" i="2"/>
  <c r="AB64" i="2"/>
  <c r="AC64" i="2"/>
  <c r="AD64" i="2"/>
  <c r="AE64" i="2"/>
  <c r="AF64" i="2"/>
  <c r="AL64" i="2"/>
  <c r="AG64" i="2"/>
  <c r="AH64" i="2"/>
  <c r="AI64" i="2"/>
  <c r="V65" i="2"/>
  <c r="W65" i="2"/>
  <c r="X65" i="2"/>
  <c r="Y65" i="2"/>
  <c r="Z65" i="2"/>
  <c r="AK65" i="2"/>
  <c r="AA65" i="2"/>
  <c r="AB65" i="2"/>
  <c r="AC65" i="2"/>
  <c r="AD65" i="2"/>
  <c r="AE65" i="2"/>
  <c r="AF65" i="2"/>
  <c r="AG65" i="2"/>
  <c r="AL65" i="2"/>
  <c r="AH65" i="2"/>
  <c r="AI65" i="2"/>
  <c r="V66" i="2"/>
  <c r="W66" i="2"/>
  <c r="X66" i="2"/>
  <c r="Y66" i="2"/>
  <c r="AK66" i="2"/>
  <c r="Z66" i="2"/>
  <c r="AA66" i="2"/>
  <c r="AB66" i="2"/>
  <c r="AC66" i="2"/>
  <c r="AD66" i="2"/>
  <c r="AE66" i="2"/>
  <c r="AF66" i="2"/>
  <c r="AG66" i="2"/>
  <c r="AH66" i="2"/>
  <c r="AI66" i="2"/>
  <c r="V67" i="2"/>
  <c r="W67" i="2"/>
  <c r="X67" i="2"/>
  <c r="Y67" i="2"/>
  <c r="AK67" i="2"/>
  <c r="Z67" i="2"/>
  <c r="AA67" i="2"/>
  <c r="AB67" i="2"/>
  <c r="AC67" i="2"/>
  <c r="AD67" i="2"/>
  <c r="AE67" i="2"/>
  <c r="AF67" i="2"/>
  <c r="AG67" i="2"/>
  <c r="AL67" i="2"/>
  <c r="AH67" i="2"/>
  <c r="AI67" i="2"/>
  <c r="V68" i="2"/>
  <c r="W68" i="2"/>
  <c r="X68" i="2"/>
  <c r="Y68" i="2"/>
  <c r="AK68" i="2"/>
  <c r="Z68" i="2"/>
  <c r="AA68" i="2"/>
  <c r="AB68" i="2"/>
  <c r="AC68" i="2"/>
  <c r="AD68" i="2"/>
  <c r="AE68" i="2"/>
  <c r="AF68" i="2"/>
  <c r="AG68" i="2"/>
  <c r="AH68" i="2"/>
  <c r="AI68" i="2"/>
  <c r="V69" i="2"/>
  <c r="W69" i="2"/>
  <c r="X69" i="2"/>
  <c r="Y69" i="2"/>
  <c r="AK69" i="2"/>
  <c r="Z69" i="2"/>
  <c r="AA69" i="2"/>
  <c r="AB69" i="2"/>
  <c r="AC69" i="2"/>
  <c r="AD69" i="2"/>
  <c r="AE69" i="2"/>
  <c r="AF69" i="2"/>
  <c r="AL69" i="2"/>
  <c r="AG69" i="2"/>
  <c r="AH69" i="2"/>
  <c r="AI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V71" i="2"/>
  <c r="W71" i="2"/>
  <c r="X71" i="2"/>
  <c r="Y71" i="2"/>
  <c r="AK71" i="2"/>
  <c r="Z71" i="2"/>
  <c r="AA71" i="2"/>
  <c r="AB71" i="2"/>
  <c r="AC71" i="2"/>
  <c r="AD71" i="2"/>
  <c r="AE71" i="2"/>
  <c r="AF71" i="2"/>
  <c r="AL71" i="2"/>
  <c r="AG71" i="2"/>
  <c r="AH71" i="2"/>
  <c r="AI71" i="2"/>
  <c r="V72" i="2"/>
  <c r="W72" i="2"/>
  <c r="X72" i="2"/>
  <c r="AK72" i="2"/>
  <c r="Y72" i="2"/>
  <c r="Z72" i="2"/>
  <c r="AA72" i="2"/>
  <c r="AB72" i="2"/>
  <c r="AC72" i="2"/>
  <c r="AD72" i="2"/>
  <c r="AE72" i="2"/>
  <c r="AF72" i="2"/>
  <c r="AL72" i="2"/>
  <c r="AG72" i="2"/>
  <c r="AH72" i="2"/>
  <c r="AI72" i="2"/>
  <c r="V73" i="2"/>
  <c r="W73" i="2"/>
  <c r="X73" i="2"/>
  <c r="Y73" i="2"/>
  <c r="AK73" i="2"/>
  <c r="Z73" i="2"/>
  <c r="AA73" i="2"/>
  <c r="AB73" i="2"/>
  <c r="AC73" i="2"/>
  <c r="AD73" i="2"/>
  <c r="AE73" i="2"/>
  <c r="AF73" i="2"/>
  <c r="AL73" i="2"/>
  <c r="AG73" i="2"/>
  <c r="AH73" i="2"/>
  <c r="AI73" i="2"/>
  <c r="V74" i="2"/>
  <c r="W74" i="2"/>
  <c r="X74" i="2"/>
  <c r="Y74" i="2"/>
  <c r="AK74" i="2"/>
  <c r="Z74" i="2"/>
  <c r="AA74" i="2"/>
  <c r="AB74" i="2"/>
  <c r="AC74" i="2"/>
  <c r="AD74" i="2"/>
  <c r="AE74" i="2"/>
  <c r="AF74" i="2"/>
  <c r="AG74" i="2"/>
  <c r="AH74" i="2"/>
  <c r="AI74" i="2"/>
  <c r="V75" i="2"/>
  <c r="W75" i="2"/>
  <c r="X75" i="2"/>
  <c r="Y75" i="2"/>
  <c r="AK75" i="2"/>
  <c r="Z75" i="2"/>
  <c r="AA75" i="2"/>
  <c r="AB75" i="2"/>
  <c r="AC75" i="2"/>
  <c r="AD75" i="2"/>
  <c r="AE75" i="2"/>
  <c r="AF75" i="2"/>
  <c r="AL75" i="2"/>
  <c r="AG75" i="2"/>
  <c r="AH75" i="2"/>
  <c r="AI75" i="2"/>
  <c r="V76" i="2"/>
  <c r="W76" i="2"/>
  <c r="X76" i="2"/>
  <c r="AK76" i="2"/>
  <c r="Y76" i="2"/>
  <c r="Z76" i="2"/>
  <c r="AA76" i="2"/>
  <c r="AB76" i="2"/>
  <c r="AC76" i="2"/>
  <c r="AD76" i="2"/>
  <c r="AE76" i="2"/>
  <c r="AF76" i="2"/>
  <c r="AL76" i="2"/>
  <c r="AG76" i="2"/>
  <c r="AH76" i="2"/>
  <c r="AI76" i="2"/>
  <c r="V77" i="2"/>
  <c r="W77" i="2"/>
  <c r="X77" i="2"/>
  <c r="Y77" i="2"/>
  <c r="AK77" i="2"/>
  <c r="Z77" i="2"/>
  <c r="AA77" i="2"/>
  <c r="AB77" i="2"/>
  <c r="AC77" i="2"/>
  <c r="AD77" i="2"/>
  <c r="AE77" i="2"/>
  <c r="AF77" i="2"/>
  <c r="AG77" i="2"/>
  <c r="AH77" i="2"/>
  <c r="AI77" i="2"/>
  <c r="V78" i="2"/>
  <c r="W78" i="2"/>
  <c r="X78" i="2"/>
  <c r="Y78" i="2"/>
  <c r="AK78" i="2"/>
  <c r="Z78" i="2"/>
  <c r="AA78" i="2"/>
  <c r="AB78" i="2"/>
  <c r="AC78" i="2"/>
  <c r="AD78" i="2"/>
  <c r="AE78" i="2"/>
  <c r="AF78" i="2"/>
  <c r="AL78" i="2"/>
  <c r="AG78" i="2"/>
  <c r="AH78" i="2"/>
  <c r="AI78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V84" i="2"/>
  <c r="W84" i="2"/>
  <c r="X84" i="2"/>
  <c r="Y84" i="2"/>
  <c r="Z84" i="2"/>
  <c r="AK84" i="2"/>
  <c r="AA84" i="2"/>
  <c r="AB84" i="2"/>
  <c r="AC84" i="2"/>
  <c r="AD84" i="2"/>
  <c r="AE84" i="2"/>
  <c r="AF84" i="2"/>
  <c r="AG84" i="2"/>
  <c r="AH84" i="2"/>
  <c r="AI84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L88" i="2"/>
  <c r="AI88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V93" i="2"/>
  <c r="W93" i="2"/>
  <c r="X93" i="2"/>
  <c r="Y93" i="2"/>
  <c r="Z93" i="2"/>
  <c r="AA93" i="2"/>
  <c r="AB93" i="2"/>
  <c r="AC93" i="2"/>
  <c r="AD93" i="2"/>
  <c r="AE93" i="2"/>
  <c r="AF93" i="2"/>
  <c r="AG93" i="2"/>
  <c r="AL93" i="2"/>
  <c r="AH93" i="2"/>
  <c r="AI93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V95" i="2"/>
  <c r="W95" i="2"/>
  <c r="X95" i="2"/>
  <c r="Y95" i="2"/>
  <c r="AK95" i="2"/>
  <c r="Z95" i="2"/>
  <c r="AA95" i="2"/>
  <c r="AB95" i="2"/>
  <c r="AC95" i="2"/>
  <c r="AD95" i="2"/>
  <c r="AE95" i="2"/>
  <c r="AF95" i="2"/>
  <c r="AG95" i="2"/>
  <c r="AL95" i="2"/>
  <c r="AH95" i="2"/>
  <c r="AI95" i="2"/>
  <c r="V96" i="2"/>
  <c r="W96" i="2"/>
  <c r="X96" i="2"/>
  <c r="Y96" i="2"/>
  <c r="AK96" i="2"/>
  <c r="Z96" i="2"/>
  <c r="AA96" i="2"/>
  <c r="AB96" i="2"/>
  <c r="AC96" i="2"/>
  <c r="AD96" i="2"/>
  <c r="AE96" i="2"/>
  <c r="AF96" i="2"/>
  <c r="AL96" i="2"/>
  <c r="AG96" i="2"/>
  <c r="AH96" i="2"/>
  <c r="AI96" i="2"/>
  <c r="V97" i="2"/>
  <c r="W97" i="2"/>
  <c r="X97" i="2"/>
  <c r="Y97" i="2"/>
  <c r="AK97" i="2"/>
  <c r="Z97" i="2"/>
  <c r="AA97" i="2"/>
  <c r="AB97" i="2"/>
  <c r="AC97" i="2"/>
  <c r="AD97" i="2"/>
  <c r="AE97" i="2"/>
  <c r="AF97" i="2"/>
  <c r="AG97" i="2"/>
  <c r="AH97" i="2"/>
  <c r="AI97" i="2"/>
  <c r="V98" i="2"/>
  <c r="W98" i="2"/>
  <c r="X98" i="2"/>
  <c r="Y98" i="2"/>
  <c r="AK98" i="2"/>
  <c r="Z98" i="2"/>
  <c r="AA98" i="2"/>
  <c r="AB98" i="2"/>
  <c r="AC98" i="2"/>
  <c r="AD98" i="2"/>
  <c r="AE98" i="2"/>
  <c r="AF98" i="2"/>
  <c r="AG98" i="2"/>
  <c r="AL98" i="2"/>
  <c r="AH98" i="2"/>
  <c r="AI98" i="2"/>
  <c r="V99" i="2"/>
  <c r="W99" i="2"/>
  <c r="X99" i="2"/>
  <c r="Y99" i="2"/>
  <c r="AK99" i="2"/>
  <c r="Z99" i="2"/>
  <c r="AA99" i="2"/>
  <c r="AB99" i="2"/>
  <c r="AC99" i="2"/>
  <c r="AD99" i="2"/>
  <c r="AE99" i="2"/>
  <c r="AF99" i="2"/>
  <c r="AG99" i="2"/>
  <c r="AL99" i="2"/>
  <c r="AH99" i="2"/>
  <c r="AI99" i="2"/>
  <c r="V100" i="2"/>
  <c r="W100" i="2"/>
  <c r="X100" i="2"/>
  <c r="Y100" i="2"/>
  <c r="AK100" i="2"/>
  <c r="Z100" i="2"/>
  <c r="AA100" i="2"/>
  <c r="AB100" i="2"/>
  <c r="AC100" i="2"/>
  <c r="AD100" i="2"/>
  <c r="AE100" i="2"/>
  <c r="AF100" i="2"/>
  <c r="AG100" i="2"/>
  <c r="AL100" i="2"/>
  <c r="AH100" i="2"/>
  <c r="AI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L101" i="2"/>
  <c r="AH101" i="2"/>
  <c r="AI101" i="2"/>
  <c r="V102" i="2"/>
  <c r="W102" i="2"/>
  <c r="X102" i="2"/>
  <c r="Y102" i="2"/>
  <c r="AK102" i="2"/>
  <c r="Z102" i="2"/>
  <c r="AA102" i="2"/>
  <c r="AB102" i="2"/>
  <c r="AC102" i="2"/>
  <c r="AD102" i="2"/>
  <c r="AE102" i="2"/>
  <c r="AF102" i="2"/>
  <c r="AG102" i="2"/>
  <c r="AH102" i="2"/>
  <c r="AI102" i="2"/>
  <c r="V103" i="2"/>
  <c r="W103" i="2"/>
  <c r="X103" i="2"/>
  <c r="Y103" i="2"/>
  <c r="AK103" i="2"/>
  <c r="Z103" i="2"/>
  <c r="AA103" i="2"/>
  <c r="AB103" i="2"/>
  <c r="AC103" i="2"/>
  <c r="AD103" i="2"/>
  <c r="AE103" i="2"/>
  <c r="AF103" i="2"/>
  <c r="AG103" i="2"/>
  <c r="AL103" i="2"/>
  <c r="AH103" i="2"/>
  <c r="AI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L104" i="2"/>
  <c r="AH104" i="2"/>
  <c r="AI104" i="2"/>
  <c r="V105" i="2"/>
  <c r="W105" i="2"/>
  <c r="X105" i="2"/>
  <c r="Y105" i="2"/>
  <c r="AK105" i="2"/>
  <c r="Z105" i="2"/>
  <c r="AA105" i="2"/>
  <c r="AB105" i="2"/>
  <c r="AC105" i="2"/>
  <c r="AD105" i="2"/>
  <c r="AE105" i="2"/>
  <c r="AF105" i="2"/>
  <c r="AL105" i="2"/>
  <c r="AG105" i="2"/>
  <c r="AH105" i="2"/>
  <c r="AI105" i="2"/>
  <c r="V106" i="2"/>
  <c r="W106" i="2"/>
  <c r="X106" i="2"/>
  <c r="Y106" i="2"/>
  <c r="AK106" i="2"/>
  <c r="Z106" i="2"/>
  <c r="AA106" i="2"/>
  <c r="AB106" i="2"/>
  <c r="AC106" i="2"/>
  <c r="AD106" i="2"/>
  <c r="AE106" i="2"/>
  <c r="AF106" i="2"/>
  <c r="AG106" i="2"/>
  <c r="AL106" i="2"/>
  <c r="AH106" i="2"/>
  <c r="AI106" i="2"/>
  <c r="V107" i="2"/>
  <c r="W107" i="2"/>
  <c r="X107" i="2"/>
  <c r="Y107" i="2"/>
  <c r="AK107" i="2"/>
  <c r="Z107" i="2"/>
  <c r="AA107" i="2"/>
  <c r="AB107" i="2"/>
  <c r="AC107" i="2"/>
  <c r="AD107" i="2"/>
  <c r="AE107" i="2"/>
  <c r="AF107" i="2"/>
  <c r="AG107" i="2"/>
  <c r="AL107" i="2"/>
  <c r="AH107" i="2"/>
  <c r="AI107" i="2"/>
  <c r="V108" i="2"/>
  <c r="W108" i="2"/>
  <c r="X108" i="2"/>
  <c r="Y108" i="2"/>
  <c r="AK108" i="2"/>
  <c r="Z108" i="2"/>
  <c r="AA108" i="2"/>
  <c r="AB108" i="2"/>
  <c r="AC108" i="2"/>
  <c r="AD108" i="2"/>
  <c r="AE108" i="2"/>
  <c r="AF108" i="2"/>
  <c r="AG108" i="2"/>
  <c r="AL108" i="2"/>
  <c r="AH108" i="2"/>
  <c r="AI108" i="2"/>
  <c r="V109" i="2"/>
  <c r="W109" i="2"/>
  <c r="X109" i="2"/>
  <c r="Y109" i="2"/>
  <c r="AK109" i="2"/>
  <c r="Z109" i="2"/>
  <c r="AA109" i="2"/>
  <c r="AB109" i="2"/>
  <c r="AC109" i="2"/>
  <c r="AD109" i="2"/>
  <c r="AE109" i="2"/>
  <c r="AF109" i="2"/>
  <c r="AG109" i="2"/>
  <c r="AL109" i="2"/>
  <c r="AH109" i="2"/>
  <c r="AI109" i="2"/>
  <c r="V110" i="2"/>
  <c r="W110" i="2"/>
  <c r="X110" i="2"/>
  <c r="Y110" i="2"/>
  <c r="AK110" i="2"/>
  <c r="Z110" i="2"/>
  <c r="AA110" i="2"/>
  <c r="AB110" i="2"/>
  <c r="AC110" i="2"/>
  <c r="AD110" i="2"/>
  <c r="AE110" i="2"/>
  <c r="AF110" i="2"/>
  <c r="AL110" i="2"/>
  <c r="AG110" i="2"/>
  <c r="AH110" i="2"/>
  <c r="AI110" i="2"/>
  <c r="AC7" i="2"/>
  <c r="AD7" i="2"/>
  <c r="AE7" i="2"/>
  <c r="AF7" i="2"/>
  <c r="AG7" i="2"/>
  <c r="AH7" i="2"/>
  <c r="AI7" i="2"/>
  <c r="AB7" i="2"/>
  <c r="AA7" i="2"/>
  <c r="Z7" i="2"/>
  <c r="Y7" i="2"/>
  <c r="X7" i="2"/>
  <c r="W7" i="2"/>
  <c r="V7" i="2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3" i="1"/>
  <c r="K3" i="1"/>
  <c r="J4" i="1"/>
  <c r="K4" i="1"/>
  <c r="J5" i="1"/>
  <c r="K5" i="1"/>
  <c r="J6" i="1"/>
  <c r="J7" i="1"/>
  <c r="J8" i="1"/>
  <c r="J9" i="1"/>
  <c r="K2" i="1"/>
  <c r="J2" i="1"/>
  <c r="AK30" i="2"/>
  <c r="AK26" i="2"/>
  <c r="AK22" i="2"/>
  <c r="AK18" i="2"/>
  <c r="AK13" i="2"/>
  <c r="AK9" i="2"/>
  <c r="AK7" i="2"/>
  <c r="AL91" i="2"/>
  <c r="AN91" i="2"/>
  <c r="AK91" i="2"/>
  <c r="AL79" i="2"/>
  <c r="AL74" i="2"/>
  <c r="AL66" i="2"/>
  <c r="AK35" i="2"/>
  <c r="AK27" i="2"/>
  <c r="AK23" i="2"/>
  <c r="AK19" i="2"/>
  <c r="AK15" i="2"/>
  <c r="AK14" i="2"/>
  <c r="AK63" i="2"/>
  <c r="AL51" i="2"/>
  <c r="AK40" i="2"/>
  <c r="AK104" i="2"/>
  <c r="AM100" i="2"/>
  <c r="AR100" i="2"/>
  <c r="AT100" i="2"/>
  <c r="AM96" i="2"/>
  <c r="AR96" i="2"/>
  <c r="AT96" i="2"/>
  <c r="AK48" i="2"/>
  <c r="AL40" i="2"/>
  <c r="AL36" i="2"/>
  <c r="AK28" i="2"/>
  <c r="AK24" i="2"/>
  <c r="AK20" i="2"/>
  <c r="AM20" i="2"/>
  <c r="AK16" i="2"/>
  <c r="AK11" i="2"/>
  <c r="AK93" i="2"/>
  <c r="AL85" i="2"/>
  <c r="AK85" i="2"/>
  <c r="AL81" i="2"/>
  <c r="AK81" i="2"/>
  <c r="AL52" i="2"/>
  <c r="AN52" i="2"/>
  <c r="AM105" i="2"/>
  <c r="AR105" i="2"/>
  <c r="AT105" i="2"/>
  <c r="AL90" i="2"/>
  <c r="AK90" i="2"/>
  <c r="AL82" i="2"/>
  <c r="AK82" i="2"/>
  <c r="AL77" i="2"/>
  <c r="AK46" i="2"/>
  <c r="AM46" i="2"/>
  <c r="AK42" i="2"/>
  <c r="AK34" i="2"/>
  <c r="AL25" i="2"/>
  <c r="AN109" i="2"/>
  <c r="AS109" i="2"/>
  <c r="AU109" i="2"/>
  <c r="AN108" i="2"/>
  <c r="AS108" i="2"/>
  <c r="AU108" i="2"/>
  <c r="AN107" i="2"/>
  <c r="AS107" i="2"/>
  <c r="AU107" i="2"/>
  <c r="M29" i="12"/>
  <c r="J65" i="11"/>
  <c r="AN106" i="2"/>
  <c r="AS106" i="2"/>
  <c r="AU106" i="2"/>
  <c r="AN104" i="2"/>
  <c r="AS104" i="2"/>
  <c r="AU104" i="2"/>
  <c r="AN103" i="2"/>
  <c r="AS103" i="2"/>
  <c r="AU103" i="2"/>
  <c r="AL102" i="2"/>
  <c r="AN102" i="2"/>
  <c r="AN101" i="2"/>
  <c r="AS101" i="2"/>
  <c r="AU101" i="2"/>
  <c r="AN100" i="2"/>
  <c r="AS100" i="2"/>
  <c r="AU100" i="2"/>
  <c r="AN99" i="2"/>
  <c r="AS99" i="2"/>
  <c r="AN98" i="2"/>
  <c r="AS98" i="2"/>
  <c r="AU98" i="2"/>
  <c r="AL97" i="2"/>
  <c r="AS97" i="2"/>
  <c r="AN95" i="2"/>
  <c r="AS95" i="2"/>
  <c r="AU95" i="2"/>
  <c r="AN110" i="2"/>
  <c r="AS110" i="2"/>
  <c r="AU110" i="2"/>
  <c r="AN105" i="2"/>
  <c r="AS105" i="2"/>
  <c r="AU105" i="2"/>
  <c r="AN97" i="2"/>
  <c r="AN96" i="2"/>
  <c r="AS96" i="2"/>
  <c r="AU96" i="2"/>
  <c r="AL84" i="2"/>
  <c r="AN84" i="2"/>
  <c r="AL86" i="2"/>
  <c r="AL80" i="2"/>
  <c r="AL92" i="2"/>
  <c r="AN92" i="2"/>
  <c r="AL89" i="2"/>
  <c r="AN89" i="2"/>
  <c r="AL83" i="2"/>
  <c r="AN83" i="2"/>
  <c r="AL68" i="2"/>
  <c r="AL87" i="2"/>
  <c r="AL70" i="2"/>
  <c r="AK101" i="2"/>
  <c r="AM110" i="2"/>
  <c r="AR110" i="2"/>
  <c r="AT110" i="2"/>
  <c r="AM109" i="2"/>
  <c r="AR109" i="2"/>
  <c r="AT109" i="2"/>
  <c r="AM108" i="2"/>
  <c r="AR108" i="2"/>
  <c r="AT108" i="2"/>
  <c r="AM107" i="2"/>
  <c r="AR107" i="2"/>
  <c r="AM106" i="2"/>
  <c r="AR106" i="2"/>
  <c r="AT106" i="2"/>
  <c r="AM104" i="2"/>
  <c r="AR104" i="2"/>
  <c r="AT104" i="2"/>
  <c r="AM103" i="2"/>
  <c r="AR103" i="2"/>
  <c r="AM102" i="2"/>
  <c r="AR102" i="2"/>
  <c r="AT102" i="2"/>
  <c r="AM101" i="2"/>
  <c r="AR101" i="2"/>
  <c r="AT101" i="2"/>
  <c r="AM99" i="2"/>
  <c r="AR99" i="2"/>
  <c r="AR98" i="2"/>
  <c r="AT98" i="2"/>
  <c r="AM98" i="2"/>
  <c r="AM97" i="2"/>
  <c r="AR97" i="2"/>
  <c r="AT97" i="2"/>
  <c r="AM95" i="2"/>
  <c r="AR95" i="2"/>
  <c r="AK89" i="2"/>
  <c r="AK86" i="2"/>
  <c r="AR86" i="2"/>
  <c r="AT86" i="2"/>
  <c r="AK83" i="2"/>
  <c r="AM83" i="2"/>
  <c r="AK88" i="2"/>
  <c r="AK79" i="2"/>
  <c r="AM79" i="2"/>
  <c r="AK70" i="2"/>
  <c r="AR70" i="2"/>
  <c r="AT70" i="2"/>
  <c r="AL94" i="2"/>
  <c r="AN94" i="2"/>
  <c r="AN90" i="2"/>
  <c r="AS90" i="2"/>
  <c r="AU90" i="2"/>
  <c r="AN88" i="2"/>
  <c r="AS88" i="2"/>
  <c r="AU88" i="2"/>
  <c r="AN87" i="2"/>
  <c r="AS87" i="2"/>
  <c r="AN86" i="2"/>
  <c r="AS86" i="2"/>
  <c r="AU86" i="2"/>
  <c r="AN85" i="2"/>
  <c r="AS85" i="2"/>
  <c r="AU85" i="2"/>
  <c r="AN82" i="2"/>
  <c r="AS82" i="2"/>
  <c r="AU82" i="2"/>
  <c r="AN81" i="2"/>
  <c r="AS81" i="2"/>
  <c r="AU81" i="2"/>
  <c r="AN80" i="2"/>
  <c r="AS80" i="2"/>
  <c r="AU80" i="2"/>
  <c r="AN79" i="2"/>
  <c r="AS79" i="2"/>
  <c r="AU79" i="2"/>
  <c r="AN93" i="2"/>
  <c r="AS93" i="2"/>
  <c r="AU93" i="2"/>
  <c r="AS92" i="2"/>
  <c r="AU92" i="2"/>
  <c r="AS89" i="2"/>
  <c r="AU89" i="2"/>
  <c r="AS84" i="2"/>
  <c r="AU84" i="2"/>
  <c r="AK94" i="2"/>
  <c r="AM94" i="2"/>
  <c r="AK92" i="2"/>
  <c r="AM92" i="2"/>
  <c r="AM88" i="2"/>
  <c r="AR88" i="2"/>
  <c r="AT88" i="2"/>
  <c r="AK87" i="2"/>
  <c r="AR87" i="2"/>
  <c r="AM93" i="2"/>
  <c r="AR93" i="2"/>
  <c r="AT93" i="2"/>
  <c r="AM91" i="2"/>
  <c r="AR91" i="2"/>
  <c r="AM90" i="2"/>
  <c r="AR90" i="2"/>
  <c r="AT90" i="2"/>
  <c r="AM89" i="2"/>
  <c r="AR89" i="2"/>
  <c r="AT89" i="2"/>
  <c r="AM85" i="2"/>
  <c r="AR85" i="2"/>
  <c r="AT85" i="2"/>
  <c r="AM84" i="2"/>
  <c r="AR84" i="2"/>
  <c r="AT84" i="2"/>
  <c r="AM82" i="2"/>
  <c r="AR82" i="2"/>
  <c r="AT82" i="2"/>
  <c r="AM81" i="2"/>
  <c r="AR81" i="2"/>
  <c r="AT81" i="2"/>
  <c r="AK80" i="2"/>
  <c r="AR80" i="2"/>
  <c r="AT80" i="2"/>
  <c r="AN71" i="2"/>
  <c r="AN67" i="2"/>
  <c r="AS67" i="2"/>
  <c r="AU67" i="2"/>
  <c r="AN63" i="2"/>
  <c r="AN78" i="2"/>
  <c r="AS78" i="2"/>
  <c r="AU78" i="2"/>
  <c r="AN77" i="2"/>
  <c r="AS77" i="2"/>
  <c r="AU77" i="2"/>
  <c r="AN76" i="2"/>
  <c r="AS76" i="2"/>
  <c r="AU76" i="2"/>
  <c r="AN75" i="2"/>
  <c r="AS75" i="2"/>
  <c r="AU75" i="2"/>
  <c r="AN74" i="2"/>
  <c r="AS74" i="2"/>
  <c r="AU74" i="2"/>
  <c r="AN73" i="2"/>
  <c r="AS73" i="2"/>
  <c r="AU73" i="2"/>
  <c r="AN69" i="2"/>
  <c r="AS69" i="2"/>
  <c r="AU69" i="2"/>
  <c r="AN64" i="2"/>
  <c r="AS64" i="2"/>
  <c r="AU64" i="2"/>
  <c r="AM78" i="2"/>
  <c r="AM75" i="2"/>
  <c r="AR69" i="2"/>
  <c r="AT69" i="2"/>
  <c r="AR66" i="2"/>
  <c r="AT66" i="2"/>
  <c r="AM65" i="2"/>
  <c r="AR65" i="2"/>
  <c r="AT65" i="2"/>
  <c r="AM77" i="2"/>
  <c r="AR77" i="2"/>
  <c r="AT77" i="2"/>
  <c r="AM76" i="2"/>
  <c r="AM74" i="2"/>
  <c r="AR74" i="2"/>
  <c r="AT74" i="2"/>
  <c r="AM73" i="2"/>
  <c r="AR73" i="2"/>
  <c r="AT73" i="2"/>
  <c r="AM71" i="2"/>
  <c r="AR71" i="2"/>
  <c r="AM70" i="2"/>
  <c r="AM69" i="2"/>
  <c r="AM68" i="2"/>
  <c r="AR68" i="2"/>
  <c r="AT68" i="2"/>
  <c r="AM67" i="2"/>
  <c r="AR67" i="2"/>
  <c r="AM64" i="2"/>
  <c r="AR64" i="2"/>
  <c r="AT64" i="2"/>
  <c r="AM63" i="2"/>
  <c r="AM72" i="2"/>
  <c r="AR72" i="2"/>
  <c r="AT72" i="2"/>
  <c r="AN59" i="2"/>
  <c r="AS59" i="2"/>
  <c r="AN56" i="2"/>
  <c r="AS56" i="2"/>
  <c r="AU56" i="2"/>
  <c r="AN54" i="2"/>
  <c r="AS54" i="2"/>
  <c r="AU54" i="2"/>
  <c r="AN53" i="2"/>
  <c r="AS53" i="2"/>
  <c r="AU53" i="2"/>
  <c r="AN49" i="2"/>
  <c r="AS49" i="2"/>
  <c r="AU49" i="2"/>
  <c r="AN48" i="2"/>
  <c r="AN47" i="2"/>
  <c r="AN58" i="2"/>
  <c r="AN55" i="2"/>
  <c r="AS55" i="2"/>
  <c r="AU55" i="2"/>
  <c r="AN51" i="2"/>
  <c r="AS51" i="2"/>
  <c r="AU51" i="2"/>
  <c r="AN50" i="2"/>
  <c r="AS50" i="2"/>
  <c r="AU50" i="2"/>
  <c r="AM56" i="2"/>
  <c r="AR60" i="2"/>
  <c r="AT60" i="2"/>
  <c r="AM48" i="2"/>
  <c r="AR62" i="2"/>
  <c r="AT62" i="2"/>
  <c r="AR53" i="2"/>
  <c r="AT53" i="2"/>
  <c r="AN66" i="2"/>
  <c r="AS66" i="2"/>
  <c r="AU66" i="2"/>
  <c r="AN57" i="2"/>
  <c r="AS57" i="2"/>
  <c r="AU57" i="2"/>
  <c r="AN72" i="2"/>
  <c r="AS72" i="2"/>
  <c r="AU72" i="2"/>
  <c r="AN60" i="2"/>
  <c r="AS60" i="2"/>
  <c r="AU60" i="2"/>
  <c r="AN68" i="2"/>
  <c r="AS68" i="2"/>
  <c r="AU68" i="2"/>
  <c r="AN62" i="2"/>
  <c r="AS62" i="2"/>
  <c r="AU62" i="2"/>
  <c r="AN65" i="2"/>
  <c r="AS65" i="2"/>
  <c r="AU65" i="2"/>
  <c r="AN70" i="2"/>
  <c r="AS70" i="2"/>
  <c r="AU70" i="2"/>
  <c r="AN61" i="2"/>
  <c r="AS61" i="2"/>
  <c r="AU61" i="2"/>
  <c r="AM58" i="2"/>
  <c r="AR58" i="2"/>
  <c r="AT58" i="2"/>
  <c r="AR55" i="2"/>
  <c r="AM52" i="2"/>
  <c r="AM51" i="2"/>
  <c r="AR49" i="2"/>
  <c r="AT49" i="2"/>
  <c r="AM61" i="2"/>
  <c r="AR61" i="2"/>
  <c r="AT61" i="2"/>
  <c r="AR59" i="2"/>
  <c r="AM59" i="2"/>
  <c r="AM57" i="2"/>
  <c r="AR57" i="2"/>
  <c r="AT57" i="2"/>
  <c r="AM54" i="2"/>
  <c r="AR54" i="2"/>
  <c r="AT54" i="2"/>
  <c r="AR50" i="2"/>
  <c r="AT50" i="2"/>
  <c r="AM50" i="2"/>
  <c r="AR47" i="2"/>
  <c r="AM47" i="2"/>
  <c r="AS46" i="2"/>
  <c r="AU46" i="2"/>
  <c r="AN46" i="2"/>
  <c r="AN45" i="2"/>
  <c r="AS45" i="2"/>
  <c r="AU45" i="2"/>
  <c r="AN44" i="2"/>
  <c r="AS44" i="2"/>
  <c r="AU44" i="2"/>
  <c r="AN43" i="2"/>
  <c r="AS43" i="2"/>
  <c r="AU43" i="2"/>
  <c r="AN42" i="2"/>
  <c r="AN41" i="2"/>
  <c r="AN40" i="2"/>
  <c r="AN39" i="2"/>
  <c r="AS39" i="2"/>
  <c r="AN38" i="2"/>
  <c r="AN37" i="2"/>
  <c r="AS37" i="2"/>
  <c r="AU37" i="2"/>
  <c r="AN36" i="2"/>
  <c r="AS36" i="2"/>
  <c r="AU36" i="2"/>
  <c r="AN35" i="2"/>
  <c r="AS35" i="2"/>
  <c r="AU35" i="2"/>
  <c r="AN34" i="2"/>
  <c r="AS34" i="2"/>
  <c r="AU34" i="2"/>
  <c r="AN33" i="2"/>
  <c r="AS33" i="2"/>
  <c r="AU33" i="2"/>
  <c r="AN32" i="2"/>
  <c r="AM45" i="2"/>
  <c r="AR45" i="2"/>
  <c r="AT45" i="2"/>
  <c r="AM44" i="2"/>
  <c r="AM43" i="2"/>
  <c r="AM42" i="2"/>
  <c r="AM41" i="2"/>
  <c r="AR41" i="2"/>
  <c r="AT41" i="2"/>
  <c r="AM40" i="2"/>
  <c r="AR39" i="2"/>
  <c r="AR38" i="2"/>
  <c r="AT38" i="2"/>
  <c r="AM38" i="2"/>
  <c r="AM37" i="2"/>
  <c r="AR37" i="2"/>
  <c r="AT37" i="2"/>
  <c r="AM36" i="2"/>
  <c r="AR36" i="2"/>
  <c r="AT36" i="2"/>
  <c r="AM35" i="2"/>
  <c r="AR35" i="2"/>
  <c r="AM34" i="2"/>
  <c r="AM33" i="2"/>
  <c r="AR33" i="2"/>
  <c r="AT33" i="2"/>
  <c r="AM32" i="2"/>
  <c r="AR32" i="2"/>
  <c r="AT32" i="2"/>
  <c r="AN31" i="2"/>
  <c r="AM31" i="2"/>
  <c r="AR31" i="2"/>
  <c r="AL26" i="2"/>
  <c r="AN26" i="2"/>
  <c r="AL23" i="2"/>
  <c r="AN23" i="2"/>
  <c r="AL17" i="2"/>
  <c r="AS17" i="2"/>
  <c r="AU17" i="2"/>
  <c r="AL30" i="2"/>
  <c r="AS30" i="2"/>
  <c r="AU30" i="2"/>
  <c r="AL29" i="2"/>
  <c r="AN29" i="2"/>
  <c r="AL28" i="2"/>
  <c r="AN28" i="2"/>
  <c r="AN27" i="2"/>
  <c r="AS27" i="2"/>
  <c r="AU27" i="2"/>
  <c r="AN25" i="2"/>
  <c r="AS25" i="2"/>
  <c r="AU25" i="2"/>
  <c r="AN24" i="2"/>
  <c r="AS24" i="2"/>
  <c r="AU24" i="2"/>
  <c r="AL22" i="2"/>
  <c r="AS22" i="2"/>
  <c r="AU22" i="2"/>
  <c r="AL21" i="2"/>
  <c r="AS21" i="2"/>
  <c r="AN20" i="2"/>
  <c r="AS20" i="2"/>
  <c r="AU20" i="2"/>
  <c r="AN19" i="2"/>
  <c r="AS19" i="2"/>
  <c r="AU19" i="2"/>
  <c r="AN18" i="2"/>
  <c r="AS18" i="2"/>
  <c r="AU18" i="2"/>
  <c r="AL16" i="2"/>
  <c r="AN16" i="2"/>
  <c r="AN15" i="2"/>
  <c r="AS15" i="2"/>
  <c r="AM25" i="2"/>
  <c r="AR25" i="2"/>
  <c r="AT25" i="2"/>
  <c r="AM29" i="2"/>
  <c r="AR29" i="2"/>
  <c r="AT29" i="2"/>
  <c r="AM21" i="2"/>
  <c r="AR21" i="2"/>
  <c r="AT21" i="2"/>
  <c r="AM24" i="2"/>
  <c r="AR24" i="2"/>
  <c r="AT24" i="2"/>
  <c r="AM16" i="2"/>
  <c r="AR16" i="2"/>
  <c r="AT16" i="2"/>
  <c r="AM17" i="2"/>
  <c r="AR17" i="2"/>
  <c r="AT17" i="2"/>
  <c r="AR15" i="2"/>
  <c r="AL7" i="2"/>
  <c r="O28" i="7"/>
  <c r="K58" i="8"/>
  <c r="P28" i="7"/>
  <c r="L58" i="8"/>
  <c r="P27" i="7"/>
  <c r="L46" i="8"/>
  <c r="O27" i="7"/>
  <c r="P26" i="7"/>
  <c r="L34" i="8"/>
  <c r="O26" i="7"/>
  <c r="O25" i="7"/>
  <c r="P25" i="7"/>
  <c r="O24" i="7"/>
  <c r="K57" i="8"/>
  <c r="P24" i="7"/>
  <c r="L57" i="8"/>
  <c r="P23" i="7"/>
  <c r="L45" i="8"/>
  <c r="O23" i="7"/>
  <c r="P22" i="7"/>
  <c r="L33" i="8"/>
  <c r="O22" i="7"/>
  <c r="O21" i="7"/>
  <c r="P21" i="7"/>
  <c r="O20" i="7"/>
  <c r="K56" i="8"/>
  <c r="P20" i="7"/>
  <c r="L56" i="8"/>
  <c r="P19" i="7"/>
  <c r="L44" i="8"/>
  <c r="O19" i="7"/>
  <c r="O18" i="7"/>
  <c r="P18" i="7"/>
  <c r="L32" i="8"/>
  <c r="O17" i="7"/>
  <c r="P17" i="7"/>
  <c r="O16" i="7"/>
  <c r="K55" i="8"/>
  <c r="P16" i="7"/>
  <c r="L55" i="8"/>
  <c r="O15" i="7"/>
  <c r="P15" i="7"/>
  <c r="L43" i="8"/>
  <c r="O14" i="7"/>
  <c r="P14" i="7"/>
  <c r="L31" i="8"/>
  <c r="O13" i="7"/>
  <c r="P13" i="7"/>
  <c r="O12" i="7"/>
  <c r="K54" i="8"/>
  <c r="P12" i="7"/>
  <c r="L54" i="8"/>
  <c r="O11" i="7"/>
  <c r="P11" i="7"/>
  <c r="L42" i="8"/>
  <c r="P10" i="7"/>
  <c r="L30" i="8"/>
  <c r="O10" i="7"/>
  <c r="O9" i="7"/>
  <c r="P9" i="7"/>
  <c r="M28" i="7"/>
  <c r="I58" i="8"/>
  <c r="N28" i="7"/>
  <c r="J58" i="8"/>
  <c r="N27" i="7"/>
  <c r="J46" i="8"/>
  <c r="M27" i="7"/>
  <c r="I46" i="8"/>
  <c r="M26" i="7"/>
  <c r="I34" i="8"/>
  <c r="N26" i="7"/>
  <c r="J34" i="8"/>
  <c r="M25" i="7"/>
  <c r="I22" i="8"/>
  <c r="N25" i="7"/>
  <c r="J22" i="8"/>
  <c r="M24" i="7"/>
  <c r="I57" i="8"/>
  <c r="N24" i="7"/>
  <c r="J57" i="8"/>
  <c r="M23" i="7"/>
  <c r="I45" i="8"/>
  <c r="N23" i="7"/>
  <c r="J45" i="8"/>
  <c r="M22" i="7"/>
  <c r="I33" i="8"/>
  <c r="N22" i="7"/>
  <c r="J33" i="8"/>
  <c r="M21" i="7"/>
  <c r="I21" i="8"/>
  <c r="N21" i="7"/>
  <c r="J21" i="8"/>
  <c r="N20" i="7"/>
  <c r="J56" i="8"/>
  <c r="M20" i="7"/>
  <c r="I56" i="8"/>
  <c r="N19" i="7"/>
  <c r="J44" i="8"/>
  <c r="M19" i="7"/>
  <c r="I44" i="8"/>
  <c r="M18" i="7"/>
  <c r="I32" i="8"/>
  <c r="N18" i="7"/>
  <c r="J32" i="8"/>
  <c r="M17" i="7"/>
  <c r="I20" i="8"/>
  <c r="N17" i="7"/>
  <c r="J20" i="8"/>
  <c r="N16" i="7"/>
  <c r="J55" i="8"/>
  <c r="M16" i="7"/>
  <c r="I55" i="8"/>
  <c r="N15" i="7"/>
  <c r="J43" i="8"/>
  <c r="M15" i="7"/>
  <c r="I43" i="8"/>
  <c r="M14" i="7"/>
  <c r="I31" i="8"/>
  <c r="N14" i="7"/>
  <c r="J31" i="8"/>
  <c r="M13" i="7"/>
  <c r="I19" i="8"/>
  <c r="N13" i="7"/>
  <c r="J19" i="8"/>
  <c r="M12" i="7"/>
  <c r="I54" i="8"/>
  <c r="N12" i="7"/>
  <c r="J54" i="8"/>
  <c r="N11" i="7"/>
  <c r="J42" i="8"/>
  <c r="M11" i="7"/>
  <c r="I42" i="8"/>
  <c r="M10" i="7"/>
  <c r="I30" i="8"/>
  <c r="N10" i="7"/>
  <c r="J30" i="8"/>
  <c r="M9" i="7"/>
  <c r="I18" i="8"/>
  <c r="N9" i="7"/>
  <c r="J18" i="8"/>
  <c r="AL13" i="2"/>
  <c r="AN13" i="2"/>
  <c r="AR9" i="2"/>
  <c r="AT9" i="2"/>
  <c r="AM9" i="2"/>
  <c r="AL9" i="2"/>
  <c r="AK10" i="2"/>
  <c r="AS10" i="2"/>
  <c r="AU10" i="2"/>
  <c r="AN10" i="2"/>
  <c r="AM7" i="2"/>
  <c r="AR7" i="2"/>
  <c r="AT7" i="2"/>
  <c r="J4" i="12"/>
  <c r="AM12" i="2"/>
  <c r="AM8" i="2"/>
  <c r="AR8" i="2"/>
  <c r="AL8" i="2"/>
  <c r="P8" i="7"/>
  <c r="L53" i="8"/>
  <c r="O8" i="7"/>
  <c r="K53" i="8"/>
  <c r="O5" i="7"/>
  <c r="P5" i="7"/>
  <c r="O7" i="7"/>
  <c r="P7" i="7"/>
  <c r="L41" i="8"/>
  <c r="P6" i="7"/>
  <c r="L29" i="8"/>
  <c r="O6" i="7"/>
  <c r="M8" i="7"/>
  <c r="I53" i="8"/>
  <c r="N8" i="7"/>
  <c r="J53" i="8"/>
  <c r="M7" i="7"/>
  <c r="I41" i="8"/>
  <c r="N7" i="7"/>
  <c r="J41" i="8"/>
  <c r="N6" i="7"/>
  <c r="J29" i="8"/>
  <c r="M6" i="7"/>
  <c r="I29" i="8"/>
  <c r="M5" i="7"/>
  <c r="I17" i="8"/>
  <c r="N5" i="7"/>
  <c r="J17" i="8"/>
  <c r="AM14" i="2"/>
  <c r="AR14" i="2"/>
  <c r="AT14" i="2"/>
  <c r="AM13" i="2"/>
  <c r="AR13" i="2"/>
  <c r="AT13" i="2"/>
  <c r="AN14" i="2"/>
  <c r="AS14" i="2"/>
  <c r="AU14" i="2"/>
  <c r="AN12" i="2"/>
  <c r="AS12" i="2"/>
  <c r="AU12" i="2"/>
  <c r="AN11" i="2"/>
  <c r="AS11" i="2"/>
  <c r="AM11" i="2"/>
  <c r="AR11" i="2"/>
  <c r="O4" i="7"/>
  <c r="P4" i="7"/>
  <c r="AT8" i="2"/>
  <c r="AU99" i="2"/>
  <c r="AU87" i="2"/>
  <c r="AU39" i="2"/>
  <c r="AU15" i="2"/>
  <c r="H28" i="12"/>
  <c r="E53" i="11"/>
  <c r="I29" i="12"/>
  <c r="F65" i="11"/>
  <c r="N3" i="7"/>
  <c r="M3" i="7"/>
  <c r="O3" i="7"/>
  <c r="P3" i="7"/>
  <c r="M4" i="7"/>
  <c r="N4" i="7"/>
  <c r="AM86" i="2"/>
  <c r="AR83" i="2"/>
  <c r="AS91" i="2"/>
  <c r="AU91" i="2"/>
  <c r="L28" i="12"/>
  <c r="I53" i="11"/>
  <c r="AR20" i="2"/>
  <c r="AT20" i="2"/>
  <c r="AR79" i="2"/>
  <c r="AS52" i="2"/>
  <c r="AU52" i="2"/>
  <c r="AS83" i="2"/>
  <c r="AU83" i="2"/>
  <c r="M23" i="12"/>
  <c r="J40" i="11"/>
  <c r="H29" i="12"/>
  <c r="E65" i="11"/>
  <c r="L29" i="12"/>
  <c r="I65" i="11"/>
  <c r="M28" i="12"/>
  <c r="J53" i="11"/>
  <c r="I28" i="12"/>
  <c r="F53" i="11"/>
  <c r="AS102" i="2"/>
  <c r="H27" i="12"/>
  <c r="E41" i="11"/>
  <c r="AU97" i="2"/>
  <c r="H26" i="12"/>
  <c r="E29" i="11"/>
  <c r="I26" i="12"/>
  <c r="F29" i="11"/>
  <c r="F29" i="12"/>
  <c r="C65" i="11"/>
  <c r="G29" i="12"/>
  <c r="D65" i="11"/>
  <c r="AT107" i="2"/>
  <c r="F28" i="12"/>
  <c r="C53" i="11"/>
  <c r="G28" i="12"/>
  <c r="D53" i="11"/>
  <c r="AT103" i="2"/>
  <c r="F27" i="12"/>
  <c r="C41" i="11"/>
  <c r="G27" i="12"/>
  <c r="D41" i="11"/>
  <c r="AT99" i="2"/>
  <c r="F26" i="12"/>
  <c r="C29" i="11"/>
  <c r="G26" i="12"/>
  <c r="D29" i="11"/>
  <c r="AT95" i="2"/>
  <c r="AR94" i="2"/>
  <c r="AT94" i="2"/>
  <c r="L22" i="12"/>
  <c r="I28" i="11"/>
  <c r="M22" i="12"/>
  <c r="J28" i="11"/>
  <c r="H19" i="12"/>
  <c r="E39" i="11"/>
  <c r="I22" i="12"/>
  <c r="F28" i="11"/>
  <c r="I24" i="12"/>
  <c r="F52" i="11"/>
  <c r="H22" i="12"/>
  <c r="E28" i="11"/>
  <c r="L19" i="12"/>
  <c r="I39" i="11"/>
  <c r="AS94" i="2"/>
  <c r="H25" i="12"/>
  <c r="E64" i="11"/>
  <c r="H24" i="12"/>
  <c r="E52" i="11"/>
  <c r="AR92" i="2"/>
  <c r="AT92" i="2"/>
  <c r="AM87" i="2"/>
  <c r="AM80" i="2"/>
  <c r="AT91" i="2"/>
  <c r="G24" i="12"/>
  <c r="D52" i="11"/>
  <c r="F24" i="12"/>
  <c r="C52" i="11"/>
  <c r="AT87" i="2"/>
  <c r="F23" i="12"/>
  <c r="C40" i="11"/>
  <c r="G23" i="12"/>
  <c r="D40" i="11"/>
  <c r="AT83" i="2"/>
  <c r="F22" i="12"/>
  <c r="C28" i="11"/>
  <c r="G22" i="12"/>
  <c r="D28" i="11"/>
  <c r="AT79" i="2"/>
  <c r="M19" i="12"/>
  <c r="J39" i="11"/>
  <c r="I19" i="12"/>
  <c r="F39" i="11"/>
  <c r="H21" i="12"/>
  <c r="E63" i="11"/>
  <c r="AS71" i="2"/>
  <c r="AS63" i="2"/>
  <c r="I18" i="12"/>
  <c r="F27" i="11"/>
  <c r="I21" i="12"/>
  <c r="F63" i="11"/>
  <c r="AR78" i="2"/>
  <c r="AT78" i="2"/>
  <c r="AR76" i="2"/>
  <c r="AT76" i="2"/>
  <c r="AR75" i="2"/>
  <c r="AT75" i="2"/>
  <c r="AM66" i="2"/>
  <c r="F20" i="12"/>
  <c r="C51" i="11"/>
  <c r="G20" i="12"/>
  <c r="D51" i="11"/>
  <c r="AT71" i="2"/>
  <c r="F19" i="12"/>
  <c r="C39" i="11"/>
  <c r="G19" i="12"/>
  <c r="D39" i="11"/>
  <c r="AT67" i="2"/>
  <c r="AR63" i="2"/>
  <c r="F18" i="12"/>
  <c r="C27" i="11"/>
  <c r="I17" i="12"/>
  <c r="F62" i="11"/>
  <c r="H17" i="12"/>
  <c r="E62" i="11"/>
  <c r="AU59" i="2"/>
  <c r="I15" i="12"/>
  <c r="F38" i="11"/>
  <c r="H15" i="12"/>
  <c r="E38" i="11"/>
  <c r="AS48" i="2"/>
  <c r="AU48" i="2"/>
  <c r="AS47" i="2"/>
  <c r="AU47" i="2"/>
  <c r="AS58" i="2"/>
  <c r="AM62" i="2"/>
  <c r="AM60" i="2"/>
  <c r="AR56" i="2"/>
  <c r="AT56" i="2"/>
  <c r="AR48" i="2"/>
  <c r="AT48" i="2"/>
  <c r="AM53" i="2"/>
  <c r="AM55" i="2"/>
  <c r="AR52" i="2"/>
  <c r="AT52" i="2"/>
  <c r="AR51" i="2"/>
  <c r="AT51" i="2"/>
  <c r="AM49" i="2"/>
  <c r="F17" i="12"/>
  <c r="C62" i="11"/>
  <c r="G17" i="12"/>
  <c r="D62" i="11"/>
  <c r="AT59" i="2"/>
  <c r="AT55" i="2"/>
  <c r="AT47" i="2"/>
  <c r="AR43" i="2"/>
  <c r="AT43" i="2"/>
  <c r="M13" i="12"/>
  <c r="J61" i="11"/>
  <c r="L13" i="12"/>
  <c r="I61" i="11"/>
  <c r="I13" i="12"/>
  <c r="F61" i="11"/>
  <c r="H13" i="12"/>
  <c r="E61" i="11"/>
  <c r="AS42" i="2"/>
  <c r="AU42" i="2"/>
  <c r="AS41" i="2"/>
  <c r="AU41" i="2"/>
  <c r="AS40" i="2"/>
  <c r="AS38" i="2"/>
  <c r="AU38" i="2"/>
  <c r="L11" i="12"/>
  <c r="I37" i="11"/>
  <c r="AS32" i="2"/>
  <c r="AU32" i="2"/>
  <c r="AR46" i="2"/>
  <c r="AT46" i="2"/>
  <c r="AR44" i="2"/>
  <c r="AT44" i="2"/>
  <c r="AR42" i="2"/>
  <c r="AT42" i="2"/>
  <c r="AR40" i="2"/>
  <c r="AT40" i="2"/>
  <c r="AM39" i="2"/>
  <c r="AT39" i="2"/>
  <c r="F11" i="12"/>
  <c r="C37" i="11"/>
  <c r="G11" i="12"/>
  <c r="D37" i="11"/>
  <c r="AT35" i="2"/>
  <c r="AR34" i="2"/>
  <c r="AT34" i="2"/>
  <c r="AS31" i="2"/>
  <c r="AT31" i="2"/>
  <c r="AN30" i="2"/>
  <c r="AS26" i="2"/>
  <c r="AU26" i="2"/>
  <c r="AS23" i="2"/>
  <c r="AU23" i="2"/>
  <c r="AN17" i="2"/>
  <c r="AS29" i="2"/>
  <c r="AU29" i="2"/>
  <c r="AS28" i="2"/>
  <c r="AN22" i="2"/>
  <c r="AN21" i="2"/>
  <c r="AU21" i="2"/>
  <c r="L7" i="12"/>
  <c r="I36" i="11"/>
  <c r="I7" i="12"/>
  <c r="F36" i="11"/>
  <c r="H7" i="12"/>
  <c r="E36" i="11"/>
  <c r="AS16" i="2"/>
  <c r="AU16" i="2"/>
  <c r="M6" i="12"/>
  <c r="J24" i="11"/>
  <c r="AM27" i="2"/>
  <c r="AR27" i="2"/>
  <c r="AM28" i="2"/>
  <c r="AR28" i="2"/>
  <c r="AT28" i="2"/>
  <c r="AM18" i="2"/>
  <c r="AR18" i="2"/>
  <c r="AT18" i="2"/>
  <c r="AM26" i="2"/>
  <c r="AR26" i="2"/>
  <c r="AT26" i="2"/>
  <c r="AR19" i="2"/>
  <c r="AM19" i="2"/>
  <c r="AM30" i="2"/>
  <c r="AR30" i="2"/>
  <c r="AT30" i="2"/>
  <c r="AM22" i="2"/>
  <c r="AR22" i="2"/>
  <c r="AT22" i="2"/>
  <c r="AM23" i="2"/>
  <c r="AR23" i="2"/>
  <c r="AM15" i="2"/>
  <c r="F6" i="12"/>
  <c r="C24" i="11"/>
  <c r="AT15" i="2"/>
  <c r="AR12" i="2"/>
  <c r="AT12" i="2"/>
  <c r="AS8" i="2"/>
  <c r="AU8" i="2"/>
  <c r="AN8" i="2"/>
  <c r="AN9" i="2"/>
  <c r="AS9" i="2"/>
  <c r="AU9" i="2"/>
  <c r="AS13" i="2"/>
  <c r="AU13" i="2"/>
  <c r="AR10" i="2"/>
  <c r="AT10" i="2"/>
  <c r="AM10" i="2"/>
  <c r="AS7" i="2"/>
  <c r="AN7" i="2"/>
  <c r="AU11" i="2"/>
  <c r="AT11" i="2"/>
  <c r="L52" i="8"/>
  <c r="L40" i="8"/>
  <c r="L28" i="8"/>
  <c r="K52" i="8"/>
  <c r="K4" i="12"/>
  <c r="H46" i="11"/>
  <c r="M17" i="12"/>
  <c r="J62" i="11"/>
  <c r="L17" i="12"/>
  <c r="I62" i="11"/>
  <c r="L15" i="12"/>
  <c r="I38" i="11"/>
  <c r="M15" i="12"/>
  <c r="J38" i="11"/>
  <c r="M26" i="12"/>
  <c r="J29" i="11"/>
  <c r="L26" i="12"/>
  <c r="I29" i="11"/>
  <c r="M21" i="12"/>
  <c r="J63" i="11"/>
  <c r="L21" i="12"/>
  <c r="I63" i="11"/>
  <c r="M24" i="12"/>
  <c r="J52" i="11"/>
  <c r="L24" i="12"/>
  <c r="I52" i="11"/>
  <c r="I51" i="8"/>
  <c r="I39" i="8"/>
  <c r="I27" i="8"/>
  <c r="I15" i="8"/>
  <c r="K15" i="8"/>
  <c r="K27" i="8"/>
  <c r="K51" i="8"/>
  <c r="K39" i="8"/>
  <c r="L51" i="8"/>
  <c r="L39" i="8"/>
  <c r="L27" i="8"/>
  <c r="J51" i="8"/>
  <c r="J39" i="8"/>
  <c r="J27" i="8"/>
  <c r="J15" i="8"/>
  <c r="G46" i="11"/>
  <c r="G22" i="11"/>
  <c r="G58" i="11"/>
  <c r="G34" i="11"/>
  <c r="J40" i="8"/>
  <c r="J16" i="8"/>
  <c r="J52" i="8"/>
  <c r="J28" i="8"/>
  <c r="I40" i="8"/>
  <c r="I52" i="8"/>
  <c r="I28" i="8"/>
  <c r="I16" i="8"/>
  <c r="I23" i="12"/>
  <c r="F40" i="11"/>
  <c r="M11" i="12"/>
  <c r="J37" i="11"/>
  <c r="L23" i="12"/>
  <c r="I40" i="11"/>
  <c r="H23" i="12"/>
  <c r="E40" i="11"/>
  <c r="AU102" i="2"/>
  <c r="I27" i="12"/>
  <c r="F41" i="11"/>
  <c r="K29" i="12"/>
  <c r="H65" i="11"/>
  <c r="J29" i="12"/>
  <c r="G65" i="11"/>
  <c r="J28" i="12"/>
  <c r="G53" i="11"/>
  <c r="K28" i="12"/>
  <c r="H53" i="11"/>
  <c r="K27" i="12"/>
  <c r="H41" i="11"/>
  <c r="J27" i="12"/>
  <c r="G41" i="11"/>
  <c r="K26" i="12"/>
  <c r="H29" i="11"/>
  <c r="J26" i="12"/>
  <c r="G29" i="11"/>
  <c r="F10" i="12"/>
  <c r="C25" i="11"/>
  <c r="H4" i="12"/>
  <c r="I8" i="12"/>
  <c r="F48" i="11"/>
  <c r="H11" i="12"/>
  <c r="E37" i="11"/>
  <c r="L8" i="12"/>
  <c r="I48" i="11"/>
  <c r="I11" i="12"/>
  <c r="F37" i="11"/>
  <c r="F14" i="12"/>
  <c r="C26" i="11"/>
  <c r="G4" i="12"/>
  <c r="D22" i="11"/>
  <c r="AU7" i="2"/>
  <c r="L4" i="12"/>
  <c r="G5" i="12"/>
  <c r="D35" i="11"/>
  <c r="M5" i="12"/>
  <c r="J47" i="11"/>
  <c r="F4" i="12"/>
  <c r="C58" i="11"/>
  <c r="H14" i="12"/>
  <c r="E26" i="11"/>
  <c r="G25" i="12"/>
  <c r="D64" i="11"/>
  <c r="F25" i="12"/>
  <c r="C64" i="11"/>
  <c r="L6" i="12"/>
  <c r="I24" i="11"/>
  <c r="F5" i="12"/>
  <c r="C59" i="11"/>
  <c r="M14" i="12"/>
  <c r="J26" i="11"/>
  <c r="H6" i="12"/>
  <c r="E24" i="11"/>
  <c r="G16" i="12"/>
  <c r="D50" i="11"/>
  <c r="AU94" i="2"/>
  <c r="I25" i="12"/>
  <c r="F64" i="11"/>
  <c r="K25" i="12"/>
  <c r="H64" i="11"/>
  <c r="J25" i="12"/>
  <c r="G64" i="11"/>
  <c r="K24" i="12"/>
  <c r="H52" i="11"/>
  <c r="J24" i="12"/>
  <c r="G52" i="11"/>
  <c r="K23" i="12"/>
  <c r="H40" i="11"/>
  <c r="J23" i="12"/>
  <c r="G40" i="11"/>
  <c r="J22" i="12"/>
  <c r="G28" i="11"/>
  <c r="K22" i="12"/>
  <c r="H28" i="11"/>
  <c r="L14" i="12"/>
  <c r="I26" i="11"/>
  <c r="I14" i="12"/>
  <c r="F26" i="11"/>
  <c r="F16" i="12"/>
  <c r="C50" i="11"/>
  <c r="G10" i="12"/>
  <c r="D25" i="11"/>
  <c r="F13" i="12"/>
  <c r="C61" i="11"/>
  <c r="G14" i="12"/>
  <c r="D26" i="11"/>
  <c r="G12" i="12"/>
  <c r="D49" i="11"/>
  <c r="G21" i="12"/>
  <c r="D63" i="11"/>
  <c r="F12" i="12"/>
  <c r="C49" i="11"/>
  <c r="F21" i="12"/>
  <c r="C63" i="11"/>
  <c r="H58" i="11"/>
  <c r="AU71" i="2"/>
  <c r="H20" i="12"/>
  <c r="E51" i="11"/>
  <c r="I20" i="12"/>
  <c r="F51" i="11"/>
  <c r="H18" i="12"/>
  <c r="E27" i="11"/>
  <c r="AU63" i="2"/>
  <c r="J21" i="12"/>
  <c r="G63" i="11"/>
  <c r="K21" i="12"/>
  <c r="H63" i="11"/>
  <c r="J20" i="12"/>
  <c r="G51" i="11"/>
  <c r="K20" i="12"/>
  <c r="H51" i="11"/>
  <c r="K19" i="12"/>
  <c r="H39" i="11"/>
  <c r="J19" i="12"/>
  <c r="G39" i="11"/>
  <c r="AT63" i="2"/>
  <c r="J18" i="12"/>
  <c r="G27" i="11"/>
  <c r="G18" i="12"/>
  <c r="D27" i="11"/>
  <c r="AU58" i="2"/>
  <c r="H16" i="12"/>
  <c r="E50" i="11"/>
  <c r="I16" i="12"/>
  <c r="F50" i="11"/>
  <c r="G15" i="12"/>
  <c r="D38" i="11"/>
  <c r="F15" i="12"/>
  <c r="C38" i="11"/>
  <c r="K17" i="12"/>
  <c r="H62" i="11"/>
  <c r="J17" i="12"/>
  <c r="G62" i="11"/>
  <c r="J16" i="12"/>
  <c r="G50" i="11"/>
  <c r="K16" i="12"/>
  <c r="H50" i="11"/>
  <c r="J15" i="12"/>
  <c r="G38" i="11"/>
  <c r="K15" i="12"/>
  <c r="H38" i="11"/>
  <c r="J14" i="12"/>
  <c r="G26" i="11"/>
  <c r="K14" i="12"/>
  <c r="H26" i="11"/>
  <c r="AU40" i="2"/>
  <c r="H12" i="12"/>
  <c r="E49" i="11"/>
  <c r="I12" i="12"/>
  <c r="F49" i="11"/>
  <c r="G13" i="12"/>
  <c r="D61" i="11"/>
  <c r="J13" i="12"/>
  <c r="G61" i="11"/>
  <c r="K13" i="12"/>
  <c r="H61" i="11"/>
  <c r="J12" i="12"/>
  <c r="G49" i="11"/>
  <c r="K12" i="12"/>
  <c r="H49" i="11"/>
  <c r="J11" i="12"/>
  <c r="G37" i="11"/>
  <c r="K11" i="12"/>
  <c r="H37" i="11"/>
  <c r="AU31" i="2"/>
  <c r="I10" i="12"/>
  <c r="F25" i="11"/>
  <c r="H10" i="12"/>
  <c r="E25" i="11"/>
  <c r="J10" i="12"/>
  <c r="G25" i="11"/>
  <c r="K10" i="12"/>
  <c r="H25" i="11"/>
  <c r="I6" i="12"/>
  <c r="F24" i="11"/>
  <c r="H8" i="12"/>
  <c r="E48" i="11"/>
  <c r="M8" i="12"/>
  <c r="J48" i="11"/>
  <c r="AU28" i="2"/>
  <c r="I9" i="12"/>
  <c r="F60" i="11"/>
  <c r="H9" i="12"/>
  <c r="E60" i="11"/>
  <c r="M7" i="12"/>
  <c r="J36" i="11"/>
  <c r="G7" i="12"/>
  <c r="D36" i="11"/>
  <c r="F7" i="12"/>
  <c r="C36" i="11"/>
  <c r="AT19" i="2"/>
  <c r="F8" i="12"/>
  <c r="C48" i="11"/>
  <c r="G8" i="12"/>
  <c r="D48" i="11"/>
  <c r="AT23" i="2"/>
  <c r="F9" i="12"/>
  <c r="C60" i="11"/>
  <c r="G9" i="12"/>
  <c r="D60" i="11"/>
  <c r="AT27" i="2"/>
  <c r="G6" i="12"/>
  <c r="D24" i="11"/>
  <c r="J6" i="12"/>
  <c r="G24" i="11"/>
  <c r="K6" i="12"/>
  <c r="H24" i="11"/>
  <c r="I5" i="12"/>
  <c r="F59" i="11"/>
  <c r="L5" i="12"/>
  <c r="I47" i="11"/>
  <c r="H5" i="12"/>
  <c r="I4" i="12"/>
  <c r="F46" i="11"/>
  <c r="J5" i="12"/>
  <c r="K5" i="12"/>
  <c r="D23" i="11"/>
  <c r="D59" i="11"/>
  <c r="C47" i="11"/>
  <c r="H34" i="11"/>
  <c r="D34" i="11"/>
  <c r="H22" i="11"/>
  <c r="D58" i="11"/>
  <c r="J59" i="11"/>
  <c r="J35" i="11"/>
  <c r="D46" i="11"/>
  <c r="M4" i="12"/>
  <c r="E58" i="11"/>
  <c r="E22" i="11"/>
  <c r="E34" i="11"/>
  <c r="E46" i="11"/>
  <c r="F22" i="11"/>
  <c r="M27" i="12"/>
  <c r="J41" i="11"/>
  <c r="L27" i="12"/>
  <c r="I41" i="11"/>
  <c r="J23" i="11"/>
  <c r="C35" i="11"/>
  <c r="C22" i="11"/>
  <c r="C23" i="11"/>
  <c r="D47" i="11"/>
  <c r="C46" i="11"/>
  <c r="C34" i="11"/>
  <c r="F34" i="11"/>
  <c r="F47" i="11"/>
  <c r="I59" i="11"/>
  <c r="F35" i="11"/>
  <c r="I23" i="11"/>
  <c r="F23" i="11"/>
  <c r="F58" i="11"/>
  <c r="M25" i="12"/>
  <c r="J64" i="11"/>
  <c r="L25" i="12"/>
  <c r="I64" i="11"/>
  <c r="M20" i="12"/>
  <c r="J51" i="11"/>
  <c r="L20" i="12"/>
  <c r="I51" i="11"/>
  <c r="L18" i="12"/>
  <c r="I27" i="11"/>
  <c r="M18" i="12"/>
  <c r="J27" i="11"/>
  <c r="K18" i="12"/>
  <c r="H27" i="11"/>
  <c r="M16" i="12"/>
  <c r="J50" i="11"/>
  <c r="L16" i="12"/>
  <c r="I50" i="11"/>
  <c r="M12" i="12"/>
  <c r="J49" i="11"/>
  <c r="L12" i="12"/>
  <c r="I49" i="11"/>
  <c r="L10" i="12"/>
  <c r="I25" i="11"/>
  <c r="M10" i="12"/>
  <c r="J25" i="11"/>
  <c r="M9" i="12"/>
  <c r="J60" i="11"/>
  <c r="L9" i="12"/>
  <c r="I60" i="11"/>
  <c r="K8" i="12"/>
  <c r="H48" i="11"/>
  <c r="J8" i="12"/>
  <c r="G48" i="11"/>
  <c r="J9" i="12"/>
  <c r="G60" i="11"/>
  <c r="K9" i="12"/>
  <c r="H60" i="11"/>
  <c r="J7" i="12"/>
  <c r="G36" i="11"/>
  <c r="K7" i="12"/>
  <c r="H36" i="11"/>
  <c r="I35" i="11"/>
  <c r="E59" i="11"/>
  <c r="E23" i="11"/>
  <c r="E35" i="11"/>
  <c r="E47" i="11"/>
  <c r="H47" i="11"/>
  <c r="H23" i="11"/>
  <c r="H35" i="11"/>
  <c r="H59" i="11"/>
  <c r="G47" i="11"/>
  <c r="G23" i="11"/>
  <c r="G59" i="11"/>
  <c r="G35" i="11"/>
  <c r="I46" i="11"/>
  <c r="I58" i="11"/>
  <c r="I34" i="11"/>
  <c r="I22" i="11"/>
  <c r="J46" i="11"/>
  <c r="J58" i="11"/>
  <c r="J34" i="11"/>
  <c r="J22" i="11"/>
</calcChain>
</file>

<file path=xl/sharedStrings.xml><?xml version="1.0" encoding="utf-8"?>
<sst xmlns="http://schemas.openxmlformats.org/spreadsheetml/2006/main" count="2344" uniqueCount="93">
  <si>
    <t>Date</t>
  </si>
  <si>
    <t>Time</t>
  </si>
  <si>
    <t>Light Condition</t>
  </si>
  <si>
    <t>Replica</t>
  </si>
  <si>
    <t>Wet Weight (g)</t>
  </si>
  <si>
    <t>Dry Weight (g)</t>
  </si>
  <si>
    <r>
      <t>Surface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</si>
  <si>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Surface/Wet Weight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/g)</t>
    </r>
  </si>
  <si>
    <r>
      <t>Surface/Dry Weight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/g)</t>
    </r>
  </si>
  <si>
    <t>Period</t>
  </si>
  <si>
    <t>-</t>
  </si>
  <si>
    <t>A</t>
  </si>
  <si>
    <t>B</t>
  </si>
  <si>
    <t>C</t>
  </si>
  <si>
    <t>D</t>
  </si>
  <si>
    <t>Acclimatisation 1</t>
  </si>
  <si>
    <t>Acclimatisation 2</t>
  </si>
  <si>
    <t>High Light</t>
  </si>
  <si>
    <t>Low Light</t>
  </si>
  <si>
    <t>Darkness</t>
  </si>
  <si>
    <t>Colonisation</t>
  </si>
  <si>
    <t>Experiment</t>
  </si>
  <si>
    <t>UQLight04</t>
  </si>
  <si>
    <t>Growth</t>
  </si>
  <si>
    <t>Phaeobacter</t>
  </si>
  <si>
    <t>CFU</t>
  </si>
  <si>
    <t>Total Bacteria</t>
  </si>
  <si>
    <t>Colony Forming Units</t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</si>
  <si>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</si>
  <si>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-2</t>
    </r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</si>
  <si>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/>
    </r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</si>
  <si>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/>
    </r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</si>
  <si>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/>
    </r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</si>
  <si>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sz val="11"/>
        <color theme="1"/>
        <rFont val="Calibri"/>
        <family val="2"/>
        <scheme val="minor"/>
      </rPr>
      <t/>
    </r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</si>
  <si>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-7</t>
    </r>
    <r>
      <rPr>
        <sz val="11"/>
        <color theme="1"/>
        <rFont val="Calibri"/>
        <family val="2"/>
        <scheme val="minor"/>
      </rPr>
      <t/>
    </r>
  </si>
  <si>
    <t>Total CFU</t>
  </si>
  <si>
    <t>Criteria for counting bacterial colonies</t>
  </si>
  <si>
    <t>Maximum</t>
  </si>
  <si>
    <t>Minimum</t>
  </si>
  <si>
    <t>LOG10(CFU)</t>
  </si>
  <si>
    <t>Nitrates (mgN/L)</t>
  </si>
  <si>
    <t>Phosphates (mgP/L)</t>
  </si>
  <si>
    <t>pH</t>
  </si>
  <si>
    <t>&gt;=25</t>
  </si>
  <si>
    <t>&lt;=350</t>
  </si>
  <si>
    <t>Standart</t>
  </si>
  <si>
    <t>Concentration (mg N /L)</t>
  </si>
  <si>
    <t>ABS 220</t>
  </si>
  <si>
    <t>Dilution Factor</t>
  </si>
  <si>
    <t>Real ABS 220</t>
  </si>
  <si>
    <t>ABS 275</t>
  </si>
  <si>
    <t>Real ABS 275</t>
  </si>
  <si>
    <t>ABS nitrates</t>
  </si>
  <si>
    <t>Line Ecuation</t>
  </si>
  <si>
    <t>m</t>
  </si>
  <si>
    <t>n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</si>
  <si>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</si>
  <si>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Concentration (mg P/L)</t>
  </si>
  <si>
    <t>ABS 880</t>
  </si>
  <si>
    <t>Real ABS 880</t>
  </si>
  <si>
    <t>Average</t>
  </si>
  <si>
    <t>Average ABS 220</t>
  </si>
  <si>
    <t>Average ABS 275</t>
  </si>
  <si>
    <t>SD</t>
  </si>
  <si>
    <t>Groth</t>
  </si>
  <si>
    <t>Value y</t>
  </si>
  <si>
    <t>Surface</t>
  </si>
  <si>
    <t>Wet Weight</t>
  </si>
  <si>
    <t>Nitrates</t>
  </si>
  <si>
    <t>Phosphates</t>
  </si>
  <si>
    <t>Concentration (mg/L)</t>
  </si>
  <si>
    <t>ABS 220 nm</t>
  </si>
  <si>
    <t>ABS 275 nm</t>
  </si>
  <si>
    <t>ABS real</t>
  </si>
  <si>
    <t>ABS 880 nm</t>
  </si>
  <si>
    <t>Dilution factor</t>
  </si>
  <si>
    <r>
      <t>CFU/cm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</si>
  <si>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LOG10(CFU)/cm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</si>
  <si>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LOG10 (CFU/cm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</si>
  <si>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NCN</t>
  </si>
  <si>
    <t>Dry Weight</t>
  </si>
  <si>
    <t>Surface/Wet Weight</t>
  </si>
  <si>
    <t>Concentration in culture</t>
  </si>
  <si>
    <t>CFU/mL</t>
  </si>
  <si>
    <t>LOG10(CFU/mL)</t>
  </si>
  <si>
    <t>Concentration added</t>
  </si>
  <si>
    <t>Growth Rate</t>
  </si>
  <si>
    <t>UQLight05</t>
  </si>
  <si>
    <t>UQLight06</t>
  </si>
  <si>
    <t>F</t>
  </si>
  <si>
    <t>E</t>
  </si>
  <si>
    <t>Medium Light</t>
  </si>
  <si>
    <t>Average Standart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</si>
</sst>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11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4" fillId="0" borderId="0" xfId="0" applyFont="1"/>
    <xf numFmtId="11" fontId="1" fillId="0" borderId="0" xfId="0" applyNumberFormat="1" applyFont="1" applyBorder="1"/>
    <xf numFmtId="11" fontId="0" fillId="0" borderId="0" xfId="0" applyNumberFormat="1" applyBorder="1"/>
    <xf numFmtId="11" fontId="1" fillId="0" borderId="1" xfId="0" applyNumberFormat="1" applyFont="1" applyBorder="1"/>
    <xf numFmtId="11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0" fontId="4" fillId="0" borderId="0" xfId="0" applyFont="1" applyBorder="1"/>
    <xf numFmtId="0" fontId="1" fillId="0" borderId="1" xfId="0" applyFont="1" applyBorder="1"/>
    <xf numFmtId="2" fontId="0" fillId="0" borderId="0" xfId="0" applyNumberFormat="1" applyBorder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NumberForma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graphs'!$A$12</c:f>
          <c:strCache>
            <c:ptCount val="1"/>
            <c:pt idx="0">
              <c:v>High Light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6-42BA-B79C-EB4F35FA7C9B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6-42BA-B79C-EB4F35FA7C9B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6-42BA-B79C-EB4F35FA7C9B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B6-42BA-B79C-EB4F35FA7C9B}"/>
            </c:ext>
          </c:extLst>
        </c:ser>
        <c:ser>
          <c:idx val="5"/>
          <c:order val="4"/>
          <c:tx>
            <c:strRef>
              <c:f>'Growth Parameter graphs'!$E$13:$F$13</c:f>
              <c:strCache>
                <c:ptCount val="1"/>
                <c:pt idx="0">
                  <c:v>Wet Weight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graphs'!$F$15:$F$22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5.099918299999194E-3</c:v>
                  </c:pt>
                  <c:pt idx="3">
                    <c:v>4.6475800154489018E-3</c:v>
                  </c:pt>
                  <c:pt idx="4">
                    <c:v>1.079147039718561E-2</c:v>
                  </c:pt>
                  <c:pt idx="5">
                    <c:v>1.7777771701387845E-2</c:v>
                  </c:pt>
                  <c:pt idx="6">
                    <c:v>1.8569957817219887E-2</c:v>
                  </c:pt>
                  <c:pt idx="7">
                    <c:v>5.3231413031529957E-3</c:v>
                  </c:pt>
                </c:numCache>
              </c:numRef>
            </c:plus>
            <c:minus>
              <c:numRef>
                <c:f>'Growth Parameter graphs'!$F$15:$F$22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5.099918299999194E-3</c:v>
                  </c:pt>
                  <c:pt idx="3">
                    <c:v>4.6475800154489018E-3</c:v>
                  </c:pt>
                  <c:pt idx="4">
                    <c:v>1.079147039718561E-2</c:v>
                  </c:pt>
                  <c:pt idx="5">
                    <c:v>1.7777771701387845E-2</c:v>
                  </c:pt>
                  <c:pt idx="6">
                    <c:v>1.8569957817219887E-2</c:v>
                  </c:pt>
                  <c:pt idx="7">
                    <c:v>5.3231413031529957E-3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graphs'!$E$15:$E$22</c:f>
              <c:numCache>
                <c:formatCode>General</c:formatCode>
                <c:ptCount val="8"/>
                <c:pt idx="0">
                  <c:v>1.9975E-2</c:v>
                </c:pt>
                <c:pt idx="1">
                  <c:v>4.2550000000000004E-2</c:v>
                </c:pt>
                <c:pt idx="2">
                  <c:v>6.4424999999999996E-2</c:v>
                </c:pt>
                <c:pt idx="3">
                  <c:v>9.7700000000000009E-2</c:v>
                </c:pt>
                <c:pt idx="4">
                  <c:v>0.12997499999999998</c:v>
                </c:pt>
                <c:pt idx="5">
                  <c:v>0.16247500000000001</c:v>
                </c:pt>
                <c:pt idx="6">
                  <c:v>0.15565000000000001</c:v>
                </c:pt>
                <c:pt idx="7">
                  <c:v>0.21842499999999998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B6-42BA-B79C-EB4F35FA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6"/>
          <c:order val="5"/>
          <c:tx>
            <c:strRef>
              <c:f>'Growth Parameter graphs'!$C$13:$D$13</c:f>
              <c:strCache>
                <c:ptCount val="1"/>
                <c:pt idx="0">
                  <c:v>Surface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graphs'!$D$15:$D$22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0.92558643572602706</c:v>
                  </c:pt>
                  <c:pt idx="3">
                    <c:v>1.6263065260480996</c:v>
                  </c:pt>
                  <c:pt idx="4">
                    <c:v>1.7562668741775365</c:v>
                  </c:pt>
                  <c:pt idx="5">
                    <c:v>2.0998011612214009</c:v>
                  </c:pt>
                  <c:pt idx="6">
                    <c:v>3.652865404948106</c:v>
                  </c:pt>
                  <c:pt idx="7">
                    <c:v>2.3868222074549248</c:v>
                  </c:pt>
                </c:numCache>
              </c:numRef>
            </c:plus>
            <c:minus>
              <c:numRef>
                <c:f>'Growth Parameter graphs'!$D$15:$D$22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0.92558643572602706</c:v>
                  </c:pt>
                  <c:pt idx="3">
                    <c:v>1.6263065260480996</c:v>
                  </c:pt>
                  <c:pt idx="4">
                    <c:v>1.7562668741775365</c:v>
                  </c:pt>
                  <c:pt idx="5">
                    <c:v>2.0998011612214009</c:v>
                  </c:pt>
                  <c:pt idx="6">
                    <c:v>3.652865404948106</c:v>
                  </c:pt>
                  <c:pt idx="7">
                    <c:v>2.3868222074549248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graphs'!$C$15:$C$22</c:f>
              <c:numCache>
                <c:formatCode>General</c:formatCode>
                <c:ptCount val="8"/>
                <c:pt idx="0">
                  <c:v>3.8325000000000005</c:v>
                </c:pt>
                <c:pt idx="1">
                  <c:v>5.6814999999999998</c:v>
                </c:pt>
                <c:pt idx="2">
                  <c:v>7.0022499999999992</c:v>
                </c:pt>
                <c:pt idx="3">
                  <c:v>11.960750000000001</c:v>
                </c:pt>
                <c:pt idx="4">
                  <c:v>15.166</c:v>
                </c:pt>
                <c:pt idx="5">
                  <c:v>18.02075</c:v>
                </c:pt>
                <c:pt idx="6">
                  <c:v>19.298500000000001</c:v>
                </c:pt>
                <c:pt idx="7">
                  <c:v>21.296749999999999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B6-42BA-B79C-EB4F35FA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1456"/>
        <c:axId val="40755104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0.3000000000000000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Weight (g)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.000000000000001E-2"/>
      </c:valAx>
      <c:valAx>
        <c:axId val="407551040"/>
        <c:scaling>
          <c:orientation val="minMax"/>
          <c:max val="4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(cm</a:t>
                </a:r>
                <a:r>
                  <a:rPr lang="es-ES" baseline="30000"/>
                  <a:t>2</a:t>
                </a:r>
                <a:r>
                  <a:rPr lang="es-ES"/>
                  <a:t>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midCat"/>
      </c:valAx>
      <c:val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72974586722834067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5022-45B3-9175-3C23FA770DFE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22-45B3-9175-3C23FA770DFE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22-45B3-9175-3C23FA770DFE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22-45B3-9175-3C23FA770DFE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22-45B3-9175-3C23FA770DFE}"/>
            </c:ext>
          </c:extLst>
        </c:ser>
        <c:ser>
          <c:idx val="6"/>
          <c:order val="4"/>
          <c:tx>
            <c:strRef>
              <c:f>'Plate Plating graphs'!$I$20:$J$20</c:f>
              <c:strCache>
                <c:ptCount val="1"/>
                <c:pt idx="0">
                  <c:v>Total Bacteria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graphs'!$J$34:$J$41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0.53515650501746503</c:v>
                  </c:pt>
                  <c:pt idx="3">
                    <c:v>0.19995315054652538</c:v>
                  </c:pt>
                  <c:pt idx="4">
                    <c:v>0.28522991706190992</c:v>
                  </c:pt>
                  <c:pt idx="5">
                    <c:v>0.27014834767870433</c:v>
                  </c:pt>
                  <c:pt idx="6">
                    <c:v>0.19939963351501946</c:v>
                  </c:pt>
                  <c:pt idx="7">
                    <c:v>0.21750658825525176</c:v>
                  </c:pt>
                </c:numCache>
              </c:numRef>
            </c:plus>
            <c:minus>
              <c:numRef>
                <c:f>'Plate Plating graphs'!$J$34:$J$41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0.53515650501746503</c:v>
                  </c:pt>
                  <c:pt idx="3">
                    <c:v>0.19995315054652538</c:v>
                  </c:pt>
                  <c:pt idx="4">
                    <c:v>0.28522991706190992</c:v>
                  </c:pt>
                  <c:pt idx="5">
                    <c:v>0.27014834767870433</c:v>
                  </c:pt>
                  <c:pt idx="6">
                    <c:v>0.19939963351501946</c:v>
                  </c:pt>
                  <c:pt idx="7">
                    <c:v>0.21750658825525176</c:v>
                  </c:pt>
                </c:numCache>
              </c:numRef>
            </c:minus>
          </c:errBars>
          <c:xVal>
            <c:numRef>
              <c:f>'Plate Plating graphs'!$B$34:$B$41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graphs'!$I$34:$I$41</c:f>
              <c:numCache>
                <c:formatCode>General</c:formatCode>
                <c:ptCount val="8"/>
                <c:pt idx="0">
                  <c:v>2.2933362617677648</c:v>
                </c:pt>
                <c:pt idx="1">
                  <c:v>5.2778764935032267</c:v>
                </c:pt>
                <c:pt idx="2">
                  <c:v>4.9815593278044226</c:v>
                </c:pt>
                <c:pt idx="3">
                  <c:v>6.1955745541306024</c:v>
                </c:pt>
                <c:pt idx="4">
                  <c:v>5.3433187941834213</c:v>
                </c:pt>
                <c:pt idx="5">
                  <c:v>5.0944899832351673</c:v>
                </c:pt>
                <c:pt idx="6">
                  <c:v>5.4612502589272331</c:v>
                </c:pt>
                <c:pt idx="7">
                  <c:v>5.5026810499408576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22-45B3-9175-3C23FA770DFE}"/>
            </c:ext>
          </c:extLst>
        </c:ser>
        <c:ser>
          <c:idx val="5"/>
          <c:order val="5"/>
          <c:tx>
            <c:strRef>
              <c:f>'Plate Plating graphs'!$G$20:$H$20</c:f>
              <c:strCache>
                <c:ptCount val="1"/>
                <c:pt idx="0">
                  <c:v>Phaeobacter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10"/>
            <c:spPr>
              <a:solidFill>
                <a:srgbClr val="80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graphs'!$H$34:$H$41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0.25311443436663156</c:v>
                  </c:pt>
                  <c:pt idx="4">
                    <c:v>0.74268681597096486</c:v>
                  </c:pt>
                  <c:pt idx="5">
                    <c:v>0.36871715394739718</c:v>
                  </c:pt>
                  <c:pt idx="6">
                    <c:v>0.32301835625655367</c:v>
                  </c:pt>
                  <c:pt idx="7">
                    <c:v>0.69628459494744144</c:v>
                  </c:pt>
                </c:numCache>
              </c:numRef>
            </c:plus>
            <c:minus>
              <c:numRef>
                <c:f>'Plate Plating graphs'!$H$34:$H$41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0.25311443436663156</c:v>
                  </c:pt>
                  <c:pt idx="4">
                    <c:v>0.74268681597096486</c:v>
                  </c:pt>
                  <c:pt idx="5">
                    <c:v>0.36871715394739718</c:v>
                  </c:pt>
                  <c:pt idx="6">
                    <c:v>0.32301835625655367</c:v>
                  </c:pt>
                  <c:pt idx="7">
                    <c:v>0.69628459494744144</c:v>
                  </c:pt>
                </c:numCache>
              </c:numRef>
            </c:minus>
          </c:errBars>
          <c:xVal>
            <c:numRef>
              <c:f>'Plate Plating graphs'!$B$34:$B$41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graphs'!$G$34:$G$41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6.0768092768544681</c:v>
                </c:pt>
                <c:pt idx="4">
                  <c:v>4.6594588934795329</c:v>
                </c:pt>
                <c:pt idx="5">
                  <c:v>4.4617782508499166</c:v>
                </c:pt>
                <c:pt idx="6">
                  <c:v>4.913922137348929</c:v>
                </c:pt>
                <c:pt idx="7">
                  <c:v>4.0348501213435446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22-45B3-9175-3C23FA77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8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Bacteria abundance      (Log</a:t>
                </a:r>
                <a:r>
                  <a:rPr lang="en-GB" sz="1200" b="1" i="0" baseline="-25000">
                    <a:effectLst/>
                  </a:rPr>
                  <a:t>10</a:t>
                </a:r>
                <a:r>
                  <a:rPr lang="en-GB" sz="1200" b="1" i="0" baseline="0">
                    <a:effectLst/>
                  </a:rPr>
                  <a:t> CFU/cm</a:t>
                </a:r>
                <a:r>
                  <a:rPr lang="en-GB" sz="1200" b="1" i="0" baseline="30000">
                    <a:effectLst/>
                  </a:rPr>
                  <a:t>2</a:t>
                </a:r>
                <a:r>
                  <a:rPr lang="en-GB" sz="1200" b="1" i="0" baseline="0">
                    <a:effectLst/>
                  </a:rPr>
                  <a:t>) 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txPr>
          <a:bodyPr/>
          <a:lstStyle/>
          <a:p>
            <a:pPr>
              <a:defRPr sz="1100" i="1"/>
            </a:pPr>
            <a:endParaRPr lang="pt-PT"/>
          </a:p>
        </c:txPr>
      </c:legendEntry>
      <c:layout>
        <c:manualLayout>
          <c:xMode val="edge"/>
          <c:yMode val="edge"/>
          <c:x val="5.0000120628384263E-2"/>
          <c:y val="0.90781422120895017"/>
          <c:w val="0.89999975874323146"/>
          <c:h val="8.990473770819507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72974586722834067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7DE9-40A4-97AA-90A0788B4AAD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9-40A4-97AA-90A0788B4AAD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E9-40A4-97AA-90A0788B4AAD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9-40A4-97AA-90A0788B4AAD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E9-40A4-97AA-90A0788B4AAD}"/>
            </c:ext>
          </c:extLst>
        </c:ser>
        <c:ser>
          <c:idx val="6"/>
          <c:order val="4"/>
          <c:tx>
            <c:strRef>
              <c:f>'Plate Plating graphs'!$I$20:$J$20</c:f>
              <c:strCache>
                <c:ptCount val="1"/>
                <c:pt idx="0">
                  <c:v>Total Bacteria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graphs'!$J$46:$J$53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0.43970295913111124</c:v>
                  </c:pt>
                  <c:pt idx="3">
                    <c:v>0.26916265983276033</c:v>
                  </c:pt>
                  <c:pt idx="4">
                    <c:v>0.50567696658364958</c:v>
                  </c:pt>
                  <c:pt idx="5">
                    <c:v>0.23217565394386599</c:v>
                  </c:pt>
                  <c:pt idx="6">
                    <c:v>0.29525390587711886</c:v>
                  </c:pt>
                  <c:pt idx="7">
                    <c:v>0.35067238756855373</c:v>
                  </c:pt>
                </c:numCache>
              </c:numRef>
            </c:plus>
            <c:minus>
              <c:numRef>
                <c:f>'Plate Plating graphs'!$J$46:$J$53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0.43970295913111124</c:v>
                  </c:pt>
                  <c:pt idx="3">
                    <c:v>0.26916265983276033</c:v>
                  </c:pt>
                  <c:pt idx="4">
                    <c:v>0.50567696658364958</c:v>
                  </c:pt>
                  <c:pt idx="5">
                    <c:v>0.23217565394386599</c:v>
                  </c:pt>
                  <c:pt idx="6">
                    <c:v>0.29525390587711886</c:v>
                  </c:pt>
                  <c:pt idx="7">
                    <c:v>0.35067238756855373</c:v>
                  </c:pt>
                </c:numCache>
              </c:numRef>
            </c:minus>
          </c:errBars>
          <c:xVal>
            <c:numRef>
              <c:f>'Plate Plating graphs'!$B$46:$B$53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graphs'!$I$46:$I$53</c:f>
              <c:numCache>
                <c:formatCode>General</c:formatCode>
                <c:ptCount val="8"/>
                <c:pt idx="0">
                  <c:v>2.2933362617677648</c:v>
                </c:pt>
                <c:pt idx="1">
                  <c:v>5.2778764935032267</c:v>
                </c:pt>
                <c:pt idx="2">
                  <c:v>4.5735920288538621</c:v>
                </c:pt>
                <c:pt idx="3">
                  <c:v>6.2427793441483477</c:v>
                </c:pt>
                <c:pt idx="4">
                  <c:v>5.2648348671715475</c:v>
                </c:pt>
                <c:pt idx="5">
                  <c:v>5.0816563738615397</c:v>
                </c:pt>
                <c:pt idx="6">
                  <c:v>5.7479812638829868</c:v>
                </c:pt>
                <c:pt idx="7">
                  <c:v>5.4178878899701637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E9-40A4-97AA-90A0788B4AAD}"/>
            </c:ext>
          </c:extLst>
        </c:ser>
        <c:ser>
          <c:idx val="5"/>
          <c:order val="5"/>
          <c:tx>
            <c:strRef>
              <c:f>'Plate Plating graphs'!$G$20:$H$20</c:f>
              <c:strCache>
                <c:ptCount val="1"/>
                <c:pt idx="0">
                  <c:v>Phaeobacter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10"/>
            <c:spPr>
              <a:solidFill>
                <a:srgbClr val="80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graphs'!$H$46:$H$53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0.29766817260400563</c:v>
                  </c:pt>
                  <c:pt idx="4">
                    <c:v>0.46898467047623532</c:v>
                  </c:pt>
                  <c:pt idx="5">
                    <c:v>0.2203420399898339</c:v>
                  </c:pt>
                  <c:pt idx="6">
                    <c:v>0.47284552426400694</c:v>
                  </c:pt>
                  <c:pt idx="7">
                    <c:v>0.78043308833110714</c:v>
                  </c:pt>
                </c:numCache>
              </c:numRef>
            </c:plus>
            <c:minus>
              <c:numRef>
                <c:f>'Plate Plating graphs'!$H$46:$H$53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0.29766817260400563</c:v>
                  </c:pt>
                  <c:pt idx="4">
                    <c:v>0.46898467047623532</c:v>
                  </c:pt>
                  <c:pt idx="5">
                    <c:v>0.2203420399898339</c:v>
                  </c:pt>
                  <c:pt idx="6">
                    <c:v>0.47284552426400694</c:v>
                  </c:pt>
                  <c:pt idx="7">
                    <c:v>0.78043308833110714</c:v>
                  </c:pt>
                </c:numCache>
              </c:numRef>
            </c:minus>
          </c:errBars>
          <c:xVal>
            <c:numRef>
              <c:f>'Plate Plating graphs'!$B$46:$B$53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graphs'!$G$46:$G$53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6.1426318960971518</c:v>
                </c:pt>
                <c:pt idx="4">
                  <c:v>4.7746786235796943</c:v>
                </c:pt>
                <c:pt idx="5">
                  <c:v>4.3298381466514391</c:v>
                </c:pt>
                <c:pt idx="6">
                  <c:v>5.2682456887302624</c:v>
                </c:pt>
                <c:pt idx="7">
                  <c:v>4.2795161562250303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E9-40A4-97AA-90A0788B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8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Bacteria abundance      (Log</a:t>
                </a:r>
                <a:r>
                  <a:rPr lang="en-GB" sz="1200" b="1" i="0" baseline="-25000">
                    <a:effectLst/>
                  </a:rPr>
                  <a:t>10</a:t>
                </a:r>
                <a:r>
                  <a:rPr lang="en-GB" sz="1200" b="1" i="0" baseline="0">
                    <a:effectLst/>
                  </a:rPr>
                  <a:t> CFU/cm</a:t>
                </a:r>
                <a:r>
                  <a:rPr lang="en-GB" sz="1200" b="1" i="0" baseline="30000">
                    <a:effectLst/>
                  </a:rPr>
                  <a:t>2</a:t>
                </a:r>
                <a:r>
                  <a:rPr lang="en-GB" sz="1200" b="1" i="0" baseline="0">
                    <a:effectLst/>
                  </a:rPr>
                  <a:t>) 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txPr>
          <a:bodyPr/>
          <a:lstStyle/>
          <a:p>
            <a:pPr>
              <a:defRPr sz="1100" i="1"/>
            </a:pPr>
            <a:endParaRPr lang="pt-PT"/>
          </a:p>
        </c:txPr>
      </c:legendEntry>
      <c:layout>
        <c:manualLayout>
          <c:xMode val="edge"/>
          <c:yMode val="edge"/>
          <c:x val="5.0000120628384263E-2"/>
          <c:y val="0.90781422120895017"/>
          <c:w val="0.89999975874323146"/>
          <c:h val="8.990473770819507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72974586722834067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8725-44B5-BD6A-3DA44B2091FB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5-44B5-BD6A-3DA44B2091FB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25-44B5-BD6A-3DA44B2091FB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25-44B5-BD6A-3DA44B2091FB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25-44B5-BD6A-3DA44B2091FB}"/>
            </c:ext>
          </c:extLst>
        </c:ser>
        <c:ser>
          <c:idx val="6"/>
          <c:order val="4"/>
          <c:tx>
            <c:strRef>
              <c:f>'Plate Plating graphs'!$I$20:$J$20</c:f>
              <c:strCache>
                <c:ptCount val="1"/>
                <c:pt idx="0">
                  <c:v>Total Bacteria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graphs'!$J$58:$J$65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0.79576797920634068</c:v>
                  </c:pt>
                  <c:pt idx="3">
                    <c:v>0.3938162247445649</c:v>
                  </c:pt>
                  <c:pt idx="4">
                    <c:v>7.3987461020953299E-2</c:v>
                  </c:pt>
                  <c:pt idx="5">
                    <c:v>0.23050234969630862</c:v>
                  </c:pt>
                  <c:pt idx="6">
                    <c:v>0.24227176108967624</c:v>
                  </c:pt>
                  <c:pt idx="7">
                    <c:v>0.32397441779789871</c:v>
                  </c:pt>
                </c:numCache>
              </c:numRef>
            </c:plus>
            <c:minus>
              <c:numRef>
                <c:f>'Plate Plating graphs'!$J$58:$J$65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0.79576797920634068</c:v>
                  </c:pt>
                  <c:pt idx="3">
                    <c:v>0.3938162247445649</c:v>
                  </c:pt>
                  <c:pt idx="4">
                    <c:v>7.3987461020953299E-2</c:v>
                  </c:pt>
                  <c:pt idx="5">
                    <c:v>0.23050234969630862</c:v>
                  </c:pt>
                  <c:pt idx="6">
                    <c:v>0.24227176108967624</c:v>
                  </c:pt>
                  <c:pt idx="7">
                    <c:v>0.32397441779789871</c:v>
                  </c:pt>
                </c:numCache>
              </c:numRef>
            </c:minus>
          </c:errBars>
          <c:xVal>
            <c:numRef>
              <c:f>'Plate Plating graphs'!$B$58:$B$65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graphs'!$I$58:$I$65</c:f>
              <c:numCache>
                <c:formatCode>General</c:formatCode>
                <c:ptCount val="8"/>
                <c:pt idx="0">
                  <c:v>2.2933362617677648</c:v>
                </c:pt>
                <c:pt idx="1">
                  <c:v>5.2778764935032267</c:v>
                </c:pt>
                <c:pt idx="2">
                  <c:v>4.6597923978330424</c:v>
                </c:pt>
                <c:pt idx="3">
                  <c:v>6.0008669875629419</c:v>
                </c:pt>
                <c:pt idx="4">
                  <c:v>5.5458623921229844</c:v>
                </c:pt>
                <c:pt idx="5">
                  <c:v>5.4433563620074725</c:v>
                </c:pt>
                <c:pt idx="6">
                  <c:v>5.8092184778399316</c:v>
                </c:pt>
                <c:pt idx="7">
                  <c:v>5.5855558717117164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25-44B5-BD6A-3DA44B2091FB}"/>
            </c:ext>
          </c:extLst>
        </c:ser>
        <c:ser>
          <c:idx val="5"/>
          <c:order val="5"/>
          <c:tx>
            <c:strRef>
              <c:f>'Plate Plating graphs'!$G$20:$H$20</c:f>
              <c:strCache>
                <c:ptCount val="1"/>
                <c:pt idx="0">
                  <c:v>Phaeobacter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10"/>
            <c:spPr>
              <a:solidFill>
                <a:srgbClr val="80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graphs'!$H$58:$H$65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0.49397799783899055</c:v>
                  </c:pt>
                  <c:pt idx="4">
                    <c:v>0.21162822488069899</c:v>
                  </c:pt>
                  <c:pt idx="5">
                    <c:v>0.483369216251958</c:v>
                  </c:pt>
                  <c:pt idx="6">
                    <c:v>0.55357781724604982</c:v>
                  </c:pt>
                  <c:pt idx="7">
                    <c:v>0.38095769359086856</c:v>
                  </c:pt>
                </c:numCache>
              </c:numRef>
            </c:plus>
            <c:minus>
              <c:numRef>
                <c:f>'Plate Plating graphs'!$H$58:$H$65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0.49397799783899055</c:v>
                  </c:pt>
                  <c:pt idx="4">
                    <c:v>0.21162822488069899</c:v>
                  </c:pt>
                  <c:pt idx="5">
                    <c:v>0.483369216251958</c:v>
                  </c:pt>
                  <c:pt idx="6">
                    <c:v>0.55357781724604982</c:v>
                  </c:pt>
                  <c:pt idx="7">
                    <c:v>0.38095769359086856</c:v>
                  </c:pt>
                </c:numCache>
              </c:numRef>
            </c:minus>
          </c:errBars>
          <c:xVal>
            <c:numRef>
              <c:f>'Plate Plating graphs'!$B$58:$B$65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graphs'!$G$58:$G$65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5.5535332082966207</c:v>
                </c:pt>
                <c:pt idx="4">
                  <c:v>4.7891780717356287</c:v>
                </c:pt>
                <c:pt idx="5">
                  <c:v>4.2550108493565659</c:v>
                </c:pt>
                <c:pt idx="6">
                  <c:v>4.9387739433955709</c:v>
                </c:pt>
                <c:pt idx="7">
                  <c:v>5.0121476506263267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25-44B5-BD6A-3DA44B20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8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Bacteria abundance      (Log</a:t>
                </a:r>
                <a:r>
                  <a:rPr lang="en-GB" sz="1200" b="1" i="0" baseline="-25000">
                    <a:effectLst/>
                  </a:rPr>
                  <a:t>10</a:t>
                </a:r>
                <a:r>
                  <a:rPr lang="en-GB" sz="1200" b="1" i="0" baseline="0">
                    <a:effectLst/>
                  </a:rPr>
                  <a:t> CFU/cm</a:t>
                </a:r>
                <a:r>
                  <a:rPr lang="en-GB" sz="1200" b="1" i="0" baseline="30000">
                    <a:effectLst/>
                  </a:rPr>
                  <a:t>2</a:t>
                </a:r>
                <a:r>
                  <a:rPr lang="en-GB" sz="1200" b="1" i="0" baseline="0">
                    <a:effectLst/>
                  </a:rPr>
                  <a:t>) 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txPr>
          <a:bodyPr/>
          <a:lstStyle/>
          <a:p>
            <a:pPr>
              <a:defRPr sz="1100" i="1"/>
            </a:pPr>
            <a:endParaRPr lang="pt-PT"/>
          </a:p>
        </c:txPr>
      </c:legendEntry>
      <c:layout>
        <c:manualLayout>
          <c:xMode val="edge"/>
          <c:yMode val="edge"/>
          <c:x val="5.0000120628384263E-2"/>
          <c:y val="0.90781422120895017"/>
          <c:w val="0.89999975874323146"/>
          <c:h val="8.990473770819507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C386-434C-BF9C-1D25A66C6C53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6-434C-BF9C-1D25A66C6C53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6-434C-BF9C-1D25A66C6C53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6-434C-BF9C-1D25A66C6C53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86-434C-BF9C-1D25A66C6C53}"/>
            </c:ext>
          </c:extLst>
        </c:ser>
        <c:ser>
          <c:idx val="4"/>
          <c:order val="4"/>
          <c:tx>
            <c:strRef>
              <c:f>'Nutrients graphs'!$C$13:$D$13</c:f>
              <c:strCache>
                <c:ptCount val="1"/>
                <c:pt idx="0">
                  <c:v>Nitrates</c:v>
                </c:pt>
              </c:strCache>
            </c:strRef>
          </c:tx>
          <c:spPr>
            <a:ln>
              <a:solidFill>
                <a:srgbClr val="FF99FF"/>
              </a:solidFill>
            </a:ln>
          </c:spPr>
          <c:marker>
            <c:symbol val="square"/>
            <c:size val="5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graphs'!$D$15:$D$23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0.52595414774788851</c:v>
                  </c:pt>
                  <c:pt idx="3">
                    <c:v>0</c:v>
                  </c:pt>
                  <c:pt idx="4">
                    <c:v>1.0533342444728322</c:v>
                  </c:pt>
                  <c:pt idx="5">
                    <c:v>7.6376788924158112E-2</c:v>
                  </c:pt>
                  <c:pt idx="6">
                    <c:v>0.43171056334317209</c:v>
                  </c:pt>
                  <c:pt idx="7">
                    <c:v>8.8559503888547123E-2</c:v>
                  </c:pt>
                  <c:pt idx="8">
                    <c:v>0.15501941261515886</c:v>
                  </c:pt>
                </c:numCache>
              </c:numRef>
            </c:plus>
            <c:minus>
              <c:numRef>
                <c:f>'Nutrients graphs'!$D$15:$D$23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0.52595414774788851</c:v>
                  </c:pt>
                  <c:pt idx="3">
                    <c:v>0</c:v>
                  </c:pt>
                  <c:pt idx="4">
                    <c:v>1.0533342444728322</c:v>
                  </c:pt>
                  <c:pt idx="5">
                    <c:v>7.6376788924158112E-2</c:v>
                  </c:pt>
                  <c:pt idx="6">
                    <c:v>0.43171056334317209</c:v>
                  </c:pt>
                  <c:pt idx="7">
                    <c:v>8.8559503888547123E-2</c:v>
                  </c:pt>
                  <c:pt idx="8">
                    <c:v>0.15501941261515886</c:v>
                  </c:pt>
                </c:numCache>
              </c:numRef>
            </c:minus>
          </c:errBars>
          <c:xVal>
            <c:numRef>
              <c:f>'Nutrients graphs'!$B$15:$B$23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graphs'!$C$15:$C$23</c:f>
              <c:numCache>
                <c:formatCode>General</c:formatCode>
                <c:ptCount val="9"/>
                <c:pt idx="0">
                  <c:v>20</c:v>
                </c:pt>
                <c:pt idx="1">
                  <c:v>1.602188354826104</c:v>
                </c:pt>
                <c:pt idx="2">
                  <c:v>0.83528722157092616</c:v>
                </c:pt>
                <c:pt idx="3">
                  <c:v>22</c:v>
                </c:pt>
                <c:pt idx="4">
                  <c:v>0.92321219226260265</c:v>
                </c:pt>
                <c:pt idx="5">
                  <c:v>0.91051191871824932</c:v>
                </c:pt>
                <c:pt idx="6">
                  <c:v>1.3755373192653377</c:v>
                </c:pt>
                <c:pt idx="7">
                  <c:v>0.85482610394685432</c:v>
                </c:pt>
                <c:pt idx="8">
                  <c:v>0.7248925361469325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86-434C-BF9C-1D25A66C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5"/>
          <c:order val="5"/>
          <c:tx>
            <c:strRef>
              <c:f>'Nutrients graphs'!$E$13:$F$13</c:f>
              <c:strCache>
                <c:ptCount val="1"/>
                <c:pt idx="0">
                  <c:v>Phosphates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graphs'!$F$15:$F$23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2.3593808984522465E-3</c:v>
                  </c:pt>
                  <c:pt idx="3">
                    <c:v>0</c:v>
                  </c:pt>
                  <c:pt idx="4">
                    <c:v>1.0585692940040893E-2</c:v>
                  </c:pt>
                  <c:pt idx="5">
                    <c:v>2.3086620830124987E-3</c:v>
                  </c:pt>
                  <c:pt idx="6">
                    <c:v>3.3561979601296052E-3</c:v>
                  </c:pt>
                  <c:pt idx="7">
                    <c:v>3.0112821066012496E-3</c:v>
                  </c:pt>
                  <c:pt idx="8">
                    <c:v>1.3103592748423866E-3</c:v>
                  </c:pt>
                </c:numCache>
              </c:numRef>
            </c:plus>
            <c:minus>
              <c:numRef>
                <c:f>'Nutrients graphs'!$F$15:$F$23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2.3593808984522465E-3</c:v>
                  </c:pt>
                  <c:pt idx="3">
                    <c:v>0</c:v>
                  </c:pt>
                  <c:pt idx="4">
                    <c:v>1.0585692940040893E-2</c:v>
                  </c:pt>
                  <c:pt idx="5">
                    <c:v>2.3086620830124987E-3</c:v>
                  </c:pt>
                  <c:pt idx="6">
                    <c:v>3.3561979601296052E-3</c:v>
                  </c:pt>
                  <c:pt idx="7">
                    <c:v>3.0112821066012496E-3</c:v>
                  </c:pt>
                  <c:pt idx="8">
                    <c:v>1.3103592748423866E-3</c:v>
                  </c:pt>
                </c:numCache>
              </c:numRef>
            </c:minus>
          </c:errBars>
          <c:xVal>
            <c:numRef>
              <c:f>'Nutrients graphs'!$B$15:$B$23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graphs'!$E$15:$E$23</c:f>
              <c:numCache>
                <c:formatCode>General</c:formatCode>
                <c:ptCount val="9"/>
                <c:pt idx="0">
                  <c:v>1</c:v>
                </c:pt>
                <c:pt idx="1">
                  <c:v>0.18565949022519179</c:v>
                </c:pt>
                <c:pt idx="2">
                  <c:v>3.2575185604630678E-2</c:v>
                </c:pt>
                <c:pt idx="3">
                  <c:v>1.4</c:v>
                </c:pt>
                <c:pt idx="4">
                  <c:v>4.3904958677685957E-2</c:v>
                </c:pt>
                <c:pt idx="5">
                  <c:v>3.6881020214353549E-2</c:v>
                </c:pt>
                <c:pt idx="6">
                  <c:v>3.2771435684057049E-2</c:v>
                </c:pt>
                <c:pt idx="7">
                  <c:v>2.215009827247336E-2</c:v>
                </c:pt>
                <c:pt idx="8">
                  <c:v>1.5853246836193761E-2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86-434C-BF9C-1D25A66C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65055"/>
        <c:axId val="1349255903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Nitrates</a:t>
                </a:r>
                <a:r>
                  <a:rPr lang="en-GB" sz="1200" baseline="0">
                    <a:effectLst/>
                  </a:rPr>
                  <a:t> (mgN/L)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1349255903"/>
        <c:scaling>
          <c:orientation val="minMax"/>
          <c:max val="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Phosphates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1349265055"/>
        <c:crosses val="max"/>
        <c:crossBetween val="midCat"/>
        <c:majorUnit val="0.5"/>
      </c:valAx>
      <c:valAx>
        <c:axId val="13492650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925590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38E-42FB-9921-5F994DB3C1FC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E-42FB-9921-5F994DB3C1FC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8E-42FB-9921-5F994DB3C1FC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8E-42FB-9921-5F994DB3C1FC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8E-42FB-9921-5F994DB3C1FC}"/>
            </c:ext>
          </c:extLst>
        </c:ser>
        <c:ser>
          <c:idx val="4"/>
          <c:order val="4"/>
          <c:tx>
            <c:strRef>
              <c:f>'Nutrients graphs'!$C$13:$D$13</c:f>
              <c:strCache>
                <c:ptCount val="1"/>
                <c:pt idx="0">
                  <c:v>Nitrates</c:v>
                </c:pt>
              </c:strCache>
            </c:strRef>
          </c:tx>
          <c:spPr>
            <a:ln>
              <a:solidFill>
                <a:srgbClr val="FF99FF"/>
              </a:solidFill>
            </a:ln>
          </c:spPr>
          <c:marker>
            <c:symbol val="square"/>
            <c:size val="5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graphs'!$D$28:$D$36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0.14188242547582727</c:v>
                  </c:pt>
                  <c:pt idx="3">
                    <c:v>0</c:v>
                  </c:pt>
                  <c:pt idx="4">
                    <c:v>2.7660920965978786</c:v>
                  </c:pt>
                  <c:pt idx="5">
                    <c:v>0.228493564012031</c:v>
                  </c:pt>
                  <c:pt idx="6">
                    <c:v>0.13985891423734775</c:v>
                  </c:pt>
                  <c:pt idx="7">
                    <c:v>0.37540934251667502</c:v>
                  </c:pt>
                  <c:pt idx="8">
                    <c:v>0.22005038283056111</c:v>
                  </c:pt>
                </c:numCache>
              </c:numRef>
            </c:plus>
            <c:minus>
              <c:numRef>
                <c:f>'Nutrients graphs'!$D$28:$D$36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0.14188242547582727</c:v>
                  </c:pt>
                  <c:pt idx="3">
                    <c:v>0</c:v>
                  </c:pt>
                  <c:pt idx="4">
                    <c:v>2.7660920965978786</c:v>
                  </c:pt>
                  <c:pt idx="5">
                    <c:v>0.228493564012031</c:v>
                  </c:pt>
                  <c:pt idx="6">
                    <c:v>0.13985891423734775</c:v>
                  </c:pt>
                  <c:pt idx="7">
                    <c:v>0.37540934251667502</c:v>
                  </c:pt>
                  <c:pt idx="8">
                    <c:v>0.22005038283056111</c:v>
                  </c:pt>
                </c:numCache>
              </c:numRef>
            </c:minus>
          </c:errBars>
          <c:xVal>
            <c:numRef>
              <c:f>'Nutrients graphs'!$B$28:$B$36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graphs'!$C$28:$C$36</c:f>
              <c:numCache>
                <c:formatCode>General</c:formatCode>
                <c:ptCount val="9"/>
                <c:pt idx="0">
                  <c:v>20</c:v>
                </c:pt>
                <c:pt idx="1">
                  <c:v>1.602188354826104</c:v>
                </c:pt>
                <c:pt idx="2">
                  <c:v>0.63794450957405235</c:v>
                </c:pt>
                <c:pt idx="3">
                  <c:v>22</c:v>
                </c:pt>
                <c:pt idx="4">
                  <c:v>3.1946072684642433</c:v>
                </c:pt>
                <c:pt idx="5">
                  <c:v>0.88608831574833924</c:v>
                </c:pt>
                <c:pt idx="6">
                  <c:v>0.83528722157092616</c:v>
                </c:pt>
                <c:pt idx="7">
                  <c:v>0.79230168034388426</c:v>
                </c:pt>
                <c:pt idx="8">
                  <c:v>0.74150058616647119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8E-42FB-9921-5F994DB3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5"/>
          <c:order val="5"/>
          <c:tx>
            <c:strRef>
              <c:f>'Nutrients graphs'!$E$13:$F$13</c:f>
              <c:strCache>
                <c:ptCount val="1"/>
                <c:pt idx="0">
                  <c:v>Phosphates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graphs'!$F$28:$F$36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1.5729205989681652E-3</c:v>
                  </c:pt>
                  <c:pt idx="3">
                    <c:v>0</c:v>
                  </c:pt>
                  <c:pt idx="4">
                    <c:v>4.6720414892965939E-2</c:v>
                  </c:pt>
                  <c:pt idx="5">
                    <c:v>3.6073637045418746E-3</c:v>
                  </c:pt>
                  <c:pt idx="6">
                    <c:v>1.4418605749879222E-3</c:v>
                  </c:pt>
                  <c:pt idx="7">
                    <c:v>0</c:v>
                  </c:pt>
                  <c:pt idx="8">
                    <c:v>2.3705291210260287E-3</c:v>
                  </c:pt>
                </c:numCache>
              </c:numRef>
            </c:plus>
            <c:minus>
              <c:numRef>
                <c:f>'Nutrients graphs'!$F$28:$F$36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1.5729205989681652E-3</c:v>
                  </c:pt>
                  <c:pt idx="3">
                    <c:v>0</c:v>
                  </c:pt>
                  <c:pt idx="4">
                    <c:v>4.6720414892965939E-2</c:v>
                  </c:pt>
                  <c:pt idx="5">
                    <c:v>3.6073637045418746E-3</c:v>
                  </c:pt>
                  <c:pt idx="6">
                    <c:v>1.4418605749879222E-3</c:v>
                  </c:pt>
                  <c:pt idx="7">
                    <c:v>0</c:v>
                  </c:pt>
                  <c:pt idx="8">
                    <c:v>2.3705291210260287E-3</c:v>
                  </c:pt>
                </c:numCache>
              </c:numRef>
            </c:minus>
          </c:errBars>
          <c:xVal>
            <c:numRef>
              <c:f>'Nutrients graphs'!$B$28:$B$36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graphs'!$E$28:$E$36</c:f>
              <c:numCache>
                <c:formatCode>General</c:formatCode>
                <c:ptCount val="9"/>
                <c:pt idx="0">
                  <c:v>1</c:v>
                </c:pt>
                <c:pt idx="1">
                  <c:v>0.18565949022519179</c:v>
                </c:pt>
                <c:pt idx="2">
                  <c:v>3.2181955454888639E-2</c:v>
                </c:pt>
                <c:pt idx="3">
                  <c:v>1.4</c:v>
                </c:pt>
                <c:pt idx="4">
                  <c:v>8.9876033057851246E-2</c:v>
                </c:pt>
                <c:pt idx="5">
                  <c:v>3.4657592064999472E-2</c:v>
                </c:pt>
                <c:pt idx="6">
                  <c:v>2.5742158327109788E-2</c:v>
                </c:pt>
                <c:pt idx="7">
                  <c:v>1.6202027516292541E-2</c:v>
                </c:pt>
                <c:pt idx="8">
                  <c:v>1.5054881887608463E-2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8E-42FB-9921-5F994DB3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65055"/>
        <c:axId val="1349255903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Nitrates</a:t>
                </a:r>
                <a:r>
                  <a:rPr lang="en-GB" sz="1200" baseline="0">
                    <a:effectLst/>
                  </a:rPr>
                  <a:t> (mgN/L)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1349255903"/>
        <c:scaling>
          <c:orientation val="minMax"/>
          <c:max val="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Phosphates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1349265055"/>
        <c:crosses val="max"/>
        <c:crossBetween val="midCat"/>
        <c:majorUnit val="0.5"/>
      </c:valAx>
      <c:valAx>
        <c:axId val="13492650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925590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E25C-4B84-B815-ADE980096788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C-4B84-B815-ADE980096788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C-4B84-B815-ADE980096788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C-4B84-B815-ADE980096788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C-4B84-B815-ADE980096788}"/>
            </c:ext>
          </c:extLst>
        </c:ser>
        <c:ser>
          <c:idx val="4"/>
          <c:order val="4"/>
          <c:tx>
            <c:strRef>
              <c:f>'Nutrients graphs'!$C$13:$D$13</c:f>
              <c:strCache>
                <c:ptCount val="1"/>
                <c:pt idx="0">
                  <c:v>Nitrates</c:v>
                </c:pt>
              </c:strCache>
            </c:strRef>
          </c:tx>
          <c:spPr>
            <a:ln>
              <a:solidFill>
                <a:srgbClr val="FF99FF"/>
              </a:solidFill>
            </a:ln>
          </c:spPr>
          <c:marker>
            <c:symbol val="square"/>
            <c:size val="5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graphs'!$D$41:$D$49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0.32471404421121702</c:v>
                  </c:pt>
                  <c:pt idx="3">
                    <c:v>0</c:v>
                  </c:pt>
                  <c:pt idx="4">
                    <c:v>2.7545666627338177</c:v>
                  </c:pt>
                  <c:pt idx="5">
                    <c:v>0.2597103855085009</c:v>
                  </c:pt>
                  <c:pt idx="6">
                    <c:v>0.14058494034349214</c:v>
                  </c:pt>
                  <c:pt idx="7">
                    <c:v>0.11677104822431106</c:v>
                  </c:pt>
                  <c:pt idx="8">
                    <c:v>0.11049982255763914</c:v>
                  </c:pt>
                </c:numCache>
              </c:numRef>
            </c:plus>
            <c:minus>
              <c:numRef>
                <c:f>'Nutrients graphs'!$D$41:$D$49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0.32471404421121702</c:v>
                  </c:pt>
                  <c:pt idx="3">
                    <c:v>0</c:v>
                  </c:pt>
                  <c:pt idx="4">
                    <c:v>2.7545666627338177</c:v>
                  </c:pt>
                  <c:pt idx="5">
                    <c:v>0.2597103855085009</c:v>
                  </c:pt>
                  <c:pt idx="6">
                    <c:v>0.14058494034349214</c:v>
                  </c:pt>
                  <c:pt idx="7">
                    <c:v>0.11677104822431106</c:v>
                  </c:pt>
                  <c:pt idx="8">
                    <c:v>0.11049982255763914</c:v>
                  </c:pt>
                </c:numCache>
              </c:numRef>
            </c:minus>
          </c:errBars>
          <c:xVal>
            <c:numRef>
              <c:f>'Nutrients graphs'!$B$41:$B$49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graphs'!$C$41:$C$49</c:f>
              <c:numCache>
                <c:formatCode>General</c:formatCode>
                <c:ptCount val="9"/>
                <c:pt idx="0">
                  <c:v>20</c:v>
                </c:pt>
                <c:pt idx="1">
                  <c:v>1.602188354826104</c:v>
                </c:pt>
                <c:pt idx="2">
                  <c:v>0.70339976553341155</c:v>
                </c:pt>
                <c:pt idx="3">
                  <c:v>22</c:v>
                </c:pt>
                <c:pt idx="4">
                  <c:v>4.660023446658851</c:v>
                </c:pt>
                <c:pt idx="5">
                  <c:v>0.87241109808518946</c:v>
                </c:pt>
                <c:pt idx="6">
                  <c:v>0.89390386869871041</c:v>
                </c:pt>
                <c:pt idx="7">
                  <c:v>0.75127002735443527</c:v>
                </c:pt>
                <c:pt idx="8">
                  <c:v>0.78839390386869868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5C-4B84-B815-ADE98009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5"/>
          <c:order val="5"/>
          <c:tx>
            <c:strRef>
              <c:f>'Nutrients graphs'!$E$13:$F$13</c:f>
              <c:strCache>
                <c:ptCount val="1"/>
                <c:pt idx="0">
                  <c:v>Phosphates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graphs'!$F$41:$F$49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3.4877245857058412E-3</c:v>
                  </c:pt>
                  <c:pt idx="3">
                    <c:v>0</c:v>
                  </c:pt>
                  <c:pt idx="4">
                    <c:v>2.643228796473205E-2</c:v>
                  </c:pt>
                  <c:pt idx="5">
                    <c:v>5.055289228337586E-3</c:v>
                  </c:pt>
                  <c:pt idx="6">
                    <c:v>1.3474380815665277E-3</c:v>
                  </c:pt>
                  <c:pt idx="7">
                    <c:v>1.5430941614639456E-3</c:v>
                  </c:pt>
                  <c:pt idx="8">
                    <c:v>1.6379490935529819E-3</c:v>
                  </c:pt>
                </c:numCache>
              </c:numRef>
            </c:plus>
            <c:minus>
              <c:numRef>
                <c:f>'Nutrients graphs'!$F$41:$F$49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3.4877245857058412E-3</c:v>
                  </c:pt>
                  <c:pt idx="3">
                    <c:v>0</c:v>
                  </c:pt>
                  <c:pt idx="4">
                    <c:v>2.643228796473205E-2</c:v>
                  </c:pt>
                  <c:pt idx="5">
                    <c:v>5.055289228337586E-3</c:v>
                  </c:pt>
                  <c:pt idx="6">
                    <c:v>1.3474380815665277E-3</c:v>
                  </c:pt>
                  <c:pt idx="7">
                    <c:v>1.5430941614639456E-3</c:v>
                  </c:pt>
                  <c:pt idx="8">
                    <c:v>1.6379490935529819E-3</c:v>
                  </c:pt>
                </c:numCache>
              </c:numRef>
            </c:minus>
          </c:errBars>
          <c:xVal>
            <c:numRef>
              <c:f>'Nutrients graphs'!$B$41:$B$49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graphs'!$E$41:$E$49</c:f>
              <c:numCache>
                <c:formatCode>General</c:formatCode>
                <c:ptCount val="9"/>
                <c:pt idx="0">
                  <c:v>1</c:v>
                </c:pt>
                <c:pt idx="1">
                  <c:v>0.18565949022519179</c:v>
                </c:pt>
                <c:pt idx="2">
                  <c:v>3.4934566503082923E-2</c:v>
                </c:pt>
                <c:pt idx="3">
                  <c:v>1.4</c:v>
                </c:pt>
                <c:pt idx="4">
                  <c:v>0.121900826446281</c:v>
                </c:pt>
                <c:pt idx="5">
                  <c:v>3.453511509067065E-2</c:v>
                </c:pt>
                <c:pt idx="6">
                  <c:v>2.5158700522778195E-2</c:v>
                </c:pt>
                <c:pt idx="7">
                  <c:v>1.5070601013758145E-2</c:v>
                </c:pt>
                <c:pt idx="8">
                  <c:v>1.3771795363096377E-2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5C-4B84-B815-ADE98009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65055"/>
        <c:axId val="1349255903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Nitrates</a:t>
                </a:r>
                <a:r>
                  <a:rPr lang="en-GB" sz="1200" baseline="0">
                    <a:effectLst/>
                  </a:rPr>
                  <a:t> (mgN/L)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1349255903"/>
        <c:scaling>
          <c:orientation val="minMax"/>
          <c:max val="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Phosphates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1349265055"/>
        <c:crosses val="max"/>
        <c:crossBetween val="midCat"/>
      </c:valAx>
      <c:valAx>
        <c:axId val="13492650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925590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5245-4408-AFDB-055EDF75A399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5-4408-AFDB-055EDF75A399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5-4408-AFDB-055EDF75A399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45-4408-AFDB-055EDF75A399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45-4408-AFDB-055EDF75A399}"/>
            </c:ext>
          </c:extLst>
        </c:ser>
        <c:ser>
          <c:idx val="4"/>
          <c:order val="4"/>
          <c:tx>
            <c:strRef>
              <c:f>'Nutrients graphs'!$C$13:$D$13</c:f>
              <c:strCache>
                <c:ptCount val="1"/>
                <c:pt idx="0">
                  <c:v>Nitrates</c:v>
                </c:pt>
              </c:strCache>
            </c:strRef>
          </c:tx>
          <c:spPr>
            <a:ln>
              <a:solidFill>
                <a:srgbClr val="FF99FF"/>
              </a:solidFill>
            </a:ln>
          </c:spPr>
          <c:marker>
            <c:symbol val="square"/>
            <c:size val="5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graphs'!$D$54:$D$62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2.6704992366368221</c:v>
                  </c:pt>
                  <c:pt idx="3">
                    <c:v>0</c:v>
                  </c:pt>
                  <c:pt idx="4">
                    <c:v>1.791656207304797</c:v>
                  </c:pt>
                  <c:pt idx="5">
                    <c:v>0.37617634696349217</c:v>
                  </c:pt>
                  <c:pt idx="6">
                    <c:v>1.2774703993690746</c:v>
                  </c:pt>
                  <c:pt idx="7">
                    <c:v>0.43207003492567586</c:v>
                  </c:pt>
                  <c:pt idx="8">
                    <c:v>2.2593122100584941</c:v>
                  </c:pt>
                </c:numCache>
              </c:numRef>
            </c:plus>
            <c:minus>
              <c:numRef>
                <c:f>'Nutrients graphs'!$D$54:$D$62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2.6704992366368221</c:v>
                  </c:pt>
                  <c:pt idx="3">
                    <c:v>0</c:v>
                  </c:pt>
                  <c:pt idx="4">
                    <c:v>1.791656207304797</c:v>
                  </c:pt>
                  <c:pt idx="5">
                    <c:v>0.37617634696349217</c:v>
                  </c:pt>
                  <c:pt idx="6">
                    <c:v>1.2774703993690746</c:v>
                  </c:pt>
                  <c:pt idx="7">
                    <c:v>0.43207003492567586</c:v>
                  </c:pt>
                  <c:pt idx="8">
                    <c:v>2.2593122100584941</c:v>
                  </c:pt>
                </c:numCache>
              </c:numRef>
            </c:minus>
          </c:errBars>
          <c:xVal>
            <c:numRef>
              <c:f>'Nutrients graphs'!$B$54:$B$62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graphs'!$C$54:$C$62</c:f>
              <c:numCache>
                <c:formatCode>General</c:formatCode>
                <c:ptCount val="9"/>
                <c:pt idx="0">
                  <c:v>20</c:v>
                </c:pt>
                <c:pt idx="1">
                  <c:v>1.602188354826104</c:v>
                </c:pt>
                <c:pt idx="2">
                  <c:v>4.5884134427510741</c:v>
                </c:pt>
                <c:pt idx="3">
                  <c:v>22</c:v>
                </c:pt>
                <c:pt idx="4">
                  <c:v>19.509574052364204</c:v>
                </c:pt>
                <c:pt idx="5">
                  <c:v>21.199687377881979</c:v>
                </c:pt>
                <c:pt idx="6">
                  <c:v>22.684642438452517</c:v>
                </c:pt>
                <c:pt idx="7">
                  <c:v>21.815162172723717</c:v>
                </c:pt>
                <c:pt idx="8">
                  <c:v>20.808909730363421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45-4408-AFDB-055EDF75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5"/>
          <c:order val="5"/>
          <c:tx>
            <c:strRef>
              <c:f>'Nutrients graphs'!$E$13:$F$13</c:f>
              <c:strCache>
                <c:ptCount val="1"/>
                <c:pt idx="0">
                  <c:v>Phosphates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graphs'!$F$54:$F$62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0.11619401986575173</c:v>
                  </c:pt>
                  <c:pt idx="3">
                    <c:v>0</c:v>
                  </c:pt>
                  <c:pt idx="4">
                    <c:v>0.14876989562148016</c:v>
                  </c:pt>
                  <c:pt idx="5">
                    <c:v>0.13556872500622999</c:v>
                  </c:pt>
                  <c:pt idx="6">
                    <c:v>7.1989015389202146E-2</c:v>
                  </c:pt>
                  <c:pt idx="7">
                    <c:v>0.10830976758804566</c:v>
                  </c:pt>
                  <c:pt idx="8">
                    <c:v>7.8621397658955511E-2</c:v>
                  </c:pt>
                </c:numCache>
              </c:numRef>
            </c:plus>
            <c:minus>
              <c:numRef>
                <c:f>'Nutrients graphs'!$F$54:$F$62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0.11619401986575173</c:v>
                  </c:pt>
                  <c:pt idx="3">
                    <c:v>0</c:v>
                  </c:pt>
                  <c:pt idx="4">
                    <c:v>0.14876989562148016</c:v>
                  </c:pt>
                  <c:pt idx="5">
                    <c:v>0.13556872500622999</c:v>
                  </c:pt>
                  <c:pt idx="6">
                    <c:v>7.1989015389202146E-2</c:v>
                  </c:pt>
                  <c:pt idx="7">
                    <c:v>0.10830976758804566</c:v>
                  </c:pt>
                  <c:pt idx="8">
                    <c:v>7.8621397658955511E-2</c:v>
                  </c:pt>
                </c:numCache>
              </c:numRef>
            </c:minus>
          </c:errBars>
          <c:xVal>
            <c:numRef>
              <c:f>'Nutrients graphs'!$B$54:$B$62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graphs'!$E$54:$E$62</c:f>
              <c:numCache>
                <c:formatCode>General</c:formatCode>
                <c:ptCount val="9"/>
                <c:pt idx="0">
                  <c:v>1</c:v>
                </c:pt>
                <c:pt idx="1">
                  <c:v>0.18565949022519179</c:v>
                </c:pt>
                <c:pt idx="2">
                  <c:v>0.12183842959607399</c:v>
                </c:pt>
                <c:pt idx="3">
                  <c:v>1.4</c:v>
                </c:pt>
                <c:pt idx="4">
                  <c:v>1.0423553719008263</c:v>
                </c:pt>
                <c:pt idx="5">
                  <c:v>1.130864197530864</c:v>
                </c:pt>
                <c:pt idx="6">
                  <c:v>1.2473861090365945</c:v>
                </c:pt>
                <c:pt idx="7">
                  <c:v>1.1372194062273717</c:v>
                </c:pt>
                <c:pt idx="8">
                  <c:v>1.1649741329756658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45-4408-AFDB-055EDF75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65055"/>
        <c:axId val="1349255903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Nitrates</a:t>
                </a:r>
                <a:r>
                  <a:rPr lang="en-GB" sz="1200" baseline="0">
                    <a:effectLst/>
                  </a:rPr>
                  <a:t> (mgN/L)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134925590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Phosphates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1349265055"/>
        <c:crosses val="max"/>
        <c:crossBetween val="midCat"/>
      </c:valAx>
      <c:valAx>
        <c:axId val="13492650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925590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25EB-4AC4-83B5-DA4B5DBEBCBF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B-4AC4-83B5-DA4B5DBEBCBF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B-4AC4-83B5-DA4B5DBEBCBF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B-4AC4-83B5-DA4B5DBEBCBF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EB-4AC4-83B5-DA4B5DBEBCBF}"/>
            </c:ext>
          </c:extLst>
        </c:ser>
        <c:ser>
          <c:idx val="4"/>
          <c:order val="4"/>
          <c:tx>
            <c:strRef>
              <c:f>'Nutrients graphs'!$G$13:$H$13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graphs'!$H$15:$H$23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8.0570879768479306E-2</c:v>
                  </c:pt>
                  <c:pt idx="3">
                    <c:v>0</c:v>
                  </c:pt>
                  <c:pt idx="4">
                    <c:v>9.6953597148326659E-2</c:v>
                  </c:pt>
                  <c:pt idx="5">
                    <c:v>0.11176612486199307</c:v>
                  </c:pt>
                  <c:pt idx="6">
                    <c:v>0.13937359864766388</c:v>
                  </c:pt>
                  <c:pt idx="7">
                    <c:v>0.15239750654128131</c:v>
                  </c:pt>
                  <c:pt idx="8">
                    <c:v>9.7638790105845016E-2</c:v>
                  </c:pt>
                </c:numCache>
              </c:numRef>
            </c:plus>
            <c:minus>
              <c:numRef>
                <c:f>'Nutrients graphs'!$H$15:$H$23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8.0570879768479306E-2</c:v>
                  </c:pt>
                  <c:pt idx="3">
                    <c:v>0</c:v>
                  </c:pt>
                  <c:pt idx="4">
                    <c:v>9.6953597148326659E-2</c:v>
                  </c:pt>
                  <c:pt idx="5">
                    <c:v>0.11176612486199307</c:v>
                  </c:pt>
                  <c:pt idx="6">
                    <c:v>0.13937359864766388</c:v>
                  </c:pt>
                  <c:pt idx="7">
                    <c:v>0.15239750654128131</c:v>
                  </c:pt>
                  <c:pt idx="8">
                    <c:v>9.7638790105845016E-2</c:v>
                  </c:pt>
                </c:numCache>
              </c:numRef>
            </c:minus>
          </c:errBars>
          <c:xVal>
            <c:numRef>
              <c:f>'Nutrients graphs'!$B$15:$B$23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graphs'!$G$15:$G$23</c:f>
              <c:numCache>
                <c:formatCode>General</c:formatCode>
                <c:ptCount val="9"/>
                <c:pt idx="0">
                  <c:v>8</c:v>
                </c:pt>
                <c:pt idx="1">
                  <c:v>9.3724999999999987</c:v>
                </c:pt>
                <c:pt idx="2">
                  <c:v>9.4375</c:v>
                </c:pt>
                <c:pt idx="3">
                  <c:v>8</c:v>
                </c:pt>
                <c:pt idx="4">
                  <c:v>9.36</c:v>
                </c:pt>
                <c:pt idx="5">
                  <c:v>8.7974999999999994</c:v>
                </c:pt>
                <c:pt idx="6">
                  <c:v>9.1074999999999999</c:v>
                </c:pt>
                <c:pt idx="7">
                  <c:v>9.2475000000000005</c:v>
                </c:pt>
                <c:pt idx="8">
                  <c:v>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EB-4AC4-83B5-DA4B5DBE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14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pH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744D-4341-A982-0D78B3FBA1BC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4D-4341-A982-0D78B3FBA1BC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4D-4341-A982-0D78B3FBA1BC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4D-4341-A982-0D78B3FBA1BC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4D-4341-A982-0D78B3FBA1BC}"/>
            </c:ext>
          </c:extLst>
        </c:ser>
        <c:ser>
          <c:idx val="4"/>
          <c:order val="4"/>
          <c:tx>
            <c:strRef>
              <c:f>'Nutrients graphs'!$G$13:$H$13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graphs'!$H$28:$H$36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0.12503332889007349</c:v>
                  </c:pt>
                  <c:pt idx="3">
                    <c:v>0</c:v>
                  </c:pt>
                  <c:pt idx="4">
                    <c:v>9.9456858318904787E-2</c:v>
                  </c:pt>
                  <c:pt idx="5">
                    <c:v>0.10754843869934447</c:v>
                  </c:pt>
                  <c:pt idx="6">
                    <c:v>2.160246899469323E-2</c:v>
                  </c:pt>
                  <c:pt idx="7">
                    <c:v>5.9090326337452932E-2</c:v>
                  </c:pt>
                  <c:pt idx="8">
                    <c:v>8.3815273071200999E-2</c:v>
                  </c:pt>
                </c:numCache>
              </c:numRef>
            </c:plus>
            <c:minus>
              <c:numRef>
                <c:f>'Nutrients graphs'!$H$28:$H$36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0.12503332889007349</c:v>
                  </c:pt>
                  <c:pt idx="3">
                    <c:v>0</c:v>
                  </c:pt>
                  <c:pt idx="4">
                    <c:v>9.9456858318904787E-2</c:v>
                  </c:pt>
                  <c:pt idx="5">
                    <c:v>0.10754843869934447</c:v>
                  </c:pt>
                  <c:pt idx="6">
                    <c:v>2.160246899469323E-2</c:v>
                  </c:pt>
                  <c:pt idx="7">
                    <c:v>5.9090326337452932E-2</c:v>
                  </c:pt>
                  <c:pt idx="8">
                    <c:v>8.3815273071200999E-2</c:v>
                  </c:pt>
                </c:numCache>
              </c:numRef>
            </c:minus>
          </c:errBars>
          <c:xVal>
            <c:numRef>
              <c:f>'Nutrients graphs'!$B$28:$B$36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graphs'!$G$28:$G$36</c:f>
              <c:numCache>
                <c:formatCode>General</c:formatCode>
                <c:ptCount val="9"/>
                <c:pt idx="0">
                  <c:v>8</c:v>
                </c:pt>
                <c:pt idx="1">
                  <c:v>9.3724999999999987</c:v>
                </c:pt>
                <c:pt idx="2">
                  <c:v>9.245000000000001</c:v>
                </c:pt>
                <c:pt idx="3">
                  <c:v>8</c:v>
                </c:pt>
                <c:pt idx="4">
                  <c:v>9.182500000000001</c:v>
                </c:pt>
                <c:pt idx="5">
                  <c:v>8.9150000000000009</c:v>
                </c:pt>
                <c:pt idx="6">
                  <c:v>9.31</c:v>
                </c:pt>
                <c:pt idx="7">
                  <c:v>9.1475000000000009</c:v>
                </c:pt>
                <c:pt idx="8">
                  <c:v>9.3774999999999995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4D-4341-A982-0D78B3FBA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1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pH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D025-444F-A79C-9A6A3BB0C6E5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5-444F-A79C-9A6A3BB0C6E5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5-444F-A79C-9A6A3BB0C6E5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25-444F-A79C-9A6A3BB0C6E5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25-444F-A79C-9A6A3BB0C6E5}"/>
            </c:ext>
          </c:extLst>
        </c:ser>
        <c:ser>
          <c:idx val="4"/>
          <c:order val="4"/>
          <c:tx>
            <c:strRef>
              <c:f>'Nutrients graphs'!$G$13:$H$13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graphs'!$H$41:$H$49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0.11210114480533499</c:v>
                  </c:pt>
                  <c:pt idx="3">
                    <c:v>0</c:v>
                  </c:pt>
                  <c:pt idx="4">
                    <c:v>0.18645821694595979</c:v>
                  </c:pt>
                  <c:pt idx="5">
                    <c:v>8.7177978870813314E-2</c:v>
                  </c:pt>
                  <c:pt idx="6">
                    <c:v>6.9761498454854617E-2</c:v>
                  </c:pt>
                  <c:pt idx="7">
                    <c:v>0.11860297916438142</c:v>
                  </c:pt>
                  <c:pt idx="8">
                    <c:v>3.7859388972001799E-2</c:v>
                  </c:pt>
                </c:numCache>
              </c:numRef>
            </c:plus>
            <c:minus>
              <c:numRef>
                <c:f>'Nutrients graphs'!$H$41:$H$49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0.11210114480533499</c:v>
                  </c:pt>
                  <c:pt idx="3">
                    <c:v>0</c:v>
                  </c:pt>
                  <c:pt idx="4">
                    <c:v>0.18645821694595979</c:v>
                  </c:pt>
                  <c:pt idx="5">
                    <c:v>8.7177978870813314E-2</c:v>
                  </c:pt>
                  <c:pt idx="6">
                    <c:v>6.9761498454854617E-2</c:v>
                  </c:pt>
                  <c:pt idx="7">
                    <c:v>0.11860297916438142</c:v>
                  </c:pt>
                  <c:pt idx="8">
                    <c:v>3.7859388972001799E-2</c:v>
                  </c:pt>
                </c:numCache>
              </c:numRef>
            </c:minus>
          </c:errBars>
          <c:xVal>
            <c:numRef>
              <c:f>'Nutrients graphs'!$B$41:$B$49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graphs'!$G$41:$G$49</c:f>
              <c:numCache>
                <c:formatCode>General</c:formatCode>
                <c:ptCount val="9"/>
                <c:pt idx="0">
                  <c:v>8</c:v>
                </c:pt>
                <c:pt idx="1">
                  <c:v>9.3724999999999987</c:v>
                </c:pt>
                <c:pt idx="2">
                  <c:v>9.245000000000001</c:v>
                </c:pt>
                <c:pt idx="3">
                  <c:v>8</c:v>
                </c:pt>
                <c:pt idx="4">
                  <c:v>8.9949999999999992</c:v>
                </c:pt>
                <c:pt idx="5">
                  <c:v>8.9400000000000013</c:v>
                </c:pt>
                <c:pt idx="6">
                  <c:v>9.27</c:v>
                </c:pt>
                <c:pt idx="7">
                  <c:v>9.23</c:v>
                </c:pt>
                <c:pt idx="8">
                  <c:v>9.3550000000000004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25-444F-A79C-9A6A3BB0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pH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graphs'!$A$24</c:f>
          <c:strCache>
            <c:ptCount val="1"/>
            <c:pt idx="0">
              <c:v>Medium Light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8-45BB-A3CA-9D111870E23A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8-45BB-A3CA-9D111870E23A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8-45BB-A3CA-9D111870E23A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E8-45BB-A3CA-9D111870E23A}"/>
            </c:ext>
          </c:extLst>
        </c:ser>
        <c:ser>
          <c:idx val="5"/>
          <c:order val="4"/>
          <c:tx>
            <c:strRef>
              <c:f>'Growth Parameter graphs'!$E$13:$F$13</c:f>
              <c:strCache>
                <c:ptCount val="1"/>
                <c:pt idx="0">
                  <c:v>Wet Weight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graphs'!$F$27:$F$34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5.7846780377130763E-3</c:v>
                  </c:pt>
                  <c:pt idx="3">
                    <c:v>1.1200892821556617E-2</c:v>
                  </c:pt>
                  <c:pt idx="4">
                    <c:v>2.3019756007974145E-2</c:v>
                  </c:pt>
                  <c:pt idx="5">
                    <c:v>1.3784864888710372E-2</c:v>
                  </c:pt>
                  <c:pt idx="6">
                    <c:v>1.7738352986302486E-2</c:v>
                  </c:pt>
                  <c:pt idx="7">
                    <c:v>1.7965429765710212E-2</c:v>
                  </c:pt>
                </c:numCache>
              </c:numRef>
            </c:plus>
            <c:minus>
              <c:numRef>
                <c:f>'Growth Parameter graphs'!$F$27:$F$34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5.7846780377130763E-3</c:v>
                  </c:pt>
                  <c:pt idx="3">
                    <c:v>1.1200892821556617E-2</c:v>
                  </c:pt>
                  <c:pt idx="4">
                    <c:v>2.3019756007974145E-2</c:v>
                  </c:pt>
                  <c:pt idx="5">
                    <c:v>1.3784864888710372E-2</c:v>
                  </c:pt>
                  <c:pt idx="6">
                    <c:v>1.7738352986302486E-2</c:v>
                  </c:pt>
                  <c:pt idx="7">
                    <c:v>1.7965429765710212E-2</c:v>
                  </c:pt>
                </c:numCache>
              </c:numRef>
            </c:minus>
          </c:errBars>
          <c:xVal>
            <c:numRef>
              <c:f>'Growth Parameter graphs'!$B$27:$B$34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graphs'!$E$27:$E$34</c:f>
              <c:numCache>
                <c:formatCode>General</c:formatCode>
                <c:ptCount val="8"/>
                <c:pt idx="0">
                  <c:v>1.9975E-2</c:v>
                </c:pt>
                <c:pt idx="1">
                  <c:v>4.2550000000000004E-2</c:v>
                </c:pt>
                <c:pt idx="2">
                  <c:v>7.292499999999999E-2</c:v>
                </c:pt>
                <c:pt idx="3">
                  <c:v>9.5200000000000007E-2</c:v>
                </c:pt>
                <c:pt idx="4">
                  <c:v>0.16297500000000001</c:v>
                </c:pt>
                <c:pt idx="5">
                  <c:v>0.174175</c:v>
                </c:pt>
                <c:pt idx="6">
                  <c:v>0.155225</c:v>
                </c:pt>
                <c:pt idx="7">
                  <c:v>0.21435000000000001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E8-45BB-A3CA-9D111870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6"/>
          <c:order val="5"/>
          <c:tx>
            <c:strRef>
              <c:f>'Growth Parameter graphs'!$C$13:$D$13</c:f>
              <c:strCache>
                <c:ptCount val="1"/>
                <c:pt idx="0">
                  <c:v>Surface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graphs'!$D$27:$D$34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1.9229443353011171</c:v>
                  </c:pt>
                  <c:pt idx="3">
                    <c:v>2.267821770627783</c:v>
                  </c:pt>
                  <c:pt idx="4">
                    <c:v>3.4706344640905944</c:v>
                  </c:pt>
                  <c:pt idx="5">
                    <c:v>2.2111999758803655</c:v>
                  </c:pt>
                  <c:pt idx="6">
                    <c:v>2.4361665754486688</c:v>
                  </c:pt>
                  <c:pt idx="7">
                    <c:v>2.485413312375496</c:v>
                  </c:pt>
                </c:numCache>
              </c:numRef>
            </c:plus>
            <c:minus>
              <c:numRef>
                <c:f>'Growth Parameter graphs'!$D$27:$D$34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1.9229443353011171</c:v>
                  </c:pt>
                  <c:pt idx="3">
                    <c:v>2.267821770627783</c:v>
                  </c:pt>
                  <c:pt idx="4">
                    <c:v>3.4706344640905944</c:v>
                  </c:pt>
                  <c:pt idx="5">
                    <c:v>2.2111999758803655</c:v>
                  </c:pt>
                  <c:pt idx="6">
                    <c:v>2.4361665754486688</c:v>
                  </c:pt>
                  <c:pt idx="7">
                    <c:v>2.485413312375496</c:v>
                  </c:pt>
                </c:numCache>
              </c:numRef>
            </c:minus>
          </c:errBars>
          <c:xVal>
            <c:numRef>
              <c:f>'Growth Parameter graphs'!$B$27:$B$34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graphs'!$C$27:$C$34</c:f>
              <c:numCache>
                <c:formatCode>General</c:formatCode>
                <c:ptCount val="8"/>
                <c:pt idx="0">
                  <c:v>3.8325000000000005</c:v>
                </c:pt>
                <c:pt idx="1">
                  <c:v>5.6814999999999998</c:v>
                </c:pt>
                <c:pt idx="2">
                  <c:v>7.7407500000000002</c:v>
                </c:pt>
                <c:pt idx="3">
                  <c:v>11.462250000000001</c:v>
                </c:pt>
                <c:pt idx="4">
                  <c:v>17.80275</c:v>
                </c:pt>
                <c:pt idx="5">
                  <c:v>19.234000000000002</c:v>
                </c:pt>
                <c:pt idx="6">
                  <c:v>15.403250000000002</c:v>
                </c:pt>
                <c:pt idx="7">
                  <c:v>22.145000000000003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E8-45BB-A3CA-9D111870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1456"/>
        <c:axId val="40755104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0.3000000000000000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Weight (g)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.000000000000001E-2"/>
      </c:valAx>
      <c:valAx>
        <c:axId val="407551040"/>
        <c:scaling>
          <c:orientation val="minMax"/>
          <c:max val="4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(cm</a:t>
                </a:r>
                <a:r>
                  <a:rPr lang="es-ES" baseline="30000"/>
                  <a:t>2</a:t>
                </a:r>
                <a:r>
                  <a:rPr lang="es-ES"/>
                  <a:t>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midCat"/>
      </c:valAx>
      <c:val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EB39-49CA-9B34-00DDCE153097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39-49CA-9B34-00DDCE153097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39-49CA-9B34-00DDCE153097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39-49CA-9B34-00DDCE153097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39-49CA-9B34-00DDCE153097}"/>
            </c:ext>
          </c:extLst>
        </c:ser>
        <c:ser>
          <c:idx val="4"/>
          <c:order val="4"/>
          <c:tx>
            <c:strRef>
              <c:f>'Nutrients graphs'!$G$13:$H$13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graphs'!$H$54:$H$62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4.9244289008980917E-2</c:v>
                  </c:pt>
                  <c:pt idx="3">
                    <c:v>0</c:v>
                  </c:pt>
                  <c:pt idx="4">
                    <c:v>0.16990193249832891</c:v>
                  </c:pt>
                  <c:pt idx="5">
                    <c:v>7.4386378681404755E-2</c:v>
                  </c:pt>
                  <c:pt idx="6">
                    <c:v>0.16299284237863523</c:v>
                  </c:pt>
                  <c:pt idx="7">
                    <c:v>0.10531698185319703</c:v>
                  </c:pt>
                  <c:pt idx="8">
                    <c:v>7.7674534651540394E-2</c:v>
                  </c:pt>
                </c:numCache>
              </c:numRef>
            </c:plus>
            <c:minus>
              <c:numRef>
                <c:f>'Nutrients graphs'!$H$54:$H$62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4.9244289008980917E-2</c:v>
                  </c:pt>
                  <c:pt idx="3">
                    <c:v>0</c:v>
                  </c:pt>
                  <c:pt idx="4">
                    <c:v>0.16990193249832891</c:v>
                  </c:pt>
                  <c:pt idx="5">
                    <c:v>7.4386378681404755E-2</c:v>
                  </c:pt>
                  <c:pt idx="6">
                    <c:v>0.16299284237863523</c:v>
                  </c:pt>
                  <c:pt idx="7">
                    <c:v>0.10531698185319703</c:v>
                  </c:pt>
                  <c:pt idx="8">
                    <c:v>7.7674534651540394E-2</c:v>
                  </c:pt>
                </c:numCache>
              </c:numRef>
            </c:minus>
          </c:errBars>
          <c:xVal>
            <c:numRef>
              <c:f>'Nutrients graphs'!$B$54:$B$62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graphs'!$G$54:$G$62</c:f>
              <c:numCache>
                <c:formatCode>General</c:formatCode>
                <c:ptCount val="9"/>
                <c:pt idx="0">
                  <c:v>8</c:v>
                </c:pt>
                <c:pt idx="1">
                  <c:v>9.3724999999999987</c:v>
                </c:pt>
                <c:pt idx="2">
                  <c:v>8.1024999999999991</c:v>
                </c:pt>
                <c:pt idx="3">
                  <c:v>8</c:v>
                </c:pt>
                <c:pt idx="4">
                  <c:v>7.66</c:v>
                </c:pt>
                <c:pt idx="5">
                  <c:v>7.97</c:v>
                </c:pt>
                <c:pt idx="6">
                  <c:v>7.8549999999999995</c:v>
                </c:pt>
                <c:pt idx="7">
                  <c:v>7.7725</c:v>
                </c:pt>
                <c:pt idx="8">
                  <c:v>7.835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39-49CA-9B34-00DDCE15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pH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ysClr val="windowText" lastClr="000000"/>
                </a:solidFill>
              </a:rPr>
              <a:t>Standart Line of Nitrates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'Nitrates Standart Curves'!$A$3</c:f>
              <c:strCache>
                <c:ptCount val="1"/>
                <c:pt idx="0">
                  <c:v>27/06/2022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74340884877323"/>
                  <c:y val="-3.8490176407062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'Nitrates Standart Curves'!$E$3:$E$14</c:f>
              <c:numCache>
                <c:formatCode>General</c:formatCode>
                <c:ptCount val="12"/>
                <c:pt idx="0">
                  <c:v>0.2</c:v>
                </c:pt>
                <c:pt idx="2">
                  <c:v>0.4</c:v>
                </c:pt>
                <c:pt idx="4">
                  <c:v>0.8</c:v>
                </c:pt>
                <c:pt idx="6">
                  <c:v>1</c:v>
                </c:pt>
                <c:pt idx="8">
                  <c:v>2</c:v>
                </c:pt>
                <c:pt idx="10">
                  <c:v>4</c:v>
                </c:pt>
              </c:numCache>
            </c:numRef>
          </c:xVal>
          <c:yVal>
            <c:numRef>
              <c:f>'Nitrates Standart Curves'!$N$3:$N$14</c:f>
              <c:numCache>
                <c:formatCode>General</c:formatCode>
                <c:ptCount val="12"/>
                <c:pt idx="0">
                  <c:v>4.9000000000000002E-2</c:v>
                </c:pt>
                <c:pt idx="2">
                  <c:v>0.10200000000000001</c:v>
                </c:pt>
                <c:pt idx="4">
                  <c:v>0.20449999999999999</c:v>
                </c:pt>
                <c:pt idx="6">
                  <c:v>0.2535</c:v>
                </c:pt>
                <c:pt idx="8">
                  <c:v>0.51750000000000007</c:v>
                </c:pt>
                <c:pt idx="10">
                  <c:v>1.0329999999999999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8-456E-9966-9EC7B4ECD73B}"/>
            </c:ext>
          </c:extLst>
        </c:ser>
        <c:ser>
          <c:idx val="1"/>
          <c:order val="1"/>
          <c:tx>
            <c:strRef>
              <c:f>'Nitrates Standart Curves'!$A$15</c:f>
              <c:strCache>
                <c:ptCount val="1"/>
                <c:pt idx="0">
                  <c:v>29/06/2022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63230016791335"/>
                  <c:y val="5.12782897177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'Nitrates Standart Curves'!$E$15:$E$26</c:f>
              <c:numCache>
                <c:formatCode>General</c:formatCode>
                <c:ptCount val="12"/>
                <c:pt idx="0">
                  <c:v>0.2</c:v>
                </c:pt>
                <c:pt idx="2">
                  <c:v>0.4</c:v>
                </c:pt>
                <c:pt idx="4">
                  <c:v>0.8</c:v>
                </c:pt>
                <c:pt idx="6">
                  <c:v>1</c:v>
                </c:pt>
                <c:pt idx="8">
                  <c:v>2</c:v>
                </c:pt>
                <c:pt idx="10">
                  <c:v>4</c:v>
                </c:pt>
              </c:numCache>
            </c:numRef>
          </c:xVal>
          <c:yVal>
            <c:numRef>
              <c:f>'Nitrates Standart Curves'!$N$15:$N$26</c:f>
              <c:numCache>
                <c:formatCode>General</c:formatCode>
                <c:ptCount val="12"/>
                <c:pt idx="0">
                  <c:v>4.5999999999999999E-2</c:v>
                </c:pt>
                <c:pt idx="2">
                  <c:v>9.6000000000000002E-2</c:v>
                </c:pt>
                <c:pt idx="4">
                  <c:v>0.19750000000000001</c:v>
                </c:pt>
                <c:pt idx="6">
                  <c:v>0.246</c:v>
                </c:pt>
                <c:pt idx="8">
                  <c:v>0.49950000000000006</c:v>
                </c:pt>
                <c:pt idx="10">
                  <c:v>1.012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F-403F-9FD4-9AFF09ACB5F4}"/>
            </c:ext>
          </c:extLst>
        </c:ser>
        <c:ser>
          <c:idx val="2"/>
          <c:order val="2"/>
          <c:tx>
            <c:strRef>
              <c:f>'Nitrates Standart Curves'!$A$27</c:f>
              <c:strCache>
                <c:ptCount val="1"/>
                <c:pt idx="0">
                  <c:v>01/07/2022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41007733812831"/>
                  <c:y val="0.15947563130828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'Nitrates Standart Curves'!$E$27:$E$38</c:f>
              <c:numCache>
                <c:formatCode>General</c:formatCode>
                <c:ptCount val="12"/>
                <c:pt idx="0">
                  <c:v>0.2</c:v>
                </c:pt>
                <c:pt idx="2">
                  <c:v>0.4</c:v>
                </c:pt>
                <c:pt idx="4">
                  <c:v>0.8</c:v>
                </c:pt>
                <c:pt idx="6">
                  <c:v>1</c:v>
                </c:pt>
                <c:pt idx="8">
                  <c:v>2</c:v>
                </c:pt>
                <c:pt idx="10">
                  <c:v>4</c:v>
                </c:pt>
              </c:numCache>
            </c:numRef>
          </c:xVal>
          <c:yVal>
            <c:numRef>
              <c:f>'Nitrates Standart Curves'!$N$27:$N$38</c:f>
              <c:numCache>
                <c:formatCode>General</c:formatCode>
                <c:ptCount val="12"/>
                <c:pt idx="0">
                  <c:v>4.7E-2</c:v>
                </c:pt>
                <c:pt idx="2">
                  <c:v>9.2999999999999999E-2</c:v>
                </c:pt>
                <c:pt idx="4">
                  <c:v>0.19650000000000001</c:v>
                </c:pt>
                <c:pt idx="6">
                  <c:v>0.2495</c:v>
                </c:pt>
                <c:pt idx="8">
                  <c:v>0.505</c:v>
                </c:pt>
                <c:pt idx="10">
                  <c:v>1.0110000000000001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9-498A-A0BC-B95624E801F8}"/>
            </c:ext>
          </c:extLst>
        </c:ser>
        <c:ser>
          <c:idx val="3"/>
          <c:order val="3"/>
          <c:tx>
            <c:strRef>
              <c:f>'Nitrates Standart Curves'!$Z$1:$AA$1</c:f>
              <c:strCache>
                <c:ptCount val="1"/>
                <c:pt idx="0">
                  <c:v>Average Standart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316482651688"/>
                  <c:y val="0.41812599732680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'Nitrates Standart Curves'!$Z$3:$Z$14</c:f>
              <c:numCache>
                <c:formatCode>General</c:formatCode>
                <c:ptCount val="12"/>
                <c:pt idx="0">
                  <c:v>0.2</c:v>
                </c:pt>
                <c:pt idx="2">
                  <c:v>0.4</c:v>
                </c:pt>
                <c:pt idx="4">
                  <c:v>0.8</c:v>
                </c:pt>
                <c:pt idx="6">
                  <c:v>1</c:v>
                </c:pt>
                <c:pt idx="8">
                  <c:v>2</c:v>
                </c:pt>
                <c:pt idx="10">
                  <c:v>4</c:v>
                </c:pt>
              </c:numCache>
            </c:numRef>
          </c:xVal>
          <c:yVal>
            <c:numRef>
              <c:f>'Nitrates Standart Curves'!$AA$3:$AA$14</c:f>
              <c:numCache>
                <c:formatCode>General</c:formatCode>
                <c:ptCount val="12"/>
                <c:pt idx="0">
                  <c:v>4.7333333333333338E-2</c:v>
                </c:pt>
                <c:pt idx="2">
                  <c:v>9.7000000000000017E-2</c:v>
                </c:pt>
                <c:pt idx="4">
                  <c:v>0.19950000000000001</c:v>
                </c:pt>
                <c:pt idx="6">
                  <c:v>0.24966666666666668</c:v>
                </c:pt>
                <c:pt idx="8">
                  <c:v>0.50733333333333341</c:v>
                </c:pt>
                <c:pt idx="10">
                  <c:v>1.0186666666666666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5D-456D-9399-8541B981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110272"/>
        <c:axId val="1853089888"/>
      </c:scatterChart>
      <c:valAx>
        <c:axId val="185311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/>
                  <a:t>Concentration 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853089888"/>
        <c:crosses val="autoZero"/>
        <c:crossBetween val="midCat"/>
      </c:valAx>
      <c:valAx>
        <c:axId val="185308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/>
                  <a:t>ABS Nitrates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853110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ysClr val="windowText" lastClr="000000"/>
                </a:solidFill>
              </a:rPr>
              <a:t>Standart</a:t>
            </a:r>
            <a:r>
              <a:rPr lang="es-ES" b="1" baseline="0">
                <a:solidFill>
                  <a:sysClr val="windowText" lastClr="000000"/>
                </a:solidFill>
              </a:rPr>
              <a:t> Line of Phosphates</a:t>
            </a:r>
            <a:endParaRPr lang="es-E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'Phosphate Standart Curve'!$A$3</c:f>
              <c:strCache>
                <c:ptCount val="1"/>
                <c:pt idx="0">
                  <c:v>27/06/2022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02295290682975"/>
                  <c:y val="-2.7015867197561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'Phosphate Standart Curve'!$E$6:$E$20</c:f>
              <c:numCache>
                <c:formatCode>General</c:formatCode>
                <c:ptCount val="15"/>
                <c:pt idx="0">
                  <c:v>0.1</c:v>
                </c:pt>
                <c:pt idx="3">
                  <c:v>0.2</c:v>
                </c:pt>
                <c:pt idx="6">
                  <c:v>0.5</c:v>
                </c:pt>
                <c:pt idx="9">
                  <c:v>1</c:v>
                </c:pt>
                <c:pt idx="12">
                  <c:v>1.3</c:v>
                </c:pt>
              </c:numCache>
            </c:numRef>
          </c:xVal>
          <c:yVal>
            <c:numRef>
              <c:f>'Phosphate Standart Curve'!$I$6:$I$20</c:f>
              <c:numCache>
                <c:formatCode>General</c:formatCode>
                <c:ptCount val="15"/>
                <c:pt idx="0">
                  <c:v>4.8333333333333339E-2</c:v>
                </c:pt>
                <c:pt idx="3">
                  <c:v>0.10066666666666665</c:v>
                </c:pt>
                <c:pt idx="6">
                  <c:v>0.27333333333333332</c:v>
                </c:pt>
                <c:pt idx="9">
                  <c:v>0.54033333333333333</c:v>
                </c:pt>
                <c:pt idx="12">
                  <c:v>0.69166666666666665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0-41E8-B823-D3A5595EFBB5}"/>
            </c:ext>
          </c:extLst>
        </c:ser>
        <c:ser>
          <c:idx val="1"/>
          <c:order val="1"/>
          <c:tx>
            <c:strRef>
              <c:f>'Phosphate Standart Curve'!$A$21</c:f>
              <c:strCache>
                <c:ptCount val="1"/>
                <c:pt idx="0">
                  <c:v>29/06/2022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02295290682975"/>
                  <c:y val="6.0478874797831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'Phosphate Standart Curve'!$E$24:$E$38</c:f>
              <c:numCache>
                <c:formatCode>General</c:formatCode>
                <c:ptCount val="15"/>
                <c:pt idx="0">
                  <c:v>0.1</c:v>
                </c:pt>
                <c:pt idx="3">
                  <c:v>0.2</c:v>
                </c:pt>
                <c:pt idx="6">
                  <c:v>0.5</c:v>
                </c:pt>
                <c:pt idx="9">
                  <c:v>1</c:v>
                </c:pt>
                <c:pt idx="12">
                  <c:v>1.3</c:v>
                </c:pt>
              </c:numCache>
            </c:numRef>
          </c:xVal>
          <c:yVal>
            <c:numRef>
              <c:f>'Phosphate Standart Curve'!$I$24:$I$38</c:f>
              <c:numCache>
                <c:formatCode>General</c:formatCode>
                <c:ptCount val="15"/>
                <c:pt idx="0">
                  <c:v>4.1166666666666664E-2</c:v>
                </c:pt>
                <c:pt idx="3">
                  <c:v>0.10016666666666667</c:v>
                </c:pt>
                <c:pt idx="6">
                  <c:v>0.25966666666666666</c:v>
                </c:pt>
                <c:pt idx="9">
                  <c:v>0.51816666666666678</c:v>
                </c:pt>
                <c:pt idx="12">
                  <c:v>0.68166666666666675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E-4DAB-BDE8-BB59327C605D}"/>
            </c:ext>
          </c:extLst>
        </c:ser>
        <c:ser>
          <c:idx val="2"/>
          <c:order val="2"/>
          <c:tx>
            <c:strRef>
              <c:f>'Phosphate Standart Curve'!$A$39</c:f>
              <c:strCache>
                <c:ptCount val="1"/>
                <c:pt idx="0">
                  <c:v>01/07/2022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026895900267"/>
                  <c:y val="0.11522269986830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'Phosphate Standart Curve'!$E$42:$E$56</c:f>
              <c:numCache>
                <c:formatCode>General</c:formatCode>
                <c:ptCount val="15"/>
                <c:pt idx="0">
                  <c:v>0.1</c:v>
                </c:pt>
                <c:pt idx="3">
                  <c:v>0.2</c:v>
                </c:pt>
                <c:pt idx="6">
                  <c:v>0.5</c:v>
                </c:pt>
                <c:pt idx="9">
                  <c:v>1</c:v>
                </c:pt>
                <c:pt idx="12">
                  <c:v>1.3</c:v>
                </c:pt>
              </c:numCache>
            </c:numRef>
          </c:xVal>
          <c:yVal>
            <c:numRef>
              <c:f>'Phosphate Standart Curve'!$I$42:$I$56</c:f>
              <c:numCache>
                <c:formatCode>General</c:formatCode>
                <c:ptCount val="15"/>
                <c:pt idx="0">
                  <c:v>3.9166666666666669E-2</c:v>
                </c:pt>
                <c:pt idx="3">
                  <c:v>9.4166666666666662E-2</c:v>
                </c:pt>
                <c:pt idx="6">
                  <c:v>0.24466666666666667</c:v>
                </c:pt>
                <c:pt idx="9">
                  <c:v>0.48366666666666663</c:v>
                </c:pt>
                <c:pt idx="12">
                  <c:v>0.62116666666666676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B-4A42-A35F-17D9C60EC79C}"/>
            </c:ext>
          </c:extLst>
        </c:ser>
        <c:ser>
          <c:idx val="3"/>
          <c:order val="3"/>
          <c:tx>
            <c:strRef>
              <c:f>'Phosphate Standart Curve'!$A$57</c:f>
              <c:strCache>
                <c:ptCount val="1"/>
                <c:pt idx="0">
                  <c:v>04/07/2022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7598096690918"/>
                  <c:y val="0.25519642298062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'Phosphate Standart Curve'!$E$60:$E$74</c:f>
              <c:numCache>
                <c:formatCode>General</c:formatCode>
                <c:ptCount val="15"/>
                <c:pt idx="0">
                  <c:v>0.1</c:v>
                </c:pt>
                <c:pt idx="3">
                  <c:v>0.2</c:v>
                </c:pt>
                <c:pt idx="6">
                  <c:v>0.5</c:v>
                </c:pt>
                <c:pt idx="9">
                  <c:v>1</c:v>
                </c:pt>
                <c:pt idx="12">
                  <c:v>1.3</c:v>
                </c:pt>
              </c:numCache>
            </c:numRef>
          </c:xVal>
          <c:yVal>
            <c:numRef>
              <c:f>'Phosphate Standart Curve'!$I$60:$I$74</c:f>
              <c:numCache>
                <c:formatCode>General</c:formatCode>
                <c:ptCount val="15"/>
                <c:pt idx="0">
                  <c:v>4.2166666666666665E-2</c:v>
                </c:pt>
                <c:pt idx="3">
                  <c:v>9.2166666666666661E-2</c:v>
                </c:pt>
                <c:pt idx="6">
                  <c:v>0.25516666666666665</c:v>
                </c:pt>
                <c:pt idx="9">
                  <c:v>0.52066666666666672</c:v>
                </c:pt>
                <c:pt idx="12">
                  <c:v>0.67016666666666669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35-44E5-BAF7-70E221C334DF}"/>
            </c:ext>
          </c:extLst>
        </c:ser>
        <c:ser>
          <c:idx val="4"/>
          <c:order val="4"/>
          <c:tx>
            <c:strRef>
              <c:f>'Phosphate Standart Curve'!$A$75</c:f>
              <c:strCache>
                <c:ptCount val="1"/>
                <c:pt idx="0">
                  <c:v>06/07/2022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7598096690918"/>
                  <c:y val="0.3528863625054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'Phosphate Standart Curve'!$E$78:$E$92</c:f>
              <c:numCache>
                <c:formatCode>General</c:formatCode>
                <c:ptCount val="15"/>
                <c:pt idx="0">
                  <c:v>0.1</c:v>
                </c:pt>
                <c:pt idx="3">
                  <c:v>0.2</c:v>
                </c:pt>
                <c:pt idx="6">
                  <c:v>0.5</c:v>
                </c:pt>
                <c:pt idx="9">
                  <c:v>1</c:v>
                </c:pt>
                <c:pt idx="12">
                  <c:v>1.3</c:v>
                </c:pt>
              </c:numCache>
            </c:numRef>
          </c:xVal>
          <c:yVal>
            <c:numRef>
              <c:f>'Phosphate Standart Curve'!$I$78:$I$92</c:f>
              <c:numCache>
                <c:formatCode>General</c:formatCode>
                <c:ptCount val="15"/>
                <c:pt idx="0">
                  <c:v>5.1166666666666666E-2</c:v>
                </c:pt>
                <c:pt idx="3">
                  <c:v>0.10066666666666665</c:v>
                </c:pt>
                <c:pt idx="6">
                  <c:v>0.24466666666666667</c:v>
                </c:pt>
                <c:pt idx="9">
                  <c:v>0.52716666666666667</c:v>
                </c:pt>
                <c:pt idx="12">
                  <c:v>0.6911666666666666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81-4F4F-840A-0E5F2FE8F81F}"/>
            </c:ext>
          </c:extLst>
        </c:ser>
        <c:ser>
          <c:idx val="5"/>
          <c:order val="5"/>
          <c:tx>
            <c:strRef>
              <c:f>'Phosphate Standart Curve'!$A$93</c:f>
              <c:strCache>
                <c:ptCount val="1"/>
                <c:pt idx="0">
                  <c:v>08/07/2022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988518150313978E-2"/>
                  <c:y val="-3.6460031592842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'Phosphate Standart Curve'!$E$96:$E$110</c:f>
              <c:numCache>
                <c:formatCode>General</c:formatCode>
                <c:ptCount val="15"/>
                <c:pt idx="0">
                  <c:v>0.1</c:v>
                </c:pt>
                <c:pt idx="3">
                  <c:v>0.2</c:v>
                </c:pt>
                <c:pt idx="6">
                  <c:v>0.5</c:v>
                </c:pt>
                <c:pt idx="9">
                  <c:v>1</c:v>
                </c:pt>
                <c:pt idx="12">
                  <c:v>1.3</c:v>
                </c:pt>
              </c:numCache>
            </c:numRef>
          </c:xVal>
          <c:yVal>
            <c:numRef>
              <c:f>'Phosphate Standart Curve'!$I$96:$I$110</c:f>
              <c:numCache>
                <c:formatCode>General</c:formatCode>
                <c:ptCount val="15"/>
                <c:pt idx="0">
                  <c:v>5.2166666666666667E-2</c:v>
                </c:pt>
                <c:pt idx="3">
                  <c:v>0.10516666666666666</c:v>
                </c:pt>
                <c:pt idx="6">
                  <c:v>0.27166666666666667</c:v>
                </c:pt>
                <c:pt idx="9">
                  <c:v>0.52266666666666672</c:v>
                </c:pt>
                <c:pt idx="12">
                  <c:v>0.68116666666666681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90-4137-83B4-D2064197A92F}"/>
            </c:ext>
          </c:extLst>
        </c:ser>
        <c:ser>
          <c:idx val="6"/>
          <c:order val="6"/>
          <c:tx>
            <c:strRef>
              <c:f>'Phosphate Standart Curve'!$A$111</c:f>
              <c:strCache>
                <c:ptCount val="1"/>
                <c:pt idx="0">
                  <c:v>11/07/2022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97640590999621"/>
                  <c:y val="5.7008669024024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'Phosphate Standart Curve'!$E$114:$E$128</c:f>
              <c:numCache>
                <c:formatCode>General</c:formatCode>
                <c:ptCount val="15"/>
                <c:pt idx="0">
                  <c:v>0.1</c:v>
                </c:pt>
                <c:pt idx="3">
                  <c:v>0.2</c:v>
                </c:pt>
                <c:pt idx="6">
                  <c:v>0.5</c:v>
                </c:pt>
                <c:pt idx="9">
                  <c:v>1</c:v>
                </c:pt>
                <c:pt idx="12">
                  <c:v>1.3</c:v>
                </c:pt>
              </c:numCache>
            </c:numRef>
          </c:xVal>
          <c:yVal>
            <c:numRef>
              <c:f>'Phosphate Standart Curve'!$I$114:$I$128</c:f>
              <c:numCache>
                <c:formatCode>General</c:formatCode>
                <c:ptCount val="15"/>
                <c:pt idx="0">
                  <c:v>5.3666666666666668E-2</c:v>
                </c:pt>
                <c:pt idx="3">
                  <c:v>0.10566666666666666</c:v>
                </c:pt>
                <c:pt idx="6">
                  <c:v>0.26766666666666666</c:v>
                </c:pt>
                <c:pt idx="9">
                  <c:v>0.52166666666666672</c:v>
                </c:pt>
                <c:pt idx="12">
                  <c:v>0.68166666666666675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4B-42A5-AD2B-9C315C81F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110272"/>
        <c:axId val="1853089888"/>
      </c:scatterChart>
      <c:valAx>
        <c:axId val="185311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/>
                  <a:t>Concentration P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853089888"/>
        <c:crosses val="autoZero"/>
        <c:crossBetween val="midCat"/>
      </c:valAx>
      <c:valAx>
        <c:axId val="185308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/>
                  <a:t>ABS Phosphates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853110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8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graphs'!$A$12</c:f>
          <c:strCache>
            <c:ptCount val="1"/>
            <c:pt idx="0">
              <c:v>High Light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9-4E27-BD3E-7DC72024F7D8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9-4E27-BD3E-7DC72024F7D8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9-4E27-BD3E-7DC72024F7D8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9-4E27-BD3E-7DC72024F7D8}"/>
            </c:ext>
          </c:extLst>
        </c:ser>
        <c:ser>
          <c:idx val="5"/>
          <c:order val="4"/>
          <c:tx>
            <c:strRef>
              <c:f>'Growth Parameter graphs'!$E$13:$F$13</c:f>
              <c:strCache>
                <c:ptCount val="1"/>
                <c:pt idx="0">
                  <c:v>Wet Weight</c:v>
                </c:pt>
              </c:strCache>
            </c:strRef>
          </c:tx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graphs'!$F$15:$F$22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5.099918299999194E-3</c:v>
                  </c:pt>
                  <c:pt idx="3">
                    <c:v>4.6475800154489018E-3</c:v>
                  </c:pt>
                  <c:pt idx="4">
                    <c:v>1.079147039718561E-2</c:v>
                  </c:pt>
                  <c:pt idx="5">
                    <c:v>1.7777771701387845E-2</c:v>
                  </c:pt>
                  <c:pt idx="6">
                    <c:v>1.8569957817219887E-2</c:v>
                  </c:pt>
                  <c:pt idx="7">
                    <c:v>5.3231413031529957E-3</c:v>
                  </c:pt>
                </c:numCache>
              </c:numRef>
            </c:plus>
            <c:minus>
              <c:numRef>
                <c:f>'Growth Parameter graphs'!$F$15:$F$22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5.099918299999194E-3</c:v>
                  </c:pt>
                  <c:pt idx="3">
                    <c:v>4.6475800154489018E-3</c:v>
                  </c:pt>
                  <c:pt idx="4">
                    <c:v>1.079147039718561E-2</c:v>
                  </c:pt>
                  <c:pt idx="5">
                    <c:v>1.7777771701387845E-2</c:v>
                  </c:pt>
                  <c:pt idx="6">
                    <c:v>1.8569957817219887E-2</c:v>
                  </c:pt>
                  <c:pt idx="7">
                    <c:v>5.3231413031529957E-3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graphs'!$E$15:$E$22</c:f>
              <c:numCache>
                <c:formatCode>General</c:formatCode>
                <c:ptCount val="8"/>
                <c:pt idx="0">
                  <c:v>1.9975E-2</c:v>
                </c:pt>
                <c:pt idx="1">
                  <c:v>4.2550000000000004E-2</c:v>
                </c:pt>
                <c:pt idx="2">
                  <c:v>6.4424999999999996E-2</c:v>
                </c:pt>
                <c:pt idx="3">
                  <c:v>9.7700000000000009E-2</c:v>
                </c:pt>
                <c:pt idx="4">
                  <c:v>0.12997499999999998</c:v>
                </c:pt>
                <c:pt idx="5">
                  <c:v>0.16247500000000001</c:v>
                </c:pt>
                <c:pt idx="6">
                  <c:v>0.15565000000000001</c:v>
                </c:pt>
                <c:pt idx="7">
                  <c:v>0.21842499999999998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49-4E27-BD3E-7DC72024F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6"/>
          <c:order val="5"/>
          <c:tx>
            <c:strRef>
              <c:f>'Growth Parameter graphs'!$C$13:$D$13</c:f>
              <c:strCache>
                <c:ptCount val="1"/>
                <c:pt idx="0">
                  <c:v>Surface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graphs'!$D$15:$D$22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0.92558643572602706</c:v>
                  </c:pt>
                  <c:pt idx="3">
                    <c:v>1.6263065260480996</c:v>
                  </c:pt>
                  <c:pt idx="4">
                    <c:v>1.7562668741775365</c:v>
                  </c:pt>
                  <c:pt idx="5">
                    <c:v>2.0998011612214009</c:v>
                  </c:pt>
                  <c:pt idx="6">
                    <c:v>3.652865404948106</c:v>
                  </c:pt>
                  <c:pt idx="7">
                    <c:v>2.3868222074549248</c:v>
                  </c:pt>
                </c:numCache>
              </c:numRef>
            </c:plus>
            <c:minus>
              <c:numRef>
                <c:f>'Growth Parameter graphs'!$D$15:$D$22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0.92558643572602706</c:v>
                  </c:pt>
                  <c:pt idx="3">
                    <c:v>1.6263065260480996</c:v>
                  </c:pt>
                  <c:pt idx="4">
                    <c:v>1.7562668741775365</c:v>
                  </c:pt>
                  <c:pt idx="5">
                    <c:v>2.0998011612214009</c:v>
                  </c:pt>
                  <c:pt idx="6">
                    <c:v>3.652865404948106</c:v>
                  </c:pt>
                  <c:pt idx="7">
                    <c:v>2.3868222074549248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graphs'!$C$15:$C$22</c:f>
              <c:numCache>
                <c:formatCode>General</c:formatCode>
                <c:ptCount val="8"/>
                <c:pt idx="0">
                  <c:v>3.8325000000000005</c:v>
                </c:pt>
                <c:pt idx="1">
                  <c:v>5.6814999999999998</c:v>
                </c:pt>
                <c:pt idx="2">
                  <c:v>7.0022499999999992</c:v>
                </c:pt>
                <c:pt idx="3">
                  <c:v>11.960750000000001</c:v>
                </c:pt>
                <c:pt idx="4">
                  <c:v>15.166</c:v>
                </c:pt>
                <c:pt idx="5">
                  <c:v>18.02075</c:v>
                </c:pt>
                <c:pt idx="6">
                  <c:v>19.298500000000001</c:v>
                </c:pt>
                <c:pt idx="7">
                  <c:v>21.296749999999999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9-4E27-BD3E-7DC72024F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1456"/>
        <c:axId val="40755104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0.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Weight (g)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.000000000000001E-2"/>
      </c:valAx>
      <c:valAx>
        <c:axId val="407551040"/>
        <c:scaling>
          <c:orientation val="minMax"/>
          <c:max val="2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(cm</a:t>
                </a:r>
                <a:r>
                  <a:rPr lang="es-ES" baseline="30000"/>
                  <a:t>2</a:t>
                </a:r>
                <a:r>
                  <a:rPr lang="es-ES"/>
                  <a:t>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midCat"/>
      </c:valAx>
      <c:val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graphs'!$A$24</c:f>
          <c:strCache>
            <c:ptCount val="1"/>
            <c:pt idx="0">
              <c:v>Medium Light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49BE-887B-FA87939AF3A1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49BE-887B-FA87939AF3A1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D-49BE-887B-FA87939AF3A1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D-49BE-887B-FA87939AF3A1}"/>
            </c:ext>
          </c:extLst>
        </c:ser>
        <c:ser>
          <c:idx val="5"/>
          <c:order val="4"/>
          <c:tx>
            <c:strRef>
              <c:f>'Growth Parameter graphs'!$E$13:$F$13</c:f>
              <c:strCache>
                <c:ptCount val="1"/>
                <c:pt idx="0">
                  <c:v>Wet Weight</c:v>
                </c:pt>
              </c:strCache>
            </c:strRef>
          </c:tx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graphs'!$F$27:$F$34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5.7846780377130763E-3</c:v>
                  </c:pt>
                  <c:pt idx="3">
                    <c:v>1.1200892821556617E-2</c:v>
                  </c:pt>
                  <c:pt idx="4">
                    <c:v>2.3019756007974145E-2</c:v>
                  </c:pt>
                  <c:pt idx="5">
                    <c:v>1.3784864888710372E-2</c:v>
                  </c:pt>
                  <c:pt idx="6">
                    <c:v>1.7738352986302486E-2</c:v>
                  </c:pt>
                  <c:pt idx="7">
                    <c:v>1.7965429765710212E-2</c:v>
                  </c:pt>
                </c:numCache>
              </c:numRef>
            </c:plus>
            <c:minus>
              <c:numRef>
                <c:f>'Growth Parameter graphs'!$F$27:$F$34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5.7846780377130763E-3</c:v>
                  </c:pt>
                  <c:pt idx="3">
                    <c:v>1.1200892821556617E-2</c:v>
                  </c:pt>
                  <c:pt idx="4">
                    <c:v>2.3019756007974145E-2</c:v>
                  </c:pt>
                  <c:pt idx="5">
                    <c:v>1.3784864888710372E-2</c:v>
                  </c:pt>
                  <c:pt idx="6">
                    <c:v>1.7738352986302486E-2</c:v>
                  </c:pt>
                  <c:pt idx="7">
                    <c:v>1.7965429765710212E-2</c:v>
                  </c:pt>
                </c:numCache>
              </c:numRef>
            </c:minus>
          </c:errBars>
          <c:xVal>
            <c:numRef>
              <c:f>'Growth Parameter graphs'!$B$27:$B$34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graphs'!$E$27:$E$34</c:f>
              <c:numCache>
                <c:formatCode>General</c:formatCode>
                <c:ptCount val="8"/>
                <c:pt idx="0">
                  <c:v>1.9975E-2</c:v>
                </c:pt>
                <c:pt idx="1">
                  <c:v>4.2550000000000004E-2</c:v>
                </c:pt>
                <c:pt idx="2">
                  <c:v>7.292499999999999E-2</c:v>
                </c:pt>
                <c:pt idx="3">
                  <c:v>9.5200000000000007E-2</c:v>
                </c:pt>
                <c:pt idx="4">
                  <c:v>0.16297500000000001</c:v>
                </c:pt>
                <c:pt idx="5">
                  <c:v>0.174175</c:v>
                </c:pt>
                <c:pt idx="6">
                  <c:v>0.155225</c:v>
                </c:pt>
                <c:pt idx="7">
                  <c:v>0.21435000000000001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49BE-887B-FA87939A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6"/>
          <c:order val="5"/>
          <c:tx>
            <c:strRef>
              <c:f>'Growth Parameter graphs'!$C$13:$D$13</c:f>
              <c:strCache>
                <c:ptCount val="1"/>
                <c:pt idx="0">
                  <c:v>Surface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graphs'!$D$27:$D$34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1.9229443353011171</c:v>
                  </c:pt>
                  <c:pt idx="3">
                    <c:v>2.267821770627783</c:v>
                  </c:pt>
                  <c:pt idx="4">
                    <c:v>3.4706344640905944</c:v>
                  </c:pt>
                  <c:pt idx="5">
                    <c:v>2.2111999758803655</c:v>
                  </c:pt>
                  <c:pt idx="6">
                    <c:v>2.4361665754486688</c:v>
                  </c:pt>
                  <c:pt idx="7">
                    <c:v>2.485413312375496</c:v>
                  </c:pt>
                </c:numCache>
              </c:numRef>
            </c:plus>
            <c:minus>
              <c:numRef>
                <c:f>'Growth Parameter graphs'!$D$27:$D$34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1.9229443353011171</c:v>
                  </c:pt>
                  <c:pt idx="3">
                    <c:v>2.267821770627783</c:v>
                  </c:pt>
                  <c:pt idx="4">
                    <c:v>3.4706344640905944</c:v>
                  </c:pt>
                  <c:pt idx="5">
                    <c:v>2.2111999758803655</c:v>
                  </c:pt>
                  <c:pt idx="6">
                    <c:v>2.4361665754486688</c:v>
                  </c:pt>
                  <c:pt idx="7">
                    <c:v>2.485413312375496</c:v>
                  </c:pt>
                </c:numCache>
              </c:numRef>
            </c:minus>
          </c:errBars>
          <c:xVal>
            <c:numRef>
              <c:f>'Growth Parameter graphs'!$B$27:$B$34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graphs'!$C$27:$C$34</c:f>
              <c:numCache>
                <c:formatCode>General</c:formatCode>
                <c:ptCount val="8"/>
                <c:pt idx="0">
                  <c:v>3.8325000000000005</c:v>
                </c:pt>
                <c:pt idx="1">
                  <c:v>5.6814999999999998</c:v>
                </c:pt>
                <c:pt idx="2">
                  <c:v>7.7407500000000002</c:v>
                </c:pt>
                <c:pt idx="3">
                  <c:v>11.462250000000001</c:v>
                </c:pt>
                <c:pt idx="4">
                  <c:v>17.80275</c:v>
                </c:pt>
                <c:pt idx="5">
                  <c:v>19.234000000000002</c:v>
                </c:pt>
                <c:pt idx="6">
                  <c:v>15.403250000000002</c:v>
                </c:pt>
                <c:pt idx="7">
                  <c:v>22.145000000000003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9D-49BE-887B-FA87939A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1456"/>
        <c:axId val="40755104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0.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Weight (g)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.000000000000001E-2"/>
      </c:valAx>
      <c:valAx>
        <c:axId val="407551040"/>
        <c:scaling>
          <c:orientation val="minMax"/>
          <c:max val="2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(cm</a:t>
                </a:r>
                <a:r>
                  <a:rPr lang="es-ES" baseline="30000"/>
                  <a:t>2</a:t>
                </a:r>
                <a:r>
                  <a:rPr lang="es-ES"/>
                  <a:t>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midCat"/>
      </c:valAx>
      <c:val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graphs'!$A$36</c:f>
          <c:strCache>
            <c:ptCount val="1"/>
            <c:pt idx="0">
              <c:v>Low Light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9-4443-AAAE-0B39F82FCEF5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9-4443-AAAE-0B39F82FCEF5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9-4443-AAAE-0B39F82FCEF5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9-4443-AAAE-0B39F82FCEF5}"/>
            </c:ext>
          </c:extLst>
        </c:ser>
        <c:ser>
          <c:idx val="5"/>
          <c:order val="4"/>
          <c:tx>
            <c:strRef>
              <c:f>'Growth Parameter graphs'!$E$13:$F$13</c:f>
              <c:strCache>
                <c:ptCount val="1"/>
                <c:pt idx="0">
                  <c:v>Wet Weight</c:v>
                </c:pt>
              </c:strCache>
            </c:strRef>
          </c:tx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graphs'!$F$39:$F$46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1.0340011283036977E-2</c:v>
                  </c:pt>
                  <c:pt idx="3">
                    <c:v>6.8830104847612573E-3</c:v>
                  </c:pt>
                  <c:pt idx="4">
                    <c:v>1.6681801461472912E-2</c:v>
                  </c:pt>
                  <c:pt idx="5">
                    <c:v>1.1818206293680951E-2</c:v>
                  </c:pt>
                  <c:pt idx="6">
                    <c:v>1.0840971666168433E-2</c:v>
                  </c:pt>
                  <c:pt idx="7">
                    <c:v>1.4631586835792394E-2</c:v>
                  </c:pt>
                </c:numCache>
              </c:numRef>
            </c:plus>
            <c:minus>
              <c:numRef>
                <c:f>'Growth Parameter graphs'!$F$39:$F$46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1.0340011283036977E-2</c:v>
                  </c:pt>
                  <c:pt idx="3">
                    <c:v>6.8830104847612573E-3</c:v>
                  </c:pt>
                  <c:pt idx="4">
                    <c:v>1.6681801461472912E-2</c:v>
                  </c:pt>
                  <c:pt idx="5">
                    <c:v>1.1818206293680951E-2</c:v>
                  </c:pt>
                  <c:pt idx="6">
                    <c:v>1.0840971666168433E-2</c:v>
                  </c:pt>
                  <c:pt idx="7">
                    <c:v>1.4631586835792394E-2</c:v>
                  </c:pt>
                </c:numCache>
              </c:numRef>
            </c:minus>
          </c:errBars>
          <c:xVal>
            <c:numRef>
              <c:f>'Growth Parameter graphs'!$B$39:$B$46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graphs'!$E$39:$E$46</c:f>
              <c:numCache>
                <c:formatCode>General</c:formatCode>
                <c:ptCount val="8"/>
                <c:pt idx="0">
                  <c:v>1.9975E-2</c:v>
                </c:pt>
                <c:pt idx="1">
                  <c:v>4.2550000000000004E-2</c:v>
                </c:pt>
                <c:pt idx="2">
                  <c:v>6.9025000000000003E-2</c:v>
                </c:pt>
                <c:pt idx="3">
                  <c:v>9.2374999999999999E-2</c:v>
                </c:pt>
                <c:pt idx="4">
                  <c:v>0.140125</c:v>
                </c:pt>
                <c:pt idx="5">
                  <c:v>0.14434999999999998</c:v>
                </c:pt>
                <c:pt idx="6">
                  <c:v>0.1353</c:v>
                </c:pt>
                <c:pt idx="7">
                  <c:v>0.18434999999999999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9-4443-AAAE-0B39F82F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6"/>
          <c:order val="5"/>
          <c:tx>
            <c:strRef>
              <c:f>'Growth Parameter graphs'!$C$13:$D$13</c:f>
              <c:strCache>
                <c:ptCount val="1"/>
                <c:pt idx="0">
                  <c:v>Surface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graphs'!$D$39:$D$46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1.063090620157412</c:v>
                  </c:pt>
                  <c:pt idx="3">
                    <c:v>1.7899622668276216</c:v>
                  </c:pt>
                  <c:pt idx="4">
                    <c:v>2.9706613180681991</c:v>
                  </c:pt>
                  <c:pt idx="5">
                    <c:v>1.5448698704637442</c:v>
                  </c:pt>
                  <c:pt idx="6">
                    <c:v>1.7621458509442396</c:v>
                  </c:pt>
                  <c:pt idx="7">
                    <c:v>1.8649090013545784</c:v>
                  </c:pt>
                </c:numCache>
              </c:numRef>
            </c:plus>
            <c:minus>
              <c:numRef>
                <c:f>'Growth Parameter graphs'!$D$39:$D$46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1.063090620157412</c:v>
                  </c:pt>
                  <c:pt idx="3">
                    <c:v>1.7899622668276216</c:v>
                  </c:pt>
                  <c:pt idx="4">
                    <c:v>2.9706613180681991</c:v>
                  </c:pt>
                  <c:pt idx="5">
                    <c:v>1.5448698704637442</c:v>
                  </c:pt>
                  <c:pt idx="6">
                    <c:v>1.7621458509442396</c:v>
                  </c:pt>
                  <c:pt idx="7">
                    <c:v>1.8649090013545784</c:v>
                  </c:pt>
                </c:numCache>
              </c:numRef>
            </c:minus>
          </c:errBars>
          <c:xVal>
            <c:numRef>
              <c:f>'Growth Parameter graphs'!$B$39:$B$46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graphs'!$C$39:$C$46</c:f>
              <c:numCache>
                <c:formatCode>General</c:formatCode>
                <c:ptCount val="8"/>
                <c:pt idx="0">
                  <c:v>3.8325000000000005</c:v>
                </c:pt>
                <c:pt idx="1">
                  <c:v>5.6814999999999998</c:v>
                </c:pt>
                <c:pt idx="2">
                  <c:v>7.5724999999999998</c:v>
                </c:pt>
                <c:pt idx="3">
                  <c:v>11.136749999999999</c:v>
                </c:pt>
                <c:pt idx="4">
                  <c:v>16.052</c:v>
                </c:pt>
                <c:pt idx="5">
                  <c:v>15.067250000000001</c:v>
                </c:pt>
                <c:pt idx="6">
                  <c:v>13.05</c:v>
                </c:pt>
                <c:pt idx="7">
                  <c:v>17.59525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9-4443-AAAE-0B39F82F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1456"/>
        <c:axId val="40755104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0.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Weight (g)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.000000000000001E-2"/>
      </c:valAx>
      <c:valAx>
        <c:axId val="407551040"/>
        <c:scaling>
          <c:orientation val="minMax"/>
          <c:max val="2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(cm</a:t>
                </a:r>
                <a:r>
                  <a:rPr lang="es-ES" baseline="30000"/>
                  <a:t>2</a:t>
                </a:r>
                <a:r>
                  <a:rPr lang="es-ES"/>
                  <a:t>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midCat"/>
      </c:valAx>
      <c:val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graphs'!$A$48</c:f>
          <c:strCache>
            <c:ptCount val="1"/>
            <c:pt idx="0">
              <c:v>Darkness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A-4958-8D79-C327FF7723DC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A-4958-8D79-C327FF7723DC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A-4958-8D79-C327FF7723DC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5A-4958-8D79-C327FF7723DC}"/>
            </c:ext>
          </c:extLst>
        </c:ser>
        <c:ser>
          <c:idx val="5"/>
          <c:order val="4"/>
          <c:tx>
            <c:strRef>
              <c:f>'Growth Parameter graphs'!$E$13:$F$13</c:f>
              <c:strCache>
                <c:ptCount val="1"/>
                <c:pt idx="0">
                  <c:v>Wet Weight</c:v>
                </c:pt>
              </c:strCache>
            </c:strRef>
          </c:tx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graphs'!$F$51:$F$58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9.2184597411932179E-3</c:v>
                  </c:pt>
                  <c:pt idx="3">
                    <c:v>1.1192110316349353E-2</c:v>
                  </c:pt>
                  <c:pt idx="4">
                    <c:v>9.9310959448927361E-3</c:v>
                  </c:pt>
                  <c:pt idx="5">
                    <c:v>1.2550962778475073E-2</c:v>
                  </c:pt>
                  <c:pt idx="6">
                    <c:v>1.3496264915400381E-2</c:v>
                  </c:pt>
                  <c:pt idx="7">
                    <c:v>5.8431583925134161E-3</c:v>
                  </c:pt>
                </c:numCache>
              </c:numRef>
            </c:plus>
            <c:minus>
              <c:numRef>
                <c:f>'Growth Parameter graphs'!$F$51:$F$58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9.2184597411932179E-3</c:v>
                  </c:pt>
                  <c:pt idx="3">
                    <c:v>1.1192110316349353E-2</c:v>
                  </c:pt>
                  <c:pt idx="4">
                    <c:v>9.9310959448927361E-3</c:v>
                  </c:pt>
                  <c:pt idx="5">
                    <c:v>1.2550962778475073E-2</c:v>
                  </c:pt>
                  <c:pt idx="6">
                    <c:v>1.3496264915400381E-2</c:v>
                  </c:pt>
                  <c:pt idx="7">
                    <c:v>5.8431583925134161E-3</c:v>
                  </c:pt>
                </c:numCache>
              </c:numRef>
            </c:minus>
          </c:errBars>
          <c:xVal>
            <c:numRef>
              <c:f>'Growth Parameter graphs'!$B$51:$B$58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graphs'!$E$51:$E$58</c:f>
              <c:numCache>
                <c:formatCode>General</c:formatCode>
                <c:ptCount val="8"/>
                <c:pt idx="0">
                  <c:v>1.9975E-2</c:v>
                </c:pt>
                <c:pt idx="1">
                  <c:v>4.2550000000000004E-2</c:v>
                </c:pt>
                <c:pt idx="2">
                  <c:v>5.6799999999999996E-2</c:v>
                </c:pt>
                <c:pt idx="3">
                  <c:v>6.3049999999999995E-2</c:v>
                </c:pt>
                <c:pt idx="4">
                  <c:v>6.8500000000000005E-2</c:v>
                </c:pt>
                <c:pt idx="5">
                  <c:v>6.2799999999999995E-2</c:v>
                </c:pt>
                <c:pt idx="6">
                  <c:v>6.1675000000000001E-2</c:v>
                </c:pt>
                <c:pt idx="7">
                  <c:v>7.2075E-2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5A-4958-8D79-C327FF77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6"/>
          <c:order val="5"/>
          <c:tx>
            <c:strRef>
              <c:f>'Growth Parameter graphs'!$C$13:$D$13</c:f>
              <c:strCache>
                <c:ptCount val="1"/>
                <c:pt idx="0">
                  <c:v>Surface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graphs'!$D$51:$D$58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1.2179482747637536</c:v>
                  </c:pt>
                  <c:pt idx="3">
                    <c:v>0.78052306179894526</c:v>
                  </c:pt>
                  <c:pt idx="4">
                    <c:v>0.86222401381543423</c:v>
                  </c:pt>
                  <c:pt idx="5">
                    <c:v>0.90217182398920093</c:v>
                  </c:pt>
                  <c:pt idx="6">
                    <c:v>0.983668982263179</c:v>
                  </c:pt>
                  <c:pt idx="7">
                    <c:v>0.35996110901040423</c:v>
                  </c:pt>
                </c:numCache>
              </c:numRef>
            </c:plus>
            <c:minus>
              <c:numRef>
                <c:f>'Growth Parameter graphs'!$D$51:$D$58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1.2179482747637536</c:v>
                  </c:pt>
                  <c:pt idx="3">
                    <c:v>0.78052306179894526</c:v>
                  </c:pt>
                  <c:pt idx="4">
                    <c:v>0.86222401381543423</c:v>
                  </c:pt>
                  <c:pt idx="5">
                    <c:v>0.90217182398920093</c:v>
                  </c:pt>
                  <c:pt idx="6">
                    <c:v>0.983668982263179</c:v>
                  </c:pt>
                  <c:pt idx="7">
                    <c:v>0.35996110901040423</c:v>
                  </c:pt>
                </c:numCache>
              </c:numRef>
            </c:minus>
          </c:errBars>
          <c:xVal>
            <c:numRef>
              <c:f>'Growth Parameter graphs'!$B$51:$B$58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graphs'!$C$51:$C$58</c:f>
              <c:numCache>
                <c:formatCode>General</c:formatCode>
                <c:ptCount val="8"/>
                <c:pt idx="0">
                  <c:v>3.8325000000000005</c:v>
                </c:pt>
                <c:pt idx="1">
                  <c:v>5.6814999999999998</c:v>
                </c:pt>
                <c:pt idx="2">
                  <c:v>6.7490000000000006</c:v>
                </c:pt>
                <c:pt idx="3">
                  <c:v>6.7297500000000001</c:v>
                </c:pt>
                <c:pt idx="4">
                  <c:v>7.04575</c:v>
                </c:pt>
                <c:pt idx="5">
                  <c:v>6.3029999999999999</c:v>
                </c:pt>
                <c:pt idx="6">
                  <c:v>5.9359999999999999</c:v>
                </c:pt>
                <c:pt idx="7">
                  <c:v>7.0270000000000001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5A-4958-8D79-C327FF77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1456"/>
        <c:axId val="40755104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0.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Weight (g)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.000000000000001E-2"/>
      </c:valAx>
      <c:valAx>
        <c:axId val="407551040"/>
        <c:scaling>
          <c:orientation val="minMax"/>
          <c:max val="2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(cm</a:t>
                </a:r>
                <a:r>
                  <a:rPr lang="es-ES" baseline="30000"/>
                  <a:t>2</a:t>
                </a:r>
                <a:r>
                  <a:rPr lang="es-ES"/>
                  <a:t>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midCat"/>
      </c:valAx>
      <c:val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72974586722834067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1C7A-4D83-827D-7A1AAC97C720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A-4D83-827D-7A1AAC97C720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A-4D83-827D-7A1AAC97C720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A-4D83-827D-7A1AAC97C720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A-4D83-827D-7A1AAC97C720}"/>
            </c:ext>
          </c:extLst>
        </c:ser>
        <c:ser>
          <c:idx val="6"/>
          <c:order val="4"/>
          <c:tx>
            <c:strRef>
              <c:f>'Plate Plating graphs'!$I$20:$J$20</c:f>
              <c:strCache>
                <c:ptCount val="1"/>
                <c:pt idx="0">
                  <c:v>Total Bacteria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graphs'!$J$22:$J$29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0.46824044512266183</c:v>
                  </c:pt>
                  <c:pt idx="3">
                    <c:v>0.34449362381142734</c:v>
                  </c:pt>
                  <c:pt idx="4">
                    <c:v>0.2477607619363244</c:v>
                  </c:pt>
                  <c:pt idx="5">
                    <c:v>0.45128343108290614</c:v>
                  </c:pt>
                  <c:pt idx="6">
                    <c:v>0.27151598932772708</c:v>
                  </c:pt>
                  <c:pt idx="7">
                    <c:v>0.14973436660176775</c:v>
                  </c:pt>
                </c:numCache>
              </c:numRef>
            </c:plus>
            <c:minus>
              <c:numRef>
                <c:f>'Plate Plating graphs'!$J$22:$J$29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0.46824044512266183</c:v>
                  </c:pt>
                  <c:pt idx="3">
                    <c:v>0.34449362381142734</c:v>
                  </c:pt>
                  <c:pt idx="4">
                    <c:v>0.2477607619363244</c:v>
                  </c:pt>
                  <c:pt idx="5">
                    <c:v>0.45128343108290614</c:v>
                  </c:pt>
                  <c:pt idx="6">
                    <c:v>0.27151598932772708</c:v>
                  </c:pt>
                  <c:pt idx="7">
                    <c:v>0.14973436660176775</c:v>
                  </c:pt>
                </c:numCache>
              </c:numRef>
            </c:minus>
          </c:errBars>
          <c:xVal>
            <c:numRef>
              <c:f>'Plate Plating graphs'!$B$22:$B$29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graphs'!$I$22:$I$29</c:f>
              <c:numCache>
                <c:formatCode>General</c:formatCode>
                <c:ptCount val="8"/>
                <c:pt idx="0">
                  <c:v>2.2933362617677648</c:v>
                </c:pt>
                <c:pt idx="1">
                  <c:v>5.2778764935032267</c:v>
                </c:pt>
                <c:pt idx="2">
                  <c:v>5.17054888022124</c:v>
                </c:pt>
                <c:pt idx="3">
                  <c:v>6.6079048954393418</c:v>
                </c:pt>
                <c:pt idx="4">
                  <c:v>5.1964058829350286</c:v>
                </c:pt>
                <c:pt idx="5">
                  <c:v>5.255015146804574</c:v>
                </c:pt>
                <c:pt idx="6">
                  <c:v>5.6955160182380533</c:v>
                </c:pt>
                <c:pt idx="7">
                  <c:v>5.2871602753941191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7A-4D83-827D-7A1AAC97C720}"/>
            </c:ext>
          </c:extLst>
        </c:ser>
        <c:ser>
          <c:idx val="5"/>
          <c:order val="5"/>
          <c:tx>
            <c:strRef>
              <c:f>'Plate Plating graphs'!$G$20:$H$20</c:f>
              <c:strCache>
                <c:ptCount val="1"/>
                <c:pt idx="0">
                  <c:v>Phaeobacter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10"/>
            <c:spPr>
              <a:solidFill>
                <a:srgbClr val="80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graphs'!$H$22:$H$29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0.32006804429898611</c:v>
                  </c:pt>
                  <c:pt idx="4">
                    <c:v>0.30327203084872884</c:v>
                  </c:pt>
                  <c:pt idx="5">
                    <c:v>0.52836415860439123</c:v>
                  </c:pt>
                  <c:pt idx="6">
                    <c:v>0.44636743267898332</c:v>
                  </c:pt>
                  <c:pt idx="7">
                    <c:v>0.89275500229760074</c:v>
                  </c:pt>
                </c:numCache>
              </c:numRef>
            </c:plus>
            <c:minus>
              <c:numRef>
                <c:f>'Plate Plating graphs'!$H$22:$H$29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0.32006804429898611</c:v>
                  </c:pt>
                  <c:pt idx="4">
                    <c:v>0.30327203084872884</c:v>
                  </c:pt>
                  <c:pt idx="5">
                    <c:v>0.52836415860439123</c:v>
                  </c:pt>
                  <c:pt idx="6">
                    <c:v>0.44636743267898332</c:v>
                  </c:pt>
                  <c:pt idx="7">
                    <c:v>0.89275500229760074</c:v>
                  </c:pt>
                </c:numCache>
              </c:numRef>
            </c:minus>
          </c:errBars>
          <c:xVal>
            <c:numRef>
              <c:f>'Plate Plating graphs'!$B$22:$B$29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graphs'!$G$22:$G$29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6.4834205199176189</c:v>
                </c:pt>
                <c:pt idx="4">
                  <c:v>4.9692955074416698</c:v>
                </c:pt>
                <c:pt idx="5">
                  <c:v>4.4000281053702519</c:v>
                </c:pt>
                <c:pt idx="6">
                  <c:v>4.3443702149060002</c:v>
                </c:pt>
                <c:pt idx="7">
                  <c:v>3.8732207110405596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7A-4D83-827D-7A1AAC97C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8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>
                  <a:defRPr sz="1200"/>
                </a:pPr>
                <a:r>
                  <a:rPr lang="en-GB" sz="1200" b="1" i="0" baseline="0">
                    <a:effectLst/>
                  </a:rPr>
                  <a:t>Bacteria abundance      (Log</a:t>
                </a:r>
                <a:r>
                  <a:rPr lang="en-GB" sz="1200" b="1" i="0" baseline="-25000">
                    <a:effectLst/>
                  </a:rPr>
                  <a:t>10</a:t>
                </a:r>
                <a:r>
                  <a:rPr lang="en-GB" sz="1200" b="1" i="0" baseline="0">
                    <a:effectLst/>
                  </a:rPr>
                  <a:t> CFU/cm</a:t>
                </a:r>
                <a:r>
                  <a:rPr lang="en-GB" sz="1200" b="1" i="0" baseline="30000">
                    <a:effectLst/>
                  </a:rPr>
                  <a:t>2</a:t>
                </a:r>
                <a:r>
                  <a:rPr lang="en-GB" sz="1200" b="1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txPr>
          <a:bodyPr/>
          <a:lstStyle/>
          <a:p>
            <a:pPr>
              <a:defRPr sz="1100" i="1"/>
            </a:pPr>
            <a:endParaRPr lang="pt-PT"/>
          </a:p>
        </c:txPr>
      </c:legendEntry>
      <c:layout>
        <c:manualLayout>
          <c:xMode val="edge"/>
          <c:yMode val="edge"/>
          <c:x val="5.0000120628384263E-2"/>
          <c:y val="0.90781422120895017"/>
          <c:w val="0.89999975874323146"/>
          <c:h val="8.990473770819507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72974586722834067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BD8A-4D34-9146-D70DB2F7AD8A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A-4D34-9146-D70DB2F7AD8A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8A-4D34-9146-D70DB2F7AD8A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A-4D34-9146-D70DB2F7AD8A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8A-4D34-9146-D70DB2F7AD8A}"/>
            </c:ext>
          </c:extLst>
        </c:ser>
        <c:ser>
          <c:idx val="6"/>
          <c:order val="4"/>
          <c:tx>
            <c:strRef>
              <c:f>'Plate Plating graphs'!$I$20:$J$20</c:f>
              <c:strCache>
                <c:ptCount val="1"/>
                <c:pt idx="0">
                  <c:v>Total Bacteria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graphs'!$J$34:$J$41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0.53515650501746503</c:v>
                  </c:pt>
                  <c:pt idx="3">
                    <c:v>0.19995315054652538</c:v>
                  </c:pt>
                  <c:pt idx="4">
                    <c:v>0.28522991706190992</c:v>
                  </c:pt>
                  <c:pt idx="5">
                    <c:v>0.27014834767870433</c:v>
                  </c:pt>
                  <c:pt idx="6">
                    <c:v>0.19939963351501946</c:v>
                  </c:pt>
                  <c:pt idx="7">
                    <c:v>0.21750658825525176</c:v>
                  </c:pt>
                </c:numCache>
              </c:numRef>
            </c:plus>
            <c:minus>
              <c:numRef>
                <c:f>'Plate Plating graphs'!$J$34:$J$41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0.53515650501746503</c:v>
                  </c:pt>
                  <c:pt idx="3">
                    <c:v>0.19995315054652538</c:v>
                  </c:pt>
                  <c:pt idx="4">
                    <c:v>0.28522991706190992</c:v>
                  </c:pt>
                  <c:pt idx="5">
                    <c:v>0.27014834767870433</c:v>
                  </c:pt>
                  <c:pt idx="6">
                    <c:v>0.19939963351501946</c:v>
                  </c:pt>
                  <c:pt idx="7">
                    <c:v>0.21750658825525176</c:v>
                  </c:pt>
                </c:numCache>
              </c:numRef>
            </c:minus>
          </c:errBars>
          <c:xVal>
            <c:numRef>
              <c:f>'Plate Plating graphs'!$B$34:$B$41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graphs'!$I$34:$I$41</c:f>
              <c:numCache>
                <c:formatCode>General</c:formatCode>
                <c:ptCount val="8"/>
                <c:pt idx="0">
                  <c:v>2.2933362617677648</c:v>
                </c:pt>
                <c:pt idx="1">
                  <c:v>5.2778764935032267</c:v>
                </c:pt>
                <c:pt idx="2">
                  <c:v>4.9815593278044226</c:v>
                </c:pt>
                <c:pt idx="3">
                  <c:v>6.1955745541306024</c:v>
                </c:pt>
                <c:pt idx="4">
                  <c:v>5.3433187941834213</c:v>
                </c:pt>
                <c:pt idx="5">
                  <c:v>5.0944899832351673</c:v>
                </c:pt>
                <c:pt idx="6">
                  <c:v>5.4612502589272331</c:v>
                </c:pt>
                <c:pt idx="7">
                  <c:v>5.5026810499408576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8A-4D34-9146-D70DB2F7AD8A}"/>
            </c:ext>
          </c:extLst>
        </c:ser>
        <c:ser>
          <c:idx val="5"/>
          <c:order val="5"/>
          <c:tx>
            <c:strRef>
              <c:f>'Plate Plating graphs'!$G$20:$H$20</c:f>
              <c:strCache>
                <c:ptCount val="1"/>
                <c:pt idx="0">
                  <c:v>Phaeobacter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10"/>
            <c:spPr>
              <a:solidFill>
                <a:srgbClr val="80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graphs'!$H$34:$H$41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0.25311443436663156</c:v>
                  </c:pt>
                  <c:pt idx="4">
                    <c:v>0.74268681597096486</c:v>
                  </c:pt>
                  <c:pt idx="5">
                    <c:v>0.36871715394739718</c:v>
                  </c:pt>
                  <c:pt idx="6">
                    <c:v>0.32301835625655367</c:v>
                  </c:pt>
                  <c:pt idx="7">
                    <c:v>0.69628459494744144</c:v>
                  </c:pt>
                </c:numCache>
              </c:numRef>
            </c:plus>
            <c:minus>
              <c:numRef>
                <c:f>'Plate Plating graphs'!$H$34:$H$41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0.25311443436663156</c:v>
                  </c:pt>
                  <c:pt idx="4">
                    <c:v>0.74268681597096486</c:v>
                  </c:pt>
                  <c:pt idx="5">
                    <c:v>0.36871715394739718</c:v>
                  </c:pt>
                  <c:pt idx="6">
                    <c:v>0.32301835625655367</c:v>
                  </c:pt>
                  <c:pt idx="7">
                    <c:v>0.69628459494744144</c:v>
                  </c:pt>
                </c:numCache>
              </c:numRef>
            </c:minus>
          </c:errBars>
          <c:xVal>
            <c:numRef>
              <c:f>'Plate Plating graphs'!$B$34:$B$41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graphs'!$G$34:$G$41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6.0768092768544681</c:v>
                </c:pt>
                <c:pt idx="4">
                  <c:v>4.6594588934795329</c:v>
                </c:pt>
                <c:pt idx="5">
                  <c:v>4.4617782508499166</c:v>
                </c:pt>
                <c:pt idx="6">
                  <c:v>4.913922137348929</c:v>
                </c:pt>
                <c:pt idx="7">
                  <c:v>4.0348501213435446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8A-4D34-9146-D70DB2F7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8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Bacteria abundance      (Log</a:t>
                </a:r>
                <a:r>
                  <a:rPr lang="en-GB" sz="1200" b="1" i="0" baseline="-25000">
                    <a:effectLst/>
                  </a:rPr>
                  <a:t>10</a:t>
                </a:r>
                <a:r>
                  <a:rPr lang="en-GB" sz="1200" b="1" i="0" baseline="0">
                    <a:effectLst/>
                  </a:rPr>
                  <a:t> CFU/cm</a:t>
                </a:r>
                <a:r>
                  <a:rPr lang="en-GB" sz="1200" b="1" i="0" baseline="30000">
                    <a:effectLst/>
                  </a:rPr>
                  <a:t>2</a:t>
                </a:r>
                <a:r>
                  <a:rPr lang="en-GB" sz="1200" b="1" i="0" baseline="0">
                    <a:effectLst/>
                  </a:rPr>
                  <a:t>) 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txPr>
          <a:bodyPr/>
          <a:lstStyle/>
          <a:p>
            <a:pPr>
              <a:defRPr sz="1100" i="1"/>
            </a:pPr>
            <a:endParaRPr lang="pt-PT"/>
          </a:p>
        </c:txPr>
      </c:legendEntry>
      <c:layout>
        <c:manualLayout>
          <c:xMode val="edge"/>
          <c:yMode val="edge"/>
          <c:x val="5.0000120628384263E-2"/>
          <c:y val="0.90781422120895017"/>
          <c:w val="0.89999975874323146"/>
          <c:h val="8.990473770819507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72974586722834067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F354-4EE4-A23F-43615317A457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4-4EE4-A23F-43615317A457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4-4EE4-A23F-43615317A457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4-4EE4-A23F-43615317A457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4-4EE4-A23F-43615317A457}"/>
            </c:ext>
          </c:extLst>
        </c:ser>
        <c:ser>
          <c:idx val="6"/>
          <c:order val="4"/>
          <c:tx>
            <c:strRef>
              <c:f>'Plate Plating graphs'!$I$20:$J$20</c:f>
              <c:strCache>
                <c:ptCount val="1"/>
                <c:pt idx="0">
                  <c:v>Total Bacteria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graphs'!$J$46:$J$53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0.43970295913111124</c:v>
                  </c:pt>
                  <c:pt idx="3">
                    <c:v>0.26916265983276033</c:v>
                  </c:pt>
                  <c:pt idx="4">
                    <c:v>0.50567696658364958</c:v>
                  </c:pt>
                  <c:pt idx="5">
                    <c:v>0.23217565394386599</c:v>
                  </c:pt>
                  <c:pt idx="6">
                    <c:v>0.29525390587711886</c:v>
                  </c:pt>
                  <c:pt idx="7">
                    <c:v>0.35067238756855373</c:v>
                  </c:pt>
                </c:numCache>
              </c:numRef>
            </c:plus>
            <c:minus>
              <c:numRef>
                <c:f>'Plate Plating graphs'!$J$46:$J$53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0.43970295913111124</c:v>
                  </c:pt>
                  <c:pt idx="3">
                    <c:v>0.26916265983276033</c:v>
                  </c:pt>
                  <c:pt idx="4">
                    <c:v>0.50567696658364958</c:v>
                  </c:pt>
                  <c:pt idx="5">
                    <c:v>0.23217565394386599</c:v>
                  </c:pt>
                  <c:pt idx="6">
                    <c:v>0.29525390587711886</c:v>
                  </c:pt>
                  <c:pt idx="7">
                    <c:v>0.35067238756855373</c:v>
                  </c:pt>
                </c:numCache>
              </c:numRef>
            </c:minus>
          </c:errBars>
          <c:xVal>
            <c:numRef>
              <c:f>'Plate Plating graphs'!$B$46:$B$53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graphs'!$I$46:$I$53</c:f>
              <c:numCache>
                <c:formatCode>General</c:formatCode>
                <c:ptCount val="8"/>
                <c:pt idx="0">
                  <c:v>2.2933362617677648</c:v>
                </c:pt>
                <c:pt idx="1">
                  <c:v>5.2778764935032267</c:v>
                </c:pt>
                <c:pt idx="2">
                  <c:v>4.5735920288538621</c:v>
                </c:pt>
                <c:pt idx="3">
                  <c:v>6.2427793441483477</c:v>
                </c:pt>
                <c:pt idx="4">
                  <c:v>5.2648348671715475</c:v>
                </c:pt>
                <c:pt idx="5">
                  <c:v>5.0816563738615397</c:v>
                </c:pt>
                <c:pt idx="6">
                  <c:v>5.7479812638829868</c:v>
                </c:pt>
                <c:pt idx="7">
                  <c:v>5.4178878899701637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4-4EE4-A23F-43615317A457}"/>
            </c:ext>
          </c:extLst>
        </c:ser>
        <c:ser>
          <c:idx val="5"/>
          <c:order val="5"/>
          <c:tx>
            <c:strRef>
              <c:f>'Plate Plating graphs'!$G$20:$H$20</c:f>
              <c:strCache>
                <c:ptCount val="1"/>
                <c:pt idx="0">
                  <c:v>Phaeobacter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10"/>
            <c:spPr>
              <a:solidFill>
                <a:srgbClr val="80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graphs'!$H$46:$H$53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0.29766817260400563</c:v>
                  </c:pt>
                  <c:pt idx="4">
                    <c:v>0.46898467047623532</c:v>
                  </c:pt>
                  <c:pt idx="5">
                    <c:v>0.2203420399898339</c:v>
                  </c:pt>
                  <c:pt idx="6">
                    <c:v>0.47284552426400694</c:v>
                  </c:pt>
                  <c:pt idx="7">
                    <c:v>0.78043308833110714</c:v>
                  </c:pt>
                </c:numCache>
              </c:numRef>
            </c:plus>
            <c:minus>
              <c:numRef>
                <c:f>'Plate Plating graphs'!$H$46:$H$53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0.29766817260400563</c:v>
                  </c:pt>
                  <c:pt idx="4">
                    <c:v>0.46898467047623532</c:v>
                  </c:pt>
                  <c:pt idx="5">
                    <c:v>0.2203420399898339</c:v>
                  </c:pt>
                  <c:pt idx="6">
                    <c:v>0.47284552426400694</c:v>
                  </c:pt>
                  <c:pt idx="7">
                    <c:v>0.78043308833110714</c:v>
                  </c:pt>
                </c:numCache>
              </c:numRef>
            </c:minus>
          </c:errBars>
          <c:xVal>
            <c:numRef>
              <c:f>'Plate Plating graphs'!$B$46:$B$53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graphs'!$G$46:$G$53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6.1426318960971518</c:v>
                </c:pt>
                <c:pt idx="4">
                  <c:v>4.7746786235796943</c:v>
                </c:pt>
                <c:pt idx="5">
                  <c:v>4.3298381466514391</c:v>
                </c:pt>
                <c:pt idx="6">
                  <c:v>5.2682456887302624</c:v>
                </c:pt>
                <c:pt idx="7">
                  <c:v>4.2795161562250303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4-4EE4-A23F-43615317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8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Bacteria abundance      (Log</a:t>
                </a:r>
                <a:r>
                  <a:rPr lang="en-GB" sz="1200" b="1" i="0" baseline="-25000">
                    <a:effectLst/>
                  </a:rPr>
                  <a:t>10</a:t>
                </a:r>
                <a:r>
                  <a:rPr lang="en-GB" sz="1200" b="1" i="0" baseline="0">
                    <a:effectLst/>
                  </a:rPr>
                  <a:t> CFU/cm</a:t>
                </a:r>
                <a:r>
                  <a:rPr lang="en-GB" sz="1200" b="1" i="0" baseline="30000">
                    <a:effectLst/>
                  </a:rPr>
                  <a:t>2</a:t>
                </a:r>
                <a:r>
                  <a:rPr lang="en-GB" sz="1200" b="1" i="0" baseline="0">
                    <a:effectLst/>
                  </a:rPr>
                  <a:t>) 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txPr>
          <a:bodyPr/>
          <a:lstStyle/>
          <a:p>
            <a:pPr>
              <a:defRPr sz="1100" i="1"/>
            </a:pPr>
            <a:endParaRPr lang="pt-PT"/>
          </a:p>
        </c:txPr>
      </c:legendEntry>
      <c:layout>
        <c:manualLayout>
          <c:xMode val="edge"/>
          <c:yMode val="edge"/>
          <c:x val="5.0000120628384263E-2"/>
          <c:y val="0.90781422120895017"/>
          <c:w val="0.89999975874323146"/>
          <c:h val="8.990473770819507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graphs'!$A$36</c:f>
          <c:strCache>
            <c:ptCount val="1"/>
            <c:pt idx="0">
              <c:v>Low Light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7C5-81B5-3408BAFD237E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7C5-81B5-3408BAFD237E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7C5-81B5-3408BAFD237E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90-47C5-81B5-3408BAFD237E}"/>
            </c:ext>
          </c:extLst>
        </c:ser>
        <c:ser>
          <c:idx val="5"/>
          <c:order val="4"/>
          <c:tx>
            <c:strRef>
              <c:f>'Growth Parameter graphs'!$E$13:$F$13</c:f>
              <c:strCache>
                <c:ptCount val="1"/>
                <c:pt idx="0">
                  <c:v>Wet Weight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graphs'!$F$39:$F$46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1.0340011283036977E-2</c:v>
                  </c:pt>
                  <c:pt idx="3">
                    <c:v>6.8830104847612573E-3</c:v>
                  </c:pt>
                  <c:pt idx="4">
                    <c:v>1.6681801461472912E-2</c:v>
                  </c:pt>
                  <c:pt idx="5">
                    <c:v>1.1818206293680951E-2</c:v>
                  </c:pt>
                  <c:pt idx="6">
                    <c:v>1.0840971666168433E-2</c:v>
                  </c:pt>
                  <c:pt idx="7">
                    <c:v>1.4631586835792394E-2</c:v>
                  </c:pt>
                </c:numCache>
              </c:numRef>
            </c:plus>
            <c:minus>
              <c:numRef>
                <c:f>'Growth Parameter graphs'!$F$39:$F$46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1.0340011283036977E-2</c:v>
                  </c:pt>
                  <c:pt idx="3">
                    <c:v>6.8830104847612573E-3</c:v>
                  </c:pt>
                  <c:pt idx="4">
                    <c:v>1.6681801461472912E-2</c:v>
                  </c:pt>
                  <c:pt idx="5">
                    <c:v>1.1818206293680951E-2</c:v>
                  </c:pt>
                  <c:pt idx="6">
                    <c:v>1.0840971666168433E-2</c:v>
                  </c:pt>
                  <c:pt idx="7">
                    <c:v>1.4631586835792394E-2</c:v>
                  </c:pt>
                </c:numCache>
              </c:numRef>
            </c:minus>
          </c:errBars>
          <c:xVal>
            <c:numRef>
              <c:f>'Growth Parameter graphs'!$B$39:$B$46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graphs'!$E$39:$E$46</c:f>
              <c:numCache>
                <c:formatCode>General</c:formatCode>
                <c:ptCount val="8"/>
                <c:pt idx="0">
                  <c:v>1.9975E-2</c:v>
                </c:pt>
                <c:pt idx="1">
                  <c:v>4.2550000000000004E-2</c:v>
                </c:pt>
                <c:pt idx="2">
                  <c:v>6.9025000000000003E-2</c:v>
                </c:pt>
                <c:pt idx="3">
                  <c:v>9.2374999999999999E-2</c:v>
                </c:pt>
                <c:pt idx="4">
                  <c:v>0.140125</c:v>
                </c:pt>
                <c:pt idx="5">
                  <c:v>0.14434999999999998</c:v>
                </c:pt>
                <c:pt idx="6">
                  <c:v>0.1353</c:v>
                </c:pt>
                <c:pt idx="7">
                  <c:v>0.18434999999999999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0-47C5-81B5-3408BAFD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6"/>
          <c:order val="5"/>
          <c:tx>
            <c:strRef>
              <c:f>'Growth Parameter graphs'!$C$13:$D$13</c:f>
              <c:strCache>
                <c:ptCount val="1"/>
                <c:pt idx="0">
                  <c:v>Surface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graphs'!$D$39:$D$46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1.063090620157412</c:v>
                  </c:pt>
                  <c:pt idx="3">
                    <c:v>1.7899622668276216</c:v>
                  </c:pt>
                  <c:pt idx="4">
                    <c:v>2.9706613180681991</c:v>
                  </c:pt>
                  <c:pt idx="5">
                    <c:v>1.5448698704637442</c:v>
                  </c:pt>
                  <c:pt idx="6">
                    <c:v>1.7621458509442396</c:v>
                  </c:pt>
                  <c:pt idx="7">
                    <c:v>1.8649090013545784</c:v>
                  </c:pt>
                </c:numCache>
              </c:numRef>
            </c:plus>
            <c:minus>
              <c:numRef>
                <c:f>'Growth Parameter graphs'!$D$39:$D$46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1.063090620157412</c:v>
                  </c:pt>
                  <c:pt idx="3">
                    <c:v>1.7899622668276216</c:v>
                  </c:pt>
                  <c:pt idx="4">
                    <c:v>2.9706613180681991</c:v>
                  </c:pt>
                  <c:pt idx="5">
                    <c:v>1.5448698704637442</c:v>
                  </c:pt>
                  <c:pt idx="6">
                    <c:v>1.7621458509442396</c:v>
                  </c:pt>
                  <c:pt idx="7">
                    <c:v>1.8649090013545784</c:v>
                  </c:pt>
                </c:numCache>
              </c:numRef>
            </c:minus>
          </c:errBars>
          <c:xVal>
            <c:numRef>
              <c:f>'Growth Parameter graphs'!$B$39:$B$46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graphs'!$C$39:$C$46</c:f>
              <c:numCache>
                <c:formatCode>General</c:formatCode>
                <c:ptCount val="8"/>
                <c:pt idx="0">
                  <c:v>3.8325000000000005</c:v>
                </c:pt>
                <c:pt idx="1">
                  <c:v>5.6814999999999998</c:v>
                </c:pt>
                <c:pt idx="2">
                  <c:v>7.5724999999999998</c:v>
                </c:pt>
                <c:pt idx="3">
                  <c:v>11.136749999999999</c:v>
                </c:pt>
                <c:pt idx="4">
                  <c:v>16.052</c:v>
                </c:pt>
                <c:pt idx="5">
                  <c:v>15.067250000000001</c:v>
                </c:pt>
                <c:pt idx="6">
                  <c:v>13.05</c:v>
                </c:pt>
                <c:pt idx="7">
                  <c:v>17.59525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0-47C5-81B5-3408BAFD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1456"/>
        <c:axId val="40755104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0.3000000000000000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Weight (g)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.000000000000001E-2"/>
      </c:valAx>
      <c:valAx>
        <c:axId val="407551040"/>
        <c:scaling>
          <c:orientation val="minMax"/>
          <c:max val="4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(cm</a:t>
                </a:r>
                <a:r>
                  <a:rPr lang="es-ES" baseline="30000"/>
                  <a:t>2</a:t>
                </a:r>
                <a:r>
                  <a:rPr lang="es-ES"/>
                  <a:t>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midCat"/>
      </c:valAx>
      <c:val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72974586722834067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2D37-4BFC-A16E-74BB7C1A6F06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7-4BFC-A16E-74BB7C1A6F06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7-4BFC-A16E-74BB7C1A6F06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37-4BFC-A16E-74BB7C1A6F06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37-4BFC-A16E-74BB7C1A6F06}"/>
            </c:ext>
          </c:extLst>
        </c:ser>
        <c:ser>
          <c:idx val="6"/>
          <c:order val="4"/>
          <c:tx>
            <c:strRef>
              <c:f>'Plate Plating graphs'!$I$20:$J$20</c:f>
              <c:strCache>
                <c:ptCount val="1"/>
                <c:pt idx="0">
                  <c:v>Total Bacteria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graphs'!$J$58:$J$65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0.79576797920634068</c:v>
                  </c:pt>
                  <c:pt idx="3">
                    <c:v>0.3938162247445649</c:v>
                  </c:pt>
                  <c:pt idx="4">
                    <c:v>7.3987461020953299E-2</c:v>
                  </c:pt>
                  <c:pt idx="5">
                    <c:v>0.23050234969630862</c:v>
                  </c:pt>
                  <c:pt idx="6">
                    <c:v>0.24227176108967624</c:v>
                  </c:pt>
                  <c:pt idx="7">
                    <c:v>0.32397441779789871</c:v>
                  </c:pt>
                </c:numCache>
              </c:numRef>
            </c:plus>
            <c:minus>
              <c:numRef>
                <c:f>'Plate Plating graphs'!$J$58:$J$65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0.79576797920634068</c:v>
                  </c:pt>
                  <c:pt idx="3">
                    <c:v>0.3938162247445649</c:v>
                  </c:pt>
                  <c:pt idx="4">
                    <c:v>7.3987461020953299E-2</c:v>
                  </c:pt>
                  <c:pt idx="5">
                    <c:v>0.23050234969630862</c:v>
                  </c:pt>
                  <c:pt idx="6">
                    <c:v>0.24227176108967624</c:v>
                  </c:pt>
                  <c:pt idx="7">
                    <c:v>0.32397441779789871</c:v>
                  </c:pt>
                </c:numCache>
              </c:numRef>
            </c:minus>
          </c:errBars>
          <c:xVal>
            <c:numRef>
              <c:f>'Plate Plating graphs'!$B$58:$B$65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graphs'!$I$58:$I$65</c:f>
              <c:numCache>
                <c:formatCode>General</c:formatCode>
                <c:ptCount val="8"/>
                <c:pt idx="0">
                  <c:v>2.2933362617677648</c:v>
                </c:pt>
                <c:pt idx="1">
                  <c:v>5.2778764935032267</c:v>
                </c:pt>
                <c:pt idx="2">
                  <c:v>4.6597923978330424</c:v>
                </c:pt>
                <c:pt idx="3">
                  <c:v>6.0008669875629419</c:v>
                </c:pt>
                <c:pt idx="4">
                  <c:v>5.5458623921229844</c:v>
                </c:pt>
                <c:pt idx="5">
                  <c:v>5.4433563620074725</c:v>
                </c:pt>
                <c:pt idx="6">
                  <c:v>5.8092184778399316</c:v>
                </c:pt>
                <c:pt idx="7">
                  <c:v>5.5855558717117164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37-4BFC-A16E-74BB7C1A6F06}"/>
            </c:ext>
          </c:extLst>
        </c:ser>
        <c:ser>
          <c:idx val="5"/>
          <c:order val="5"/>
          <c:tx>
            <c:strRef>
              <c:f>'Plate Plating graphs'!$G$20:$H$20</c:f>
              <c:strCache>
                <c:ptCount val="1"/>
                <c:pt idx="0">
                  <c:v>Phaeobacter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10"/>
            <c:spPr>
              <a:solidFill>
                <a:srgbClr val="80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graphs'!$H$58:$H$65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0.49397799783899055</c:v>
                  </c:pt>
                  <c:pt idx="4">
                    <c:v>0.21162822488069899</c:v>
                  </c:pt>
                  <c:pt idx="5">
                    <c:v>0.483369216251958</c:v>
                  </c:pt>
                  <c:pt idx="6">
                    <c:v>0.55357781724604982</c:v>
                  </c:pt>
                  <c:pt idx="7">
                    <c:v>0.38095769359086856</c:v>
                  </c:pt>
                </c:numCache>
              </c:numRef>
            </c:plus>
            <c:minus>
              <c:numRef>
                <c:f>'Plate Plating graphs'!$H$58:$H$65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0.49397799783899055</c:v>
                  </c:pt>
                  <c:pt idx="4">
                    <c:v>0.21162822488069899</c:v>
                  </c:pt>
                  <c:pt idx="5">
                    <c:v>0.483369216251958</c:v>
                  </c:pt>
                  <c:pt idx="6">
                    <c:v>0.55357781724604982</c:v>
                  </c:pt>
                  <c:pt idx="7">
                    <c:v>0.38095769359086856</c:v>
                  </c:pt>
                </c:numCache>
              </c:numRef>
            </c:minus>
          </c:errBars>
          <c:xVal>
            <c:numRef>
              <c:f>'Plate Plating graphs'!$B$58:$B$65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graphs'!$G$58:$G$65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5.5535332082966207</c:v>
                </c:pt>
                <c:pt idx="4">
                  <c:v>4.7891780717356287</c:v>
                </c:pt>
                <c:pt idx="5">
                  <c:v>4.2550108493565659</c:v>
                </c:pt>
                <c:pt idx="6">
                  <c:v>4.9387739433955709</c:v>
                </c:pt>
                <c:pt idx="7">
                  <c:v>5.0121476506263267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37-4BFC-A16E-74BB7C1A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8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Bacteria abundance      (Log</a:t>
                </a:r>
                <a:r>
                  <a:rPr lang="en-GB" sz="1200" b="1" i="0" baseline="-25000">
                    <a:effectLst/>
                  </a:rPr>
                  <a:t>10</a:t>
                </a:r>
                <a:r>
                  <a:rPr lang="en-GB" sz="1200" b="1" i="0" baseline="0">
                    <a:effectLst/>
                  </a:rPr>
                  <a:t> CFU/cm</a:t>
                </a:r>
                <a:r>
                  <a:rPr lang="en-GB" sz="1200" b="1" i="0" baseline="30000">
                    <a:effectLst/>
                  </a:rPr>
                  <a:t>2</a:t>
                </a:r>
                <a:r>
                  <a:rPr lang="en-GB" sz="1200" b="1" i="0" baseline="0">
                    <a:effectLst/>
                  </a:rPr>
                  <a:t>) 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txPr>
          <a:bodyPr/>
          <a:lstStyle/>
          <a:p>
            <a:pPr>
              <a:defRPr sz="1100" i="1"/>
            </a:pPr>
            <a:endParaRPr lang="pt-PT"/>
          </a:p>
        </c:txPr>
      </c:legendEntry>
      <c:layout>
        <c:manualLayout>
          <c:xMode val="edge"/>
          <c:yMode val="edge"/>
          <c:x val="5.0000120628384263E-2"/>
          <c:y val="0.90781422120895017"/>
          <c:w val="0.89999975874323146"/>
          <c:h val="8.990473770819507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D2B7-4712-898F-F5B7CA448D4C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7-4712-898F-F5B7CA448D4C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7-4712-898F-F5B7CA448D4C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7-4712-898F-F5B7CA448D4C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7-4712-898F-F5B7CA448D4C}"/>
            </c:ext>
          </c:extLst>
        </c:ser>
        <c:ser>
          <c:idx val="4"/>
          <c:order val="4"/>
          <c:tx>
            <c:strRef>
              <c:f>'Nutrients graphs'!$G$13:$H$13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graphs'!$H$15:$H$23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8.0570879768479306E-2</c:v>
                  </c:pt>
                  <c:pt idx="3">
                    <c:v>0</c:v>
                  </c:pt>
                  <c:pt idx="4">
                    <c:v>9.6953597148326659E-2</c:v>
                  </c:pt>
                  <c:pt idx="5">
                    <c:v>0.11176612486199307</c:v>
                  </c:pt>
                  <c:pt idx="6">
                    <c:v>0.13937359864766388</c:v>
                  </c:pt>
                  <c:pt idx="7">
                    <c:v>0.15239750654128131</c:v>
                  </c:pt>
                  <c:pt idx="8">
                    <c:v>9.7638790105845016E-2</c:v>
                  </c:pt>
                </c:numCache>
              </c:numRef>
            </c:plus>
            <c:minus>
              <c:numRef>
                <c:f>'Nutrients graphs'!$H$15:$H$23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8.0570879768479306E-2</c:v>
                  </c:pt>
                  <c:pt idx="3">
                    <c:v>0</c:v>
                  </c:pt>
                  <c:pt idx="4">
                    <c:v>9.6953597148326659E-2</c:v>
                  </c:pt>
                  <c:pt idx="5">
                    <c:v>0.11176612486199307</c:v>
                  </c:pt>
                  <c:pt idx="6">
                    <c:v>0.13937359864766388</c:v>
                  </c:pt>
                  <c:pt idx="7">
                    <c:v>0.15239750654128131</c:v>
                  </c:pt>
                  <c:pt idx="8">
                    <c:v>9.7638790105845016E-2</c:v>
                  </c:pt>
                </c:numCache>
              </c:numRef>
            </c:minus>
          </c:errBars>
          <c:xVal>
            <c:numRef>
              <c:f>'Nutrients graphs'!$B$15:$B$23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graphs'!$G$15:$G$23</c:f>
              <c:numCache>
                <c:formatCode>General</c:formatCode>
                <c:ptCount val="9"/>
                <c:pt idx="0">
                  <c:v>8</c:v>
                </c:pt>
                <c:pt idx="1">
                  <c:v>9.3724999999999987</c:v>
                </c:pt>
                <c:pt idx="2">
                  <c:v>9.4375</c:v>
                </c:pt>
                <c:pt idx="3">
                  <c:v>8</c:v>
                </c:pt>
                <c:pt idx="4">
                  <c:v>9.36</c:v>
                </c:pt>
                <c:pt idx="5">
                  <c:v>8.7974999999999994</c:v>
                </c:pt>
                <c:pt idx="6">
                  <c:v>9.1074999999999999</c:v>
                </c:pt>
                <c:pt idx="7">
                  <c:v>9.2475000000000005</c:v>
                </c:pt>
                <c:pt idx="8">
                  <c:v>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B7-4712-898F-F5B7CA44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10"/>
          <c:min val="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pH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E8A0-4A9F-A9B4-E7D93CD67251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0-4A9F-A9B4-E7D93CD67251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A0-4A9F-A9B4-E7D93CD67251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A0-4A9F-A9B4-E7D93CD67251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A0-4A9F-A9B4-E7D93CD67251}"/>
            </c:ext>
          </c:extLst>
        </c:ser>
        <c:ser>
          <c:idx val="4"/>
          <c:order val="4"/>
          <c:tx>
            <c:strRef>
              <c:f>'Nutrients graphs'!$G$13:$H$13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graphs'!$H$28:$H$36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0.12503332889007349</c:v>
                  </c:pt>
                  <c:pt idx="3">
                    <c:v>0</c:v>
                  </c:pt>
                  <c:pt idx="4">
                    <c:v>9.9456858318904787E-2</c:v>
                  </c:pt>
                  <c:pt idx="5">
                    <c:v>0.10754843869934447</c:v>
                  </c:pt>
                  <c:pt idx="6">
                    <c:v>2.160246899469323E-2</c:v>
                  </c:pt>
                  <c:pt idx="7">
                    <c:v>5.9090326337452932E-2</c:v>
                  </c:pt>
                  <c:pt idx="8">
                    <c:v>8.3815273071200999E-2</c:v>
                  </c:pt>
                </c:numCache>
              </c:numRef>
            </c:plus>
            <c:minus>
              <c:numRef>
                <c:f>'Nutrients graphs'!$H$28:$H$36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0.12503332889007349</c:v>
                  </c:pt>
                  <c:pt idx="3">
                    <c:v>0</c:v>
                  </c:pt>
                  <c:pt idx="4">
                    <c:v>9.9456858318904787E-2</c:v>
                  </c:pt>
                  <c:pt idx="5">
                    <c:v>0.10754843869934447</c:v>
                  </c:pt>
                  <c:pt idx="6">
                    <c:v>2.160246899469323E-2</c:v>
                  </c:pt>
                  <c:pt idx="7">
                    <c:v>5.9090326337452932E-2</c:v>
                  </c:pt>
                  <c:pt idx="8">
                    <c:v>8.3815273071200999E-2</c:v>
                  </c:pt>
                </c:numCache>
              </c:numRef>
            </c:minus>
          </c:errBars>
          <c:xVal>
            <c:numRef>
              <c:f>'Nutrients graphs'!$B$28:$B$36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graphs'!$G$28:$G$36</c:f>
              <c:numCache>
                <c:formatCode>General</c:formatCode>
                <c:ptCount val="9"/>
                <c:pt idx="0">
                  <c:v>8</c:v>
                </c:pt>
                <c:pt idx="1">
                  <c:v>9.3724999999999987</c:v>
                </c:pt>
                <c:pt idx="2">
                  <c:v>9.245000000000001</c:v>
                </c:pt>
                <c:pt idx="3">
                  <c:v>8</c:v>
                </c:pt>
                <c:pt idx="4">
                  <c:v>9.182500000000001</c:v>
                </c:pt>
                <c:pt idx="5">
                  <c:v>8.9150000000000009</c:v>
                </c:pt>
                <c:pt idx="6">
                  <c:v>9.31</c:v>
                </c:pt>
                <c:pt idx="7">
                  <c:v>9.1475000000000009</c:v>
                </c:pt>
                <c:pt idx="8">
                  <c:v>9.3774999999999995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A0-4A9F-A9B4-E7D93CD6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10"/>
          <c:min val="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pH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146A-4E0B-AFB7-C9CC448A7F11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A-4E0B-AFB7-C9CC448A7F11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6A-4E0B-AFB7-C9CC448A7F11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6A-4E0B-AFB7-C9CC448A7F11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6A-4E0B-AFB7-C9CC448A7F11}"/>
            </c:ext>
          </c:extLst>
        </c:ser>
        <c:ser>
          <c:idx val="4"/>
          <c:order val="4"/>
          <c:tx>
            <c:strRef>
              <c:f>'Nutrients graphs'!$G$13:$H$13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graphs'!$H$41:$H$49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0.11210114480533499</c:v>
                  </c:pt>
                  <c:pt idx="3">
                    <c:v>0</c:v>
                  </c:pt>
                  <c:pt idx="4">
                    <c:v>0.18645821694595979</c:v>
                  </c:pt>
                  <c:pt idx="5">
                    <c:v>8.7177978870813314E-2</c:v>
                  </c:pt>
                  <c:pt idx="6">
                    <c:v>6.9761498454854617E-2</c:v>
                  </c:pt>
                  <c:pt idx="7">
                    <c:v>0.11860297916438142</c:v>
                  </c:pt>
                  <c:pt idx="8">
                    <c:v>3.7859388972001799E-2</c:v>
                  </c:pt>
                </c:numCache>
              </c:numRef>
            </c:plus>
            <c:minus>
              <c:numRef>
                <c:f>'Nutrients graphs'!$H$41:$H$49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0.11210114480533499</c:v>
                  </c:pt>
                  <c:pt idx="3">
                    <c:v>0</c:v>
                  </c:pt>
                  <c:pt idx="4">
                    <c:v>0.18645821694595979</c:v>
                  </c:pt>
                  <c:pt idx="5">
                    <c:v>8.7177978870813314E-2</c:v>
                  </c:pt>
                  <c:pt idx="6">
                    <c:v>6.9761498454854617E-2</c:v>
                  </c:pt>
                  <c:pt idx="7">
                    <c:v>0.11860297916438142</c:v>
                  </c:pt>
                  <c:pt idx="8">
                    <c:v>3.7859388972001799E-2</c:v>
                  </c:pt>
                </c:numCache>
              </c:numRef>
            </c:minus>
          </c:errBars>
          <c:xVal>
            <c:numRef>
              <c:f>'Nutrients graphs'!$B$41:$B$49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graphs'!$G$41:$G$49</c:f>
              <c:numCache>
                <c:formatCode>General</c:formatCode>
                <c:ptCount val="9"/>
                <c:pt idx="0">
                  <c:v>8</c:v>
                </c:pt>
                <c:pt idx="1">
                  <c:v>9.3724999999999987</c:v>
                </c:pt>
                <c:pt idx="2">
                  <c:v>9.245000000000001</c:v>
                </c:pt>
                <c:pt idx="3">
                  <c:v>8</c:v>
                </c:pt>
                <c:pt idx="4">
                  <c:v>8.9949999999999992</c:v>
                </c:pt>
                <c:pt idx="5">
                  <c:v>8.9400000000000013</c:v>
                </c:pt>
                <c:pt idx="6">
                  <c:v>9.27</c:v>
                </c:pt>
                <c:pt idx="7">
                  <c:v>9.23</c:v>
                </c:pt>
                <c:pt idx="8">
                  <c:v>9.3550000000000004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6A-4E0B-AFB7-C9CC44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10"/>
          <c:min val="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pH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E544-4B82-AE0A-0EE9368E13E3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4-4B82-AE0A-0EE9368E13E3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44-4B82-AE0A-0EE9368E13E3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44-4B82-AE0A-0EE9368E13E3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44-4B82-AE0A-0EE9368E13E3}"/>
            </c:ext>
          </c:extLst>
        </c:ser>
        <c:ser>
          <c:idx val="4"/>
          <c:order val="4"/>
          <c:tx>
            <c:strRef>
              <c:f>'Nutrients graphs'!$G$13:$H$13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graphs'!$H$54:$H$62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4.9244289008980917E-2</c:v>
                  </c:pt>
                  <c:pt idx="3">
                    <c:v>0</c:v>
                  </c:pt>
                  <c:pt idx="4">
                    <c:v>0.16990193249832891</c:v>
                  </c:pt>
                  <c:pt idx="5">
                    <c:v>7.4386378681404755E-2</c:v>
                  </c:pt>
                  <c:pt idx="6">
                    <c:v>0.16299284237863523</c:v>
                  </c:pt>
                  <c:pt idx="7">
                    <c:v>0.10531698185319703</c:v>
                  </c:pt>
                  <c:pt idx="8">
                    <c:v>7.7674534651540394E-2</c:v>
                  </c:pt>
                </c:numCache>
              </c:numRef>
            </c:plus>
            <c:minus>
              <c:numRef>
                <c:f>'Nutrients graphs'!$H$54:$H$62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4.1932485418030331E-2</c:v>
                  </c:pt>
                  <c:pt idx="2">
                    <c:v>4.9244289008980917E-2</c:v>
                  </c:pt>
                  <c:pt idx="3">
                    <c:v>0</c:v>
                  </c:pt>
                  <c:pt idx="4">
                    <c:v>0.16990193249832891</c:v>
                  </c:pt>
                  <c:pt idx="5">
                    <c:v>7.4386378681404755E-2</c:v>
                  </c:pt>
                  <c:pt idx="6">
                    <c:v>0.16299284237863523</c:v>
                  </c:pt>
                  <c:pt idx="7">
                    <c:v>0.10531698185319703</c:v>
                  </c:pt>
                  <c:pt idx="8">
                    <c:v>7.7674534651540394E-2</c:v>
                  </c:pt>
                </c:numCache>
              </c:numRef>
            </c:minus>
          </c:errBars>
          <c:xVal>
            <c:numRef>
              <c:f>'Nutrients graphs'!$B$54:$B$62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graphs'!$G$54:$G$62</c:f>
              <c:numCache>
                <c:formatCode>General</c:formatCode>
                <c:ptCount val="9"/>
                <c:pt idx="0">
                  <c:v>8</c:v>
                </c:pt>
                <c:pt idx="1">
                  <c:v>9.3724999999999987</c:v>
                </c:pt>
                <c:pt idx="2">
                  <c:v>8.1024999999999991</c:v>
                </c:pt>
                <c:pt idx="3">
                  <c:v>8</c:v>
                </c:pt>
                <c:pt idx="4">
                  <c:v>7.66</c:v>
                </c:pt>
                <c:pt idx="5">
                  <c:v>7.97</c:v>
                </c:pt>
                <c:pt idx="6">
                  <c:v>7.8549999999999995</c:v>
                </c:pt>
                <c:pt idx="7">
                  <c:v>7.7725</c:v>
                </c:pt>
                <c:pt idx="8">
                  <c:v>7.835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44-4B82-AE0A-0EE9368E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10"/>
          <c:min val="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pH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lineChart>
        <c:grouping val="standard"/>
        <c:varyColors val="0"/>
        <c:ser>
          <c:idx val="6"/>
          <c:order val="5"/>
          <c:tx>
            <c:strRef>
              <c:f>'Growth Parameter graphs'!$I$13:$J$13</c:f>
              <c:strCache>
                <c:ptCount val="1"/>
                <c:pt idx="0">
                  <c:v>Surface/Wet Weight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graphs'!$J$15:$J$22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5.9498653080565438</c:v>
                  </c:pt>
                  <c:pt idx="3">
                    <c:v>11.915815170242475</c:v>
                  </c:pt>
                  <c:pt idx="4">
                    <c:v>13.58212864704457</c:v>
                  </c:pt>
                  <c:pt idx="5">
                    <c:v>9.7200260029465113</c:v>
                  </c:pt>
                  <c:pt idx="6">
                    <c:v>9.5935017504852844</c:v>
                  </c:pt>
                  <c:pt idx="7">
                    <c:v>9.5895597424102199</c:v>
                  </c:pt>
                </c:numCache>
              </c:numRef>
            </c:plus>
            <c:minus>
              <c:numRef>
                <c:f>'Growth Parameter graphs'!$J$15:$J$22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5.9498653080565438</c:v>
                  </c:pt>
                  <c:pt idx="3">
                    <c:v>11.915815170242475</c:v>
                  </c:pt>
                  <c:pt idx="4">
                    <c:v>13.58212864704457</c:v>
                  </c:pt>
                  <c:pt idx="5">
                    <c:v>9.7200260029465113</c:v>
                  </c:pt>
                  <c:pt idx="6">
                    <c:v>9.5935017504852844</c:v>
                  </c:pt>
                  <c:pt idx="7">
                    <c:v>9.5895597424102199</c:v>
                  </c:pt>
                </c:numCache>
              </c:numRef>
            </c:minus>
          </c:errBars>
          <c:cat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cat>
          <c:val>
            <c:numRef>
              <c:f>'Growth Parameter graphs'!$I$15:$I$22</c:f>
              <c:numCache>
                <c:formatCode>General</c:formatCode>
                <c:ptCount val="8"/>
                <c:pt idx="0">
                  <c:v>196.23931130086902</c:v>
                </c:pt>
                <c:pt idx="1">
                  <c:v>136.78885720201794</c:v>
                </c:pt>
                <c:pt idx="2">
                  <c:v>108.35354016558344</c:v>
                </c:pt>
                <c:pt idx="3">
                  <c:v>122.05582032806232</c:v>
                </c:pt>
                <c:pt idx="4">
                  <c:v>117.01725465937513</c:v>
                </c:pt>
                <c:pt idx="5">
                  <c:v>111.20074491184401</c:v>
                </c:pt>
                <c:pt idx="6">
                  <c:v>123.25971670079272</c:v>
                </c:pt>
                <c:pt idx="7">
                  <c:v>97.413648716642427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F-4D19-92A8-20D4B3B7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51456"/>
        <c:axId val="407551040"/>
      </c:lineChar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F-4D19-92A8-20D4B3B7DCF2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F-4D19-92A8-20D4B3B7DCF2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F-4D19-92A8-20D4B3B7DCF2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F-4D19-92A8-20D4B3B7DCF2}"/>
            </c:ext>
          </c:extLst>
        </c:ser>
        <c:ser>
          <c:idx val="5"/>
          <c:order val="4"/>
          <c:tx>
            <c:strRef>
              <c:f>'Growth Parameter graphs'!$K$13:$L$13</c:f>
              <c:strCache>
                <c:ptCount val="1"/>
                <c:pt idx="0">
                  <c:v>Growth Rate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graphs'!$L$15:$L$22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3.9475702083720376</c:v>
                  </c:pt>
                  <c:pt idx="3">
                    <c:v>4.854399982510035</c:v>
                  </c:pt>
                  <c:pt idx="4">
                    <c:v>3.5686083783442912</c:v>
                  </c:pt>
                  <c:pt idx="5">
                    <c:v>9.5377501033954282</c:v>
                  </c:pt>
                  <c:pt idx="6">
                    <c:v>4.1189444045720656</c:v>
                  </c:pt>
                  <c:pt idx="7">
                    <c:v>4.6624802129144225</c:v>
                  </c:pt>
                </c:numCache>
              </c:numRef>
            </c:plus>
            <c:minus>
              <c:numRef>
                <c:f>'Growth Parameter graphs'!$L$15:$L$22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3.9475702083720376</c:v>
                  </c:pt>
                  <c:pt idx="3">
                    <c:v>4.854399982510035</c:v>
                  </c:pt>
                  <c:pt idx="4">
                    <c:v>3.5686083783442912</c:v>
                  </c:pt>
                  <c:pt idx="5">
                    <c:v>9.5377501033954282</c:v>
                  </c:pt>
                  <c:pt idx="6">
                    <c:v>4.1189444045720656</c:v>
                  </c:pt>
                  <c:pt idx="7">
                    <c:v>4.6624802129144225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graphs'!$K$15:$K$22</c:f>
              <c:numCache>
                <c:formatCode>General</c:formatCode>
                <c:ptCount val="8"/>
                <c:pt idx="0">
                  <c:v>0</c:v>
                </c:pt>
                <c:pt idx="1">
                  <c:v>18.635302689757573</c:v>
                </c:pt>
                <c:pt idx="2">
                  <c:v>20.624040961940434</c:v>
                </c:pt>
                <c:pt idx="3">
                  <c:v>20.893608984743651</c:v>
                </c:pt>
                <c:pt idx="4">
                  <c:v>9.4559392982220327</c:v>
                </c:pt>
                <c:pt idx="5">
                  <c:v>11.065240107760829</c:v>
                </c:pt>
                <c:pt idx="6">
                  <c:v>-2.189909076660344</c:v>
                </c:pt>
                <c:pt idx="7">
                  <c:v>11.466771826877233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F-4D19-92A8-20D4B3B7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effectLst/>
                  </a:rPr>
                  <a:t>Growth Rate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407551040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Surface/ Wet Weight (cm</a:t>
                </a:r>
                <a:r>
                  <a:rPr lang="es-ES" baseline="30000"/>
                  <a:t>2</a:t>
                </a:r>
                <a:r>
                  <a:rPr lang="es-ES" baseline="0"/>
                  <a:t>/g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93298499007282887"/>
              <c:y val="0.123534857949666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between"/>
        <c:majorUnit val="50"/>
      </c:valAx>
      <c:cat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5.2262613514468988E-3"/>
          <c:y val="0.88626655763091355"/>
          <c:w val="0.98601518986496883"/>
          <c:h val="0.10978902327176211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lineChart>
        <c:grouping val="standard"/>
        <c:varyColors val="0"/>
        <c:ser>
          <c:idx val="6"/>
          <c:order val="5"/>
          <c:tx>
            <c:strRef>
              <c:f>'Growth Parameter graphs'!$I$13:$J$13</c:f>
              <c:strCache>
                <c:ptCount val="1"/>
                <c:pt idx="0">
                  <c:v>Surface/Wet Weight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graphs'!$J$27:$J$34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34.654687567141167</c:v>
                  </c:pt>
                  <c:pt idx="3">
                    <c:v>11.391500725419228</c:v>
                  </c:pt>
                  <c:pt idx="4">
                    <c:v>7.0463626556512633</c:v>
                  </c:pt>
                  <c:pt idx="5">
                    <c:v>8.1350613596528198</c:v>
                  </c:pt>
                  <c:pt idx="6">
                    <c:v>7.3753569281901479</c:v>
                  </c:pt>
                  <c:pt idx="7">
                    <c:v>3.9699462544538942</c:v>
                  </c:pt>
                </c:numCache>
              </c:numRef>
            </c:plus>
            <c:minus>
              <c:numRef>
                <c:f>'Growth Parameter graphs'!$J$27:$J$34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34.654687567141167</c:v>
                  </c:pt>
                  <c:pt idx="3">
                    <c:v>11.391500725419228</c:v>
                  </c:pt>
                  <c:pt idx="4">
                    <c:v>7.0463626556512633</c:v>
                  </c:pt>
                  <c:pt idx="5">
                    <c:v>8.1350613596528198</c:v>
                  </c:pt>
                  <c:pt idx="6">
                    <c:v>7.3753569281901479</c:v>
                  </c:pt>
                  <c:pt idx="7">
                    <c:v>3.9699462544538942</c:v>
                  </c:pt>
                </c:numCache>
              </c:numRef>
            </c:minus>
          </c:errBars>
          <c:cat>
            <c:numRef>
              <c:f>'Growth Parameter graphs'!$B$26:$B$34</c:f>
              <c:numCache>
                <c:formatCode>0</c:formatCode>
                <c:ptCount val="9"/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cat>
          <c:val>
            <c:numRef>
              <c:f>'Growth Parameter graphs'!$I$27:$I$34</c:f>
              <c:numCache>
                <c:formatCode>General</c:formatCode>
                <c:ptCount val="8"/>
                <c:pt idx="0">
                  <c:v>196.23931130086902</c:v>
                </c:pt>
                <c:pt idx="1">
                  <c:v>136.78885720201794</c:v>
                </c:pt>
                <c:pt idx="2">
                  <c:v>108.10355259569523</c:v>
                </c:pt>
                <c:pt idx="3">
                  <c:v>119.74228882728207</c:v>
                </c:pt>
                <c:pt idx="4">
                  <c:v>108.69500995003129</c:v>
                </c:pt>
                <c:pt idx="5">
                  <c:v>110.37659632752268</c:v>
                </c:pt>
                <c:pt idx="6">
                  <c:v>99.026196990906087</c:v>
                </c:pt>
                <c:pt idx="7">
                  <c:v>103.14910497604004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8-4B45-B25B-E408630B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51456"/>
        <c:axId val="407551040"/>
      </c:lineChar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8-4B45-B25B-E408630B69D2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8-4B45-B25B-E408630B69D2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8-4B45-B25B-E408630B69D2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8-4B45-B25B-E408630B69D2}"/>
            </c:ext>
          </c:extLst>
        </c:ser>
        <c:ser>
          <c:idx val="5"/>
          <c:order val="4"/>
          <c:tx>
            <c:strRef>
              <c:f>'Growth Parameter graphs'!$K$13:$L$13</c:f>
              <c:strCache>
                <c:ptCount val="1"/>
                <c:pt idx="0">
                  <c:v>Growth Rate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graphs'!$L$27:$L$34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4.0031079580918689</c:v>
                  </c:pt>
                  <c:pt idx="3">
                    <c:v>4.0857592403632834</c:v>
                  </c:pt>
                  <c:pt idx="4">
                    <c:v>7.695549877202172</c:v>
                  </c:pt>
                  <c:pt idx="5">
                    <c:v>8.0643880142328648</c:v>
                  </c:pt>
                  <c:pt idx="6">
                    <c:v>6.6392963457483534</c:v>
                  </c:pt>
                  <c:pt idx="7">
                    <c:v>3.3789130603142326</c:v>
                  </c:pt>
                </c:numCache>
              </c:numRef>
            </c:plus>
            <c:minus>
              <c:numRef>
                <c:f>'Growth Parameter graphs'!$L$27:$L$34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4.0031079580918689</c:v>
                  </c:pt>
                  <c:pt idx="3">
                    <c:v>4.0857592403632834</c:v>
                  </c:pt>
                  <c:pt idx="4">
                    <c:v>7.695549877202172</c:v>
                  </c:pt>
                  <c:pt idx="5">
                    <c:v>8.0643880142328648</c:v>
                  </c:pt>
                  <c:pt idx="6">
                    <c:v>6.6392963457483534</c:v>
                  </c:pt>
                  <c:pt idx="7">
                    <c:v>3.3789130603142326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graphs'!$K$27:$K$34</c:f>
              <c:numCache>
                <c:formatCode>General</c:formatCode>
                <c:ptCount val="8"/>
                <c:pt idx="0">
                  <c:v>0</c:v>
                </c:pt>
                <c:pt idx="1">
                  <c:v>18.635302689757573</c:v>
                </c:pt>
                <c:pt idx="2">
                  <c:v>26.8181208122583</c:v>
                </c:pt>
                <c:pt idx="3">
                  <c:v>13.202907347284889</c:v>
                </c:pt>
                <c:pt idx="4">
                  <c:v>17.835321398271077</c:v>
                </c:pt>
                <c:pt idx="5">
                  <c:v>3.5769190267474262</c:v>
                </c:pt>
                <c:pt idx="6">
                  <c:v>-5.8826840014525867</c:v>
                </c:pt>
                <c:pt idx="7">
                  <c:v>10.830477605917782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D8-4B45-B25B-E408630B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Growth Rate (%)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407551040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Surface/ Wet Weight (cm</a:t>
                </a:r>
                <a:r>
                  <a:rPr lang="es-ES" baseline="30000"/>
                  <a:t>2</a:t>
                </a:r>
                <a:r>
                  <a:rPr lang="es-ES" baseline="0"/>
                  <a:t>/g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93298499007282887"/>
              <c:y val="0.123534857949666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between"/>
        <c:majorUnit val="50"/>
      </c:valAx>
      <c:catAx>
        <c:axId val="4075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55104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5.2262613514468988E-3"/>
          <c:y val="0.88626655763091355"/>
          <c:w val="0.98601518986496883"/>
          <c:h val="0.10978902327176211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lineChart>
        <c:grouping val="standard"/>
        <c:varyColors val="0"/>
        <c:ser>
          <c:idx val="6"/>
          <c:order val="5"/>
          <c:tx>
            <c:strRef>
              <c:f>'Growth Parameter graphs'!$I$13:$J$13</c:f>
              <c:strCache>
                <c:ptCount val="1"/>
                <c:pt idx="0">
                  <c:v>Surface/Wet Weight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graphs'!$J$39:$J$46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17.715573238543502</c:v>
                  </c:pt>
                  <c:pt idx="3">
                    <c:v>12.490766204488761</c:v>
                  </c:pt>
                  <c:pt idx="4">
                    <c:v>14.660534777656871</c:v>
                  </c:pt>
                  <c:pt idx="5">
                    <c:v>5.5092121538889458</c:v>
                  </c:pt>
                  <c:pt idx="6">
                    <c:v>5.8867098463494631</c:v>
                  </c:pt>
                  <c:pt idx="7">
                    <c:v>4.8207869470003519</c:v>
                  </c:pt>
                </c:numCache>
              </c:numRef>
            </c:plus>
            <c:minus>
              <c:numRef>
                <c:f>'Growth Parameter graphs'!$J$39:$J$46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17.715573238543502</c:v>
                  </c:pt>
                  <c:pt idx="3">
                    <c:v>12.490766204488761</c:v>
                  </c:pt>
                  <c:pt idx="4">
                    <c:v>14.660534777656871</c:v>
                  </c:pt>
                  <c:pt idx="5">
                    <c:v>5.5092121538889458</c:v>
                  </c:pt>
                  <c:pt idx="6">
                    <c:v>5.8867098463494631</c:v>
                  </c:pt>
                  <c:pt idx="7">
                    <c:v>4.8207869470003519</c:v>
                  </c:pt>
                </c:numCache>
              </c:numRef>
            </c:minus>
          </c:errBars>
          <c:cat>
            <c:numRef>
              <c:f>'Growth Parameter graphs'!$B$39:$B$46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cat>
          <c:val>
            <c:numRef>
              <c:f>'Growth Parameter graphs'!$I$39:$I$46</c:f>
              <c:numCache>
                <c:formatCode>General</c:formatCode>
                <c:ptCount val="8"/>
                <c:pt idx="0">
                  <c:v>196.23931130086902</c:v>
                </c:pt>
                <c:pt idx="1">
                  <c:v>136.78885720201794</c:v>
                </c:pt>
                <c:pt idx="2">
                  <c:v>110.97111392503646</c:v>
                </c:pt>
                <c:pt idx="3">
                  <c:v>120.0455801585361</c:v>
                </c:pt>
                <c:pt idx="4">
                  <c:v>114.21378199694549</c:v>
                </c:pt>
                <c:pt idx="5">
                  <c:v>104.3549729061251</c:v>
                </c:pt>
                <c:pt idx="6">
                  <c:v>96.160163851765773</c:v>
                </c:pt>
                <c:pt idx="7">
                  <c:v>95.345467949832226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B-40D0-81D0-4F93BCA2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51456"/>
        <c:axId val="407551040"/>
      </c:lineChar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B-40D0-81D0-4F93BCA2A031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B-40D0-81D0-4F93BCA2A031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7B-40D0-81D0-4F93BCA2A031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7B-40D0-81D0-4F93BCA2A031}"/>
            </c:ext>
          </c:extLst>
        </c:ser>
        <c:ser>
          <c:idx val="5"/>
          <c:order val="4"/>
          <c:tx>
            <c:strRef>
              <c:f>'Growth Parameter graphs'!$K$13:$L$13</c:f>
              <c:strCache>
                <c:ptCount val="1"/>
                <c:pt idx="0">
                  <c:v>Growth Rate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graphs'!$L$39:$L$46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8.0179566673921716</c:v>
                  </c:pt>
                  <c:pt idx="3">
                    <c:v>4.7468975688691621</c:v>
                  </c:pt>
                  <c:pt idx="4">
                    <c:v>6.1491802359245016</c:v>
                  </c:pt>
                  <c:pt idx="5">
                    <c:v>9.3000524952235182</c:v>
                  </c:pt>
                  <c:pt idx="6">
                    <c:v>7.1813687228881387</c:v>
                  </c:pt>
                  <c:pt idx="7">
                    <c:v>2.0470231056935391</c:v>
                  </c:pt>
                </c:numCache>
              </c:numRef>
            </c:plus>
            <c:minus>
              <c:numRef>
                <c:f>'Growth Parameter graphs'!$L$39:$L$46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8.0179566673921716</c:v>
                  </c:pt>
                  <c:pt idx="3">
                    <c:v>4.7468975688691621</c:v>
                  </c:pt>
                  <c:pt idx="4">
                    <c:v>6.1491802359245016</c:v>
                  </c:pt>
                  <c:pt idx="5">
                    <c:v>9.3000524952235182</c:v>
                  </c:pt>
                  <c:pt idx="6">
                    <c:v>7.1813687228881387</c:v>
                  </c:pt>
                  <c:pt idx="7">
                    <c:v>2.0470231056935391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graphs'!$K$39:$K$46</c:f>
              <c:numCache>
                <c:formatCode>General</c:formatCode>
                <c:ptCount val="8"/>
                <c:pt idx="0">
                  <c:v>0</c:v>
                </c:pt>
                <c:pt idx="1">
                  <c:v>18.635302689757573</c:v>
                </c:pt>
                <c:pt idx="2">
                  <c:v>23.728569466022297</c:v>
                </c:pt>
                <c:pt idx="3">
                  <c:v>14.920885009559557</c:v>
                </c:pt>
                <c:pt idx="4">
                  <c:v>13.777001845898486</c:v>
                </c:pt>
                <c:pt idx="5">
                  <c:v>1.6301770441636538</c:v>
                </c:pt>
                <c:pt idx="6">
                  <c:v>-3.2275519490254085</c:v>
                </c:pt>
                <c:pt idx="7">
                  <c:v>10.310942133007034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7B-40D0-81D0-4F93BCA2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Growth Rate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407551040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/ Wet Weight (cm</a:t>
                </a:r>
                <a:r>
                  <a:rPr lang="es-ES" baseline="30000"/>
                  <a:t>2</a:t>
                </a:r>
                <a:r>
                  <a:rPr lang="es-ES"/>
                  <a:t>/g)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between"/>
        <c:majorUnit val="50"/>
      </c:valAx>
      <c:cat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5.2262613514468988E-3"/>
          <c:y val="0.88626655763091355"/>
          <c:w val="0.98601518986496883"/>
          <c:h val="0.10978902327176211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lineChart>
        <c:grouping val="standard"/>
        <c:varyColors val="0"/>
        <c:ser>
          <c:idx val="6"/>
          <c:order val="5"/>
          <c:tx>
            <c:strRef>
              <c:f>'Growth Parameter graphs'!$I$13:$J$13</c:f>
              <c:strCache>
                <c:ptCount val="1"/>
                <c:pt idx="0">
                  <c:v>Surface/Wet Weight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graphs'!$J$51:$J$58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10.854992604908681</c:v>
                  </c:pt>
                  <c:pt idx="3">
                    <c:v>9.7480149095815527</c:v>
                  </c:pt>
                  <c:pt idx="4">
                    <c:v>8.2459761778200136</c:v>
                  </c:pt>
                  <c:pt idx="5">
                    <c:v>10.256513425536102</c:v>
                  </c:pt>
                  <c:pt idx="6">
                    <c:v>5.6518852485887461</c:v>
                  </c:pt>
                  <c:pt idx="7">
                    <c:v>5.0402838724747649</c:v>
                  </c:pt>
                </c:numCache>
              </c:numRef>
            </c:plus>
            <c:minus>
              <c:numRef>
                <c:f>'Growth Parameter graphs'!$J$51:$J$58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10.854992604908681</c:v>
                  </c:pt>
                  <c:pt idx="3">
                    <c:v>9.7480149095815527</c:v>
                  </c:pt>
                  <c:pt idx="4">
                    <c:v>8.2459761778200136</c:v>
                  </c:pt>
                  <c:pt idx="5">
                    <c:v>10.256513425536102</c:v>
                  </c:pt>
                  <c:pt idx="6">
                    <c:v>5.6518852485887461</c:v>
                  </c:pt>
                  <c:pt idx="7">
                    <c:v>5.0402838724747649</c:v>
                  </c:pt>
                </c:numCache>
              </c:numRef>
            </c:minus>
          </c:errBars>
          <c:cat>
            <c:numRef>
              <c:f>'Growth Parameter graphs'!$B$51:$B$58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cat>
          <c:val>
            <c:numRef>
              <c:f>'Growth Parameter graphs'!$I$51:$I$58</c:f>
              <c:numCache>
                <c:formatCode>General</c:formatCode>
                <c:ptCount val="8"/>
                <c:pt idx="0">
                  <c:v>196.23931130086902</c:v>
                </c:pt>
                <c:pt idx="1">
                  <c:v>136.78885720201794</c:v>
                </c:pt>
                <c:pt idx="2">
                  <c:v>119.04236878193021</c:v>
                </c:pt>
                <c:pt idx="3">
                  <c:v>107.9241580139871</c:v>
                </c:pt>
                <c:pt idx="4">
                  <c:v>103.36812561797416</c:v>
                </c:pt>
                <c:pt idx="5">
                  <c:v>101.4206036274206</c:v>
                </c:pt>
                <c:pt idx="6">
                  <c:v>97.141048181075007</c:v>
                </c:pt>
                <c:pt idx="7">
                  <c:v>97.738956046433515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E-48B1-B742-FA8FFA00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51456"/>
        <c:axId val="407551040"/>
      </c:lineChar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E-48B1-B742-FA8FFA00EEB0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E-48B1-B742-FA8FFA00EEB0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E-48B1-B742-FA8FFA00EEB0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2E-48B1-B742-FA8FFA00EEB0}"/>
            </c:ext>
          </c:extLst>
        </c:ser>
        <c:ser>
          <c:idx val="5"/>
          <c:order val="4"/>
          <c:tx>
            <c:strRef>
              <c:f>'Growth Parameter graphs'!$K$13:$L$13</c:f>
              <c:strCache>
                <c:ptCount val="1"/>
                <c:pt idx="0">
                  <c:v>Growth Rate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graphs'!$L$51:$L$58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8.0157969507577995</c:v>
                  </c:pt>
                  <c:pt idx="3">
                    <c:v>5.5634672571084591</c:v>
                  </c:pt>
                  <c:pt idx="4">
                    <c:v>3.0154219084261156</c:v>
                  </c:pt>
                  <c:pt idx="5">
                    <c:v>8.8007011748938151</c:v>
                  </c:pt>
                  <c:pt idx="6">
                    <c:v>17.124659539066595</c:v>
                  </c:pt>
                  <c:pt idx="7">
                    <c:v>7.0377422229259468</c:v>
                  </c:pt>
                </c:numCache>
              </c:numRef>
            </c:plus>
            <c:minus>
              <c:numRef>
                <c:f>'Growth Parameter graphs'!$L$51:$L$58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8.0157969507577995</c:v>
                  </c:pt>
                  <c:pt idx="3">
                    <c:v>5.5634672571084591</c:v>
                  </c:pt>
                  <c:pt idx="4">
                    <c:v>3.0154219084261156</c:v>
                  </c:pt>
                  <c:pt idx="5">
                    <c:v>8.8007011748938151</c:v>
                  </c:pt>
                  <c:pt idx="6">
                    <c:v>17.124659539066595</c:v>
                  </c:pt>
                  <c:pt idx="7">
                    <c:v>7.0377422229259468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graphs'!$K$51:$K$58</c:f>
              <c:numCache>
                <c:formatCode>General</c:formatCode>
                <c:ptCount val="8"/>
                <c:pt idx="0">
                  <c:v>0</c:v>
                </c:pt>
                <c:pt idx="1">
                  <c:v>18.635302689757573</c:v>
                </c:pt>
                <c:pt idx="2">
                  <c:v>13.956937441311791</c:v>
                </c:pt>
                <c:pt idx="3">
                  <c:v>5.0385073010998136</c:v>
                </c:pt>
                <c:pt idx="4">
                  <c:v>2.9349121745788591</c:v>
                </c:pt>
                <c:pt idx="5">
                  <c:v>-4.663795030698763</c:v>
                </c:pt>
                <c:pt idx="6">
                  <c:v>-1.0934696652941214</c:v>
                </c:pt>
                <c:pt idx="7">
                  <c:v>5.7259072932044681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2E-48B1-B742-FA8FFA00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Growt</a:t>
                </a:r>
                <a:r>
                  <a:rPr lang="en-GB" sz="1200" baseline="0">
                    <a:effectLst/>
                  </a:rPr>
                  <a:t>h Rate (%)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407551040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Surface/ Wet Weight (cm</a:t>
                </a:r>
                <a:r>
                  <a:rPr lang="es-ES" baseline="30000"/>
                  <a:t>2</a:t>
                </a:r>
                <a:r>
                  <a:rPr lang="es-ES" baseline="0"/>
                  <a:t>/g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93298499007282887"/>
              <c:y val="0.123534857949666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between"/>
        <c:majorUnit val="50"/>
      </c:valAx>
      <c:cat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5.2262613514468988E-3"/>
          <c:y val="0.88626655763091355"/>
          <c:w val="0.98601518986496883"/>
          <c:h val="0.10978902327176211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C78A-486D-B970-4DBB90D2C715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A-486D-B970-4DBB90D2C715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A-486D-B970-4DBB90D2C715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A-486D-B970-4DBB90D2C715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8A-486D-B970-4DBB90D2C715}"/>
            </c:ext>
          </c:extLst>
        </c:ser>
        <c:ser>
          <c:idx val="4"/>
          <c:order val="4"/>
          <c:tx>
            <c:strRef>
              <c:f>'Nutrients graphs'!$C$13:$D$13</c:f>
              <c:strCache>
                <c:ptCount val="1"/>
                <c:pt idx="0">
                  <c:v>Nitrates</c:v>
                </c:pt>
              </c:strCache>
            </c:strRef>
          </c:tx>
          <c:spPr>
            <a:ln>
              <a:solidFill>
                <a:srgbClr val="FF99FF"/>
              </a:solidFill>
            </a:ln>
          </c:spPr>
          <c:marker>
            <c:symbol val="square"/>
            <c:size val="5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graphs'!$D$15:$D$23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0.52595414774788851</c:v>
                  </c:pt>
                  <c:pt idx="3">
                    <c:v>0</c:v>
                  </c:pt>
                  <c:pt idx="4">
                    <c:v>1.0533342444728322</c:v>
                  </c:pt>
                  <c:pt idx="5">
                    <c:v>7.6376788924158112E-2</c:v>
                  </c:pt>
                  <c:pt idx="6">
                    <c:v>0.43171056334317209</c:v>
                  </c:pt>
                  <c:pt idx="7">
                    <c:v>8.8559503888547123E-2</c:v>
                  </c:pt>
                  <c:pt idx="8">
                    <c:v>0.15501941261515886</c:v>
                  </c:pt>
                </c:numCache>
              </c:numRef>
            </c:plus>
            <c:minus>
              <c:numRef>
                <c:f>'Nutrients graphs'!$D$15:$D$23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0.52595414774788851</c:v>
                  </c:pt>
                  <c:pt idx="3">
                    <c:v>0</c:v>
                  </c:pt>
                  <c:pt idx="4">
                    <c:v>1.0533342444728322</c:v>
                  </c:pt>
                  <c:pt idx="5">
                    <c:v>7.6376788924158112E-2</c:v>
                  </c:pt>
                  <c:pt idx="6">
                    <c:v>0.43171056334317209</c:v>
                  </c:pt>
                  <c:pt idx="7">
                    <c:v>8.8559503888547123E-2</c:v>
                  </c:pt>
                  <c:pt idx="8">
                    <c:v>0.15501941261515886</c:v>
                  </c:pt>
                </c:numCache>
              </c:numRef>
            </c:minus>
          </c:errBars>
          <c:xVal>
            <c:numRef>
              <c:f>'Nutrients graphs'!$B$15:$B$23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graphs'!$C$15:$C$23</c:f>
              <c:numCache>
                <c:formatCode>General</c:formatCode>
                <c:ptCount val="9"/>
                <c:pt idx="0">
                  <c:v>20</c:v>
                </c:pt>
                <c:pt idx="1">
                  <c:v>1.602188354826104</c:v>
                </c:pt>
                <c:pt idx="2">
                  <c:v>0.83528722157092616</c:v>
                </c:pt>
                <c:pt idx="3">
                  <c:v>22</c:v>
                </c:pt>
                <c:pt idx="4">
                  <c:v>0.92321219226260265</c:v>
                </c:pt>
                <c:pt idx="5">
                  <c:v>0.91051191871824932</c:v>
                </c:pt>
                <c:pt idx="6">
                  <c:v>1.3755373192653377</c:v>
                </c:pt>
                <c:pt idx="7">
                  <c:v>0.85482610394685432</c:v>
                </c:pt>
                <c:pt idx="8">
                  <c:v>0.7248925361469325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8A-486D-B970-4DBB90D2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5"/>
          <c:order val="5"/>
          <c:tx>
            <c:strRef>
              <c:f>'Nutrients graphs'!$E$13:$F$13</c:f>
              <c:strCache>
                <c:ptCount val="1"/>
                <c:pt idx="0">
                  <c:v>Phosphates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graphs'!$F$15:$F$23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2.3593808984522465E-3</c:v>
                  </c:pt>
                  <c:pt idx="3">
                    <c:v>0</c:v>
                  </c:pt>
                  <c:pt idx="4">
                    <c:v>1.0585692940040893E-2</c:v>
                  </c:pt>
                  <c:pt idx="5">
                    <c:v>2.3086620830124987E-3</c:v>
                  </c:pt>
                  <c:pt idx="6">
                    <c:v>3.3561979601296052E-3</c:v>
                  </c:pt>
                  <c:pt idx="7">
                    <c:v>3.0112821066012496E-3</c:v>
                  </c:pt>
                  <c:pt idx="8">
                    <c:v>1.3103592748423866E-3</c:v>
                  </c:pt>
                </c:numCache>
              </c:numRef>
            </c:plus>
            <c:minus>
              <c:numRef>
                <c:f>'Nutrients graphs'!$F$15:$F$23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2.3593808984522465E-3</c:v>
                  </c:pt>
                  <c:pt idx="3">
                    <c:v>0</c:v>
                  </c:pt>
                  <c:pt idx="4">
                    <c:v>1.0585692940040893E-2</c:v>
                  </c:pt>
                  <c:pt idx="5">
                    <c:v>2.3086620830124987E-3</c:v>
                  </c:pt>
                  <c:pt idx="6">
                    <c:v>3.3561979601296052E-3</c:v>
                  </c:pt>
                  <c:pt idx="7">
                    <c:v>3.0112821066012496E-3</c:v>
                  </c:pt>
                  <c:pt idx="8">
                    <c:v>1.3103592748423866E-3</c:v>
                  </c:pt>
                </c:numCache>
              </c:numRef>
            </c:minus>
          </c:errBars>
          <c:xVal>
            <c:numRef>
              <c:f>'Nutrients graphs'!$B$15:$B$23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graphs'!$E$15:$E$23</c:f>
              <c:numCache>
                <c:formatCode>General</c:formatCode>
                <c:ptCount val="9"/>
                <c:pt idx="0">
                  <c:v>1</c:v>
                </c:pt>
                <c:pt idx="1">
                  <c:v>0.18565949022519179</c:v>
                </c:pt>
                <c:pt idx="2">
                  <c:v>3.2575185604630678E-2</c:v>
                </c:pt>
                <c:pt idx="3">
                  <c:v>1.4</c:v>
                </c:pt>
                <c:pt idx="4">
                  <c:v>4.3904958677685957E-2</c:v>
                </c:pt>
                <c:pt idx="5">
                  <c:v>3.6881020214353549E-2</c:v>
                </c:pt>
                <c:pt idx="6">
                  <c:v>3.2771435684057049E-2</c:v>
                </c:pt>
                <c:pt idx="7">
                  <c:v>2.215009827247336E-2</c:v>
                </c:pt>
                <c:pt idx="8">
                  <c:v>1.5853246836193761E-2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8A-486D-B970-4DBB90D2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65055"/>
        <c:axId val="1349255903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Nitrates</a:t>
                </a:r>
                <a:r>
                  <a:rPr lang="en-GB" sz="1200" baseline="0">
                    <a:effectLst/>
                  </a:rPr>
                  <a:t> (mgN/L)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1349255903"/>
        <c:scaling>
          <c:orientation val="minMax"/>
          <c:max val="1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Phosphates (mgP/L)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1349265055"/>
        <c:crosses val="max"/>
        <c:crossBetween val="midCat"/>
        <c:majorUnit val="0.5"/>
      </c:valAx>
      <c:valAx>
        <c:axId val="13492650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925590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graphs'!$A$48</c:f>
          <c:strCache>
            <c:ptCount val="1"/>
            <c:pt idx="0">
              <c:v>Darkness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2-4D47-9379-85D8CD59B399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2-4D47-9379-85D8CD59B399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F2-4D47-9379-85D8CD59B399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F2-4D47-9379-85D8CD59B399}"/>
            </c:ext>
          </c:extLst>
        </c:ser>
        <c:ser>
          <c:idx val="5"/>
          <c:order val="4"/>
          <c:tx>
            <c:strRef>
              <c:f>'Growth Parameter graphs'!$E$13:$F$13</c:f>
              <c:strCache>
                <c:ptCount val="1"/>
                <c:pt idx="0">
                  <c:v>Wet Weight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graphs'!$F$51:$F$58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9.2184597411932179E-3</c:v>
                  </c:pt>
                  <c:pt idx="3">
                    <c:v>1.1192110316349353E-2</c:v>
                  </c:pt>
                  <c:pt idx="4">
                    <c:v>9.9310959448927361E-3</c:v>
                  </c:pt>
                  <c:pt idx="5">
                    <c:v>1.2550962778475073E-2</c:v>
                  </c:pt>
                  <c:pt idx="6">
                    <c:v>1.3496264915400381E-2</c:v>
                  </c:pt>
                  <c:pt idx="7">
                    <c:v>5.8431583925134161E-3</c:v>
                  </c:pt>
                </c:numCache>
              </c:numRef>
            </c:plus>
            <c:minus>
              <c:numRef>
                <c:f>'Growth Parameter graphs'!$F$51:$F$58</c:f>
                <c:numCache>
                  <c:formatCode>General</c:formatCode>
                  <c:ptCount val="8"/>
                  <c:pt idx="0">
                    <c:v>4.2177205534111263E-3</c:v>
                  </c:pt>
                  <c:pt idx="1">
                    <c:v>6.7830671528446244E-3</c:v>
                  </c:pt>
                  <c:pt idx="2">
                    <c:v>9.2184597411932179E-3</c:v>
                  </c:pt>
                  <c:pt idx="3">
                    <c:v>1.1192110316349353E-2</c:v>
                  </c:pt>
                  <c:pt idx="4">
                    <c:v>9.9310959448927361E-3</c:v>
                  </c:pt>
                  <c:pt idx="5">
                    <c:v>1.2550962778475073E-2</c:v>
                  </c:pt>
                  <c:pt idx="6">
                    <c:v>1.3496264915400381E-2</c:v>
                  </c:pt>
                  <c:pt idx="7">
                    <c:v>5.8431583925134161E-3</c:v>
                  </c:pt>
                </c:numCache>
              </c:numRef>
            </c:minus>
          </c:errBars>
          <c:xVal>
            <c:numRef>
              <c:f>'Growth Parameter graphs'!$B$51:$B$58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graphs'!$E$51:$E$58</c:f>
              <c:numCache>
                <c:formatCode>General</c:formatCode>
                <c:ptCount val="8"/>
                <c:pt idx="0">
                  <c:v>1.9975E-2</c:v>
                </c:pt>
                <c:pt idx="1">
                  <c:v>4.2550000000000004E-2</c:v>
                </c:pt>
                <c:pt idx="2">
                  <c:v>5.6799999999999996E-2</c:v>
                </c:pt>
                <c:pt idx="3">
                  <c:v>6.3049999999999995E-2</c:v>
                </c:pt>
                <c:pt idx="4">
                  <c:v>6.8500000000000005E-2</c:v>
                </c:pt>
                <c:pt idx="5">
                  <c:v>6.2799999999999995E-2</c:v>
                </c:pt>
                <c:pt idx="6">
                  <c:v>6.1675000000000001E-2</c:v>
                </c:pt>
                <c:pt idx="7">
                  <c:v>7.2075E-2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F2-4D47-9379-85D8CD59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6"/>
          <c:order val="5"/>
          <c:tx>
            <c:strRef>
              <c:f>'Growth Parameter graphs'!$C$13:$D$13</c:f>
              <c:strCache>
                <c:ptCount val="1"/>
                <c:pt idx="0">
                  <c:v>Surface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graphs'!$D$51:$D$58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1.2179482747637536</c:v>
                  </c:pt>
                  <c:pt idx="3">
                    <c:v>0.78052306179894526</c:v>
                  </c:pt>
                  <c:pt idx="4">
                    <c:v>0.86222401381543423</c:v>
                  </c:pt>
                  <c:pt idx="5">
                    <c:v>0.90217182398920093</c:v>
                  </c:pt>
                  <c:pt idx="6">
                    <c:v>0.983668982263179</c:v>
                  </c:pt>
                  <c:pt idx="7">
                    <c:v>0.35996110901040423</c:v>
                  </c:pt>
                </c:numCache>
              </c:numRef>
            </c:plus>
            <c:minus>
              <c:numRef>
                <c:f>'Growth Parameter graphs'!$D$51:$D$58</c:f>
                <c:numCache>
                  <c:formatCode>General</c:formatCode>
                  <c:ptCount val="8"/>
                  <c:pt idx="0">
                    <c:v>0.29398922882763362</c:v>
                  </c:pt>
                  <c:pt idx="1">
                    <c:v>0.39396488845242705</c:v>
                  </c:pt>
                  <c:pt idx="2">
                    <c:v>1.2179482747637536</c:v>
                  </c:pt>
                  <c:pt idx="3">
                    <c:v>0.78052306179894526</c:v>
                  </c:pt>
                  <c:pt idx="4">
                    <c:v>0.86222401381543423</c:v>
                  </c:pt>
                  <c:pt idx="5">
                    <c:v>0.90217182398920093</c:v>
                  </c:pt>
                  <c:pt idx="6">
                    <c:v>0.983668982263179</c:v>
                  </c:pt>
                  <c:pt idx="7">
                    <c:v>0.35996110901040423</c:v>
                  </c:pt>
                </c:numCache>
              </c:numRef>
            </c:minus>
          </c:errBars>
          <c:xVal>
            <c:numRef>
              <c:f>'Growth Parameter graphs'!$B$51:$B$58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graphs'!$C$51:$C$58</c:f>
              <c:numCache>
                <c:formatCode>General</c:formatCode>
                <c:ptCount val="8"/>
                <c:pt idx="0">
                  <c:v>3.8325000000000005</c:v>
                </c:pt>
                <c:pt idx="1">
                  <c:v>5.6814999999999998</c:v>
                </c:pt>
                <c:pt idx="2">
                  <c:v>6.7490000000000006</c:v>
                </c:pt>
                <c:pt idx="3">
                  <c:v>6.7297500000000001</c:v>
                </c:pt>
                <c:pt idx="4">
                  <c:v>7.04575</c:v>
                </c:pt>
                <c:pt idx="5">
                  <c:v>6.3029999999999999</c:v>
                </c:pt>
                <c:pt idx="6">
                  <c:v>5.9359999999999999</c:v>
                </c:pt>
                <c:pt idx="7">
                  <c:v>7.0270000000000001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F2-4D47-9379-85D8CD59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1456"/>
        <c:axId val="40755104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0.3000000000000000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Weight (g)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.000000000000001E-2"/>
      </c:valAx>
      <c:valAx>
        <c:axId val="407551040"/>
        <c:scaling>
          <c:orientation val="minMax"/>
          <c:max val="4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(cm</a:t>
                </a:r>
                <a:r>
                  <a:rPr lang="es-ES" baseline="30000"/>
                  <a:t>2</a:t>
                </a:r>
                <a:r>
                  <a:rPr lang="es-ES"/>
                  <a:t>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midCat"/>
      </c:valAx>
      <c:val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5072-42AA-B850-DC3BFABF0B27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2-42AA-B850-DC3BFABF0B27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2-42AA-B850-DC3BFABF0B27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72-42AA-B850-DC3BFABF0B27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72-42AA-B850-DC3BFABF0B27}"/>
            </c:ext>
          </c:extLst>
        </c:ser>
        <c:ser>
          <c:idx val="4"/>
          <c:order val="4"/>
          <c:tx>
            <c:strRef>
              <c:f>'Nutrients graphs'!$C$13:$D$13</c:f>
              <c:strCache>
                <c:ptCount val="1"/>
                <c:pt idx="0">
                  <c:v>Nitrates</c:v>
                </c:pt>
              </c:strCache>
            </c:strRef>
          </c:tx>
          <c:spPr>
            <a:ln>
              <a:solidFill>
                <a:srgbClr val="FF99FF"/>
              </a:solidFill>
            </a:ln>
          </c:spPr>
          <c:marker>
            <c:symbol val="square"/>
            <c:size val="5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graphs'!$D$28:$D$36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0.14188242547582727</c:v>
                  </c:pt>
                  <c:pt idx="3">
                    <c:v>0</c:v>
                  </c:pt>
                  <c:pt idx="4">
                    <c:v>2.7660920965978786</c:v>
                  </c:pt>
                  <c:pt idx="5">
                    <c:v>0.228493564012031</c:v>
                  </c:pt>
                  <c:pt idx="6">
                    <c:v>0.13985891423734775</c:v>
                  </c:pt>
                  <c:pt idx="7">
                    <c:v>0.37540934251667502</c:v>
                  </c:pt>
                  <c:pt idx="8">
                    <c:v>0.22005038283056111</c:v>
                  </c:pt>
                </c:numCache>
              </c:numRef>
            </c:plus>
            <c:minus>
              <c:numRef>
                <c:f>'Nutrients graphs'!$D$28:$D$36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0.14188242547582727</c:v>
                  </c:pt>
                  <c:pt idx="3">
                    <c:v>0</c:v>
                  </c:pt>
                  <c:pt idx="4">
                    <c:v>2.7660920965978786</c:v>
                  </c:pt>
                  <c:pt idx="5">
                    <c:v>0.228493564012031</c:v>
                  </c:pt>
                  <c:pt idx="6">
                    <c:v>0.13985891423734775</c:v>
                  </c:pt>
                  <c:pt idx="7">
                    <c:v>0.37540934251667502</c:v>
                  </c:pt>
                  <c:pt idx="8">
                    <c:v>0.22005038283056111</c:v>
                  </c:pt>
                </c:numCache>
              </c:numRef>
            </c:minus>
          </c:errBars>
          <c:xVal>
            <c:numRef>
              <c:f>'Nutrients graphs'!$B$28:$B$36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graphs'!$C$28:$C$36</c:f>
              <c:numCache>
                <c:formatCode>General</c:formatCode>
                <c:ptCount val="9"/>
                <c:pt idx="0">
                  <c:v>20</c:v>
                </c:pt>
                <c:pt idx="1">
                  <c:v>1.602188354826104</c:v>
                </c:pt>
                <c:pt idx="2">
                  <c:v>0.63794450957405235</c:v>
                </c:pt>
                <c:pt idx="3">
                  <c:v>22</c:v>
                </c:pt>
                <c:pt idx="4">
                  <c:v>3.1946072684642433</c:v>
                </c:pt>
                <c:pt idx="5">
                  <c:v>0.88608831574833924</c:v>
                </c:pt>
                <c:pt idx="6">
                  <c:v>0.83528722157092616</c:v>
                </c:pt>
                <c:pt idx="7">
                  <c:v>0.79230168034388426</c:v>
                </c:pt>
                <c:pt idx="8">
                  <c:v>0.74150058616647119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72-42AA-B850-DC3BFABF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5"/>
          <c:order val="5"/>
          <c:tx>
            <c:strRef>
              <c:f>'Nutrients graphs'!$E$13:$F$13</c:f>
              <c:strCache>
                <c:ptCount val="1"/>
                <c:pt idx="0">
                  <c:v>Phosphates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graphs'!$F$28:$F$36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1.5729205989681652E-3</c:v>
                  </c:pt>
                  <c:pt idx="3">
                    <c:v>0</c:v>
                  </c:pt>
                  <c:pt idx="4">
                    <c:v>4.6720414892965939E-2</c:v>
                  </c:pt>
                  <c:pt idx="5">
                    <c:v>3.6073637045418746E-3</c:v>
                  </c:pt>
                  <c:pt idx="6">
                    <c:v>1.4418605749879222E-3</c:v>
                  </c:pt>
                  <c:pt idx="7">
                    <c:v>0</c:v>
                  </c:pt>
                  <c:pt idx="8">
                    <c:v>2.3705291210260287E-3</c:v>
                  </c:pt>
                </c:numCache>
              </c:numRef>
            </c:plus>
            <c:minus>
              <c:numRef>
                <c:f>'Nutrients graphs'!$F$28:$F$36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1.5729205989681652E-3</c:v>
                  </c:pt>
                  <c:pt idx="3">
                    <c:v>0</c:v>
                  </c:pt>
                  <c:pt idx="4">
                    <c:v>4.6720414892965939E-2</c:v>
                  </c:pt>
                  <c:pt idx="5">
                    <c:v>3.6073637045418746E-3</c:v>
                  </c:pt>
                  <c:pt idx="6">
                    <c:v>1.4418605749879222E-3</c:v>
                  </c:pt>
                  <c:pt idx="7">
                    <c:v>0</c:v>
                  </c:pt>
                  <c:pt idx="8">
                    <c:v>2.3705291210260287E-3</c:v>
                  </c:pt>
                </c:numCache>
              </c:numRef>
            </c:minus>
          </c:errBars>
          <c:xVal>
            <c:numRef>
              <c:f>'Nutrients graphs'!$B$28:$B$36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graphs'!$E$28:$E$36</c:f>
              <c:numCache>
                <c:formatCode>General</c:formatCode>
                <c:ptCount val="9"/>
                <c:pt idx="0">
                  <c:v>1</c:v>
                </c:pt>
                <c:pt idx="1">
                  <c:v>0.18565949022519179</c:v>
                </c:pt>
                <c:pt idx="2">
                  <c:v>3.2181955454888639E-2</c:v>
                </c:pt>
                <c:pt idx="3">
                  <c:v>1.4</c:v>
                </c:pt>
                <c:pt idx="4">
                  <c:v>8.9876033057851246E-2</c:v>
                </c:pt>
                <c:pt idx="5">
                  <c:v>3.4657592064999472E-2</c:v>
                </c:pt>
                <c:pt idx="6">
                  <c:v>2.5742158327109788E-2</c:v>
                </c:pt>
                <c:pt idx="7">
                  <c:v>1.6202027516292541E-2</c:v>
                </c:pt>
                <c:pt idx="8">
                  <c:v>1.5054881887608463E-2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72-42AA-B850-DC3BFABF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65055"/>
        <c:axId val="1349255903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Nitrates</a:t>
                </a:r>
                <a:r>
                  <a:rPr lang="en-GB" sz="1200" baseline="0">
                    <a:effectLst/>
                  </a:rPr>
                  <a:t> (mgN/L)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1349255903"/>
        <c:scaling>
          <c:orientation val="minMax"/>
          <c:max val="1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Phosphates (mgP/L)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1349265055"/>
        <c:crosses val="max"/>
        <c:crossBetween val="midCat"/>
        <c:majorUnit val="0.5"/>
      </c:valAx>
      <c:valAx>
        <c:axId val="13492650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925590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2BE8-4B88-9610-9CEBB6EC3149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8-4B88-9610-9CEBB6EC3149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E8-4B88-9610-9CEBB6EC3149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E8-4B88-9610-9CEBB6EC3149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E8-4B88-9610-9CEBB6EC3149}"/>
            </c:ext>
          </c:extLst>
        </c:ser>
        <c:ser>
          <c:idx val="4"/>
          <c:order val="4"/>
          <c:tx>
            <c:strRef>
              <c:f>'Nutrients graphs'!$C$13:$D$13</c:f>
              <c:strCache>
                <c:ptCount val="1"/>
                <c:pt idx="0">
                  <c:v>Nitrates</c:v>
                </c:pt>
              </c:strCache>
            </c:strRef>
          </c:tx>
          <c:spPr>
            <a:ln>
              <a:solidFill>
                <a:srgbClr val="FF99FF"/>
              </a:solidFill>
            </a:ln>
          </c:spPr>
          <c:marker>
            <c:symbol val="square"/>
            <c:size val="5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graphs'!$D$41:$D$49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0.32471404421121702</c:v>
                  </c:pt>
                  <c:pt idx="3">
                    <c:v>0</c:v>
                  </c:pt>
                  <c:pt idx="4">
                    <c:v>2.7545666627338177</c:v>
                  </c:pt>
                  <c:pt idx="5">
                    <c:v>0.2597103855085009</c:v>
                  </c:pt>
                  <c:pt idx="6">
                    <c:v>0.14058494034349214</c:v>
                  </c:pt>
                  <c:pt idx="7">
                    <c:v>0.11677104822431106</c:v>
                  </c:pt>
                  <c:pt idx="8">
                    <c:v>0.11049982255763914</c:v>
                  </c:pt>
                </c:numCache>
              </c:numRef>
            </c:plus>
            <c:minus>
              <c:numRef>
                <c:f>'Nutrients graphs'!$D$41:$D$49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0.32471404421121702</c:v>
                  </c:pt>
                  <c:pt idx="3">
                    <c:v>0</c:v>
                  </c:pt>
                  <c:pt idx="4">
                    <c:v>2.7545666627338177</c:v>
                  </c:pt>
                  <c:pt idx="5">
                    <c:v>0.2597103855085009</c:v>
                  </c:pt>
                  <c:pt idx="6">
                    <c:v>0.14058494034349214</c:v>
                  </c:pt>
                  <c:pt idx="7">
                    <c:v>0.11677104822431106</c:v>
                  </c:pt>
                  <c:pt idx="8">
                    <c:v>0.11049982255763914</c:v>
                  </c:pt>
                </c:numCache>
              </c:numRef>
            </c:minus>
          </c:errBars>
          <c:xVal>
            <c:numRef>
              <c:f>'Nutrients graphs'!$B$41:$B$49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graphs'!$C$41:$C$49</c:f>
              <c:numCache>
                <c:formatCode>General</c:formatCode>
                <c:ptCount val="9"/>
                <c:pt idx="0">
                  <c:v>20</c:v>
                </c:pt>
                <c:pt idx="1">
                  <c:v>1.602188354826104</c:v>
                </c:pt>
                <c:pt idx="2">
                  <c:v>0.70339976553341155</c:v>
                </c:pt>
                <c:pt idx="3">
                  <c:v>22</c:v>
                </c:pt>
                <c:pt idx="4">
                  <c:v>4.660023446658851</c:v>
                </c:pt>
                <c:pt idx="5">
                  <c:v>0.87241109808518946</c:v>
                </c:pt>
                <c:pt idx="6">
                  <c:v>0.89390386869871041</c:v>
                </c:pt>
                <c:pt idx="7">
                  <c:v>0.75127002735443527</c:v>
                </c:pt>
                <c:pt idx="8">
                  <c:v>0.78839390386869868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E8-4B88-9610-9CEBB6EC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5"/>
          <c:order val="5"/>
          <c:tx>
            <c:strRef>
              <c:f>'Nutrients graphs'!$E$13:$F$13</c:f>
              <c:strCache>
                <c:ptCount val="1"/>
                <c:pt idx="0">
                  <c:v>Phosphates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graphs'!$F$41:$F$49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3.4877245857058412E-3</c:v>
                  </c:pt>
                  <c:pt idx="3">
                    <c:v>0</c:v>
                  </c:pt>
                  <c:pt idx="4">
                    <c:v>2.643228796473205E-2</c:v>
                  </c:pt>
                  <c:pt idx="5">
                    <c:v>5.055289228337586E-3</c:v>
                  </c:pt>
                  <c:pt idx="6">
                    <c:v>1.3474380815665277E-3</c:v>
                  </c:pt>
                  <c:pt idx="7">
                    <c:v>1.5430941614639456E-3</c:v>
                  </c:pt>
                  <c:pt idx="8">
                    <c:v>1.6379490935529819E-3</c:v>
                  </c:pt>
                </c:numCache>
              </c:numRef>
            </c:plus>
            <c:minus>
              <c:numRef>
                <c:f>'Nutrients graphs'!$F$41:$F$49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3.4877245857058412E-3</c:v>
                  </c:pt>
                  <c:pt idx="3">
                    <c:v>0</c:v>
                  </c:pt>
                  <c:pt idx="4">
                    <c:v>2.643228796473205E-2</c:v>
                  </c:pt>
                  <c:pt idx="5">
                    <c:v>5.055289228337586E-3</c:v>
                  </c:pt>
                  <c:pt idx="6">
                    <c:v>1.3474380815665277E-3</c:v>
                  </c:pt>
                  <c:pt idx="7">
                    <c:v>1.5430941614639456E-3</c:v>
                  </c:pt>
                  <c:pt idx="8">
                    <c:v>1.6379490935529819E-3</c:v>
                  </c:pt>
                </c:numCache>
              </c:numRef>
            </c:minus>
          </c:errBars>
          <c:xVal>
            <c:numRef>
              <c:f>'Nutrients graphs'!$B$41:$B$49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graphs'!$E$41:$E$49</c:f>
              <c:numCache>
                <c:formatCode>General</c:formatCode>
                <c:ptCount val="9"/>
                <c:pt idx="0">
                  <c:v>1</c:v>
                </c:pt>
                <c:pt idx="1">
                  <c:v>0.18565949022519179</c:v>
                </c:pt>
                <c:pt idx="2">
                  <c:v>3.4934566503082923E-2</c:v>
                </c:pt>
                <c:pt idx="3">
                  <c:v>1.4</c:v>
                </c:pt>
                <c:pt idx="4">
                  <c:v>0.121900826446281</c:v>
                </c:pt>
                <c:pt idx="5">
                  <c:v>3.453511509067065E-2</c:v>
                </c:pt>
                <c:pt idx="6">
                  <c:v>2.5158700522778195E-2</c:v>
                </c:pt>
                <c:pt idx="7">
                  <c:v>1.5070601013758145E-2</c:v>
                </c:pt>
                <c:pt idx="8">
                  <c:v>1.3771795363096377E-2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E8-4B88-9610-9CEBB6EC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65055"/>
        <c:axId val="1349255903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Nitrates</a:t>
                </a:r>
                <a:r>
                  <a:rPr lang="en-GB" sz="1200" baseline="0">
                    <a:effectLst/>
                  </a:rPr>
                  <a:t> (mgN/L)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1349255903"/>
        <c:scaling>
          <c:orientation val="minMax"/>
          <c:max val="1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Phosphates (mgP/L)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1349265055"/>
        <c:crosses val="max"/>
        <c:crossBetween val="midCat"/>
        <c:majorUnit val="0.5"/>
      </c:valAx>
      <c:valAx>
        <c:axId val="13492650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925590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58743821926105388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04EA-403B-9856-CABFEC1D26CE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A-403B-9856-CABFEC1D26CE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A-403B-9856-CABFEC1D26CE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A-403B-9856-CABFEC1D26CE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A-403B-9856-CABFEC1D26CE}"/>
            </c:ext>
          </c:extLst>
        </c:ser>
        <c:ser>
          <c:idx val="4"/>
          <c:order val="4"/>
          <c:tx>
            <c:strRef>
              <c:f>'Nutrients graphs'!$C$13:$D$13</c:f>
              <c:strCache>
                <c:ptCount val="1"/>
                <c:pt idx="0">
                  <c:v>Nitrates</c:v>
                </c:pt>
              </c:strCache>
            </c:strRef>
          </c:tx>
          <c:spPr>
            <a:ln>
              <a:solidFill>
                <a:srgbClr val="FF99FF"/>
              </a:solidFill>
            </a:ln>
          </c:spPr>
          <c:marker>
            <c:symbol val="square"/>
            <c:size val="5"/>
            <c:spPr>
              <a:solidFill>
                <a:srgbClr val="FF99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graphs'!$D$54:$D$62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2.6704992366368221</c:v>
                  </c:pt>
                  <c:pt idx="3">
                    <c:v>0</c:v>
                  </c:pt>
                  <c:pt idx="4">
                    <c:v>1.791656207304797</c:v>
                  </c:pt>
                  <c:pt idx="5">
                    <c:v>0.37617634696349217</c:v>
                  </c:pt>
                  <c:pt idx="6">
                    <c:v>1.2774703993690746</c:v>
                  </c:pt>
                  <c:pt idx="7">
                    <c:v>0.43207003492567586</c:v>
                  </c:pt>
                  <c:pt idx="8">
                    <c:v>2.2593122100584941</c:v>
                  </c:pt>
                </c:numCache>
              </c:numRef>
            </c:plus>
            <c:minus>
              <c:numRef>
                <c:f>'Nutrients graphs'!$D$54:$D$62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0.99539691583470946</c:v>
                  </c:pt>
                  <c:pt idx="2">
                    <c:v>2.6704992366368221</c:v>
                  </c:pt>
                  <c:pt idx="3">
                    <c:v>0</c:v>
                  </c:pt>
                  <c:pt idx="4">
                    <c:v>1.791656207304797</c:v>
                  </c:pt>
                  <c:pt idx="5">
                    <c:v>0.37617634696349217</c:v>
                  </c:pt>
                  <c:pt idx="6">
                    <c:v>1.2774703993690746</c:v>
                  </c:pt>
                  <c:pt idx="7">
                    <c:v>0.43207003492567586</c:v>
                  </c:pt>
                  <c:pt idx="8">
                    <c:v>2.2593122100584941</c:v>
                  </c:pt>
                </c:numCache>
              </c:numRef>
            </c:minus>
          </c:errBars>
          <c:xVal>
            <c:numRef>
              <c:f>'Nutrients graphs'!$B$54:$B$62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graphs'!$C$54:$C$62</c:f>
              <c:numCache>
                <c:formatCode>General</c:formatCode>
                <c:ptCount val="9"/>
                <c:pt idx="0">
                  <c:v>20</c:v>
                </c:pt>
                <c:pt idx="1">
                  <c:v>1.602188354826104</c:v>
                </c:pt>
                <c:pt idx="2">
                  <c:v>4.5884134427510741</c:v>
                </c:pt>
                <c:pt idx="3">
                  <c:v>22</c:v>
                </c:pt>
                <c:pt idx="4">
                  <c:v>19.509574052364204</c:v>
                </c:pt>
                <c:pt idx="5">
                  <c:v>21.199687377881979</c:v>
                </c:pt>
                <c:pt idx="6">
                  <c:v>22.684642438452517</c:v>
                </c:pt>
                <c:pt idx="7">
                  <c:v>21.815162172723717</c:v>
                </c:pt>
                <c:pt idx="8">
                  <c:v>20.808909730363421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A-403B-9856-CABFEC1D2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scatterChart>
        <c:scatterStyle val="lineMarker"/>
        <c:varyColors val="0"/>
        <c:ser>
          <c:idx val="5"/>
          <c:order val="5"/>
          <c:tx>
            <c:strRef>
              <c:f>'Nutrients graphs'!$E$13:$F$13</c:f>
              <c:strCache>
                <c:ptCount val="1"/>
                <c:pt idx="0">
                  <c:v>Phosphates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'Nutrients graphs'!$F$54:$F$62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0.11619401986575173</c:v>
                  </c:pt>
                  <c:pt idx="3">
                    <c:v>0</c:v>
                  </c:pt>
                  <c:pt idx="4">
                    <c:v>0.14876989562148016</c:v>
                  </c:pt>
                  <c:pt idx="5">
                    <c:v>0.13556872500622999</c:v>
                  </c:pt>
                  <c:pt idx="6">
                    <c:v>7.1989015389202146E-2</c:v>
                  </c:pt>
                  <c:pt idx="7">
                    <c:v>0.10830976758804566</c:v>
                  </c:pt>
                  <c:pt idx="8">
                    <c:v>7.8621397658955511E-2</c:v>
                  </c:pt>
                </c:numCache>
              </c:numRef>
            </c:plus>
            <c:minus>
              <c:numRef>
                <c:f>'Nutrients graphs'!$F$54:$F$62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9.2710095347481453E-2</c:v>
                  </c:pt>
                  <c:pt idx="2">
                    <c:v>0.11619401986575173</c:v>
                  </c:pt>
                  <c:pt idx="3">
                    <c:v>0</c:v>
                  </c:pt>
                  <c:pt idx="4">
                    <c:v>0.14876989562148016</c:v>
                  </c:pt>
                  <c:pt idx="5">
                    <c:v>0.13556872500622999</c:v>
                  </c:pt>
                  <c:pt idx="6">
                    <c:v>7.1989015389202146E-2</c:v>
                  </c:pt>
                  <c:pt idx="7">
                    <c:v>0.10830976758804566</c:v>
                  </c:pt>
                  <c:pt idx="8">
                    <c:v>7.8621397658955511E-2</c:v>
                  </c:pt>
                </c:numCache>
              </c:numRef>
            </c:minus>
          </c:errBars>
          <c:xVal>
            <c:numRef>
              <c:f>'Nutrients graphs'!$B$54:$B$62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xVal>
          <c:yVal>
            <c:numRef>
              <c:f>'Nutrients graphs'!$E$54:$E$62</c:f>
              <c:numCache>
                <c:formatCode>General</c:formatCode>
                <c:ptCount val="9"/>
                <c:pt idx="0">
                  <c:v>1</c:v>
                </c:pt>
                <c:pt idx="1">
                  <c:v>0.18565949022519179</c:v>
                </c:pt>
                <c:pt idx="2">
                  <c:v>0.12183842959607399</c:v>
                </c:pt>
                <c:pt idx="3">
                  <c:v>1.4</c:v>
                </c:pt>
                <c:pt idx="4">
                  <c:v>1.0423553719008263</c:v>
                </c:pt>
                <c:pt idx="5">
                  <c:v>1.130864197530864</c:v>
                </c:pt>
                <c:pt idx="6">
                  <c:v>1.2473861090365945</c:v>
                </c:pt>
                <c:pt idx="7">
                  <c:v>1.1372194062273717</c:v>
                </c:pt>
                <c:pt idx="8">
                  <c:v>1.1649741329756658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EA-403B-9856-CABFEC1D2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65055"/>
        <c:axId val="1349255903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Nitrates</a:t>
                </a:r>
                <a:r>
                  <a:rPr lang="en-GB" sz="1200" baseline="0">
                    <a:effectLst/>
                  </a:rPr>
                  <a:t> (mgN/L)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1349255903"/>
        <c:scaling>
          <c:orientation val="minMax"/>
          <c:max val="1.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Phosphates (mgP/L)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1349265055"/>
        <c:crosses val="max"/>
        <c:crossBetween val="midCat"/>
        <c:majorUnit val="0.5"/>
      </c:valAx>
      <c:valAx>
        <c:axId val="13492650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925590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0000120628384263E-2"/>
          <c:y val="0.90781422120895017"/>
          <c:w val="0.84037068443367657"/>
          <c:h val="8.9794833394566245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graphs'!$A$12</c:f>
          <c:strCache>
            <c:ptCount val="1"/>
            <c:pt idx="0">
              <c:v>High Light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lineChart>
        <c:grouping val="standard"/>
        <c:varyColors val="0"/>
        <c:ser>
          <c:idx val="6"/>
          <c:order val="5"/>
          <c:tx>
            <c:strRef>
              <c:f>'Growth Parameter graphs'!$I$13:$J$13</c:f>
              <c:strCache>
                <c:ptCount val="1"/>
                <c:pt idx="0">
                  <c:v>Surface/Wet Weight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graphs'!$J$15:$J$22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5.9498653080565438</c:v>
                  </c:pt>
                  <c:pt idx="3">
                    <c:v>11.915815170242475</c:v>
                  </c:pt>
                  <c:pt idx="4">
                    <c:v>13.58212864704457</c:v>
                  </c:pt>
                  <c:pt idx="5">
                    <c:v>9.7200260029465113</c:v>
                  </c:pt>
                  <c:pt idx="6">
                    <c:v>9.5935017504852844</c:v>
                  </c:pt>
                  <c:pt idx="7">
                    <c:v>9.5895597424102199</c:v>
                  </c:pt>
                </c:numCache>
              </c:numRef>
            </c:plus>
            <c:minus>
              <c:numRef>
                <c:f>'Growth Parameter graphs'!$J$15:$J$22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5.9498653080565438</c:v>
                  </c:pt>
                  <c:pt idx="3">
                    <c:v>11.915815170242475</c:v>
                  </c:pt>
                  <c:pt idx="4">
                    <c:v>13.58212864704457</c:v>
                  </c:pt>
                  <c:pt idx="5">
                    <c:v>9.7200260029465113</c:v>
                  </c:pt>
                  <c:pt idx="6">
                    <c:v>9.5935017504852844</c:v>
                  </c:pt>
                  <c:pt idx="7">
                    <c:v>9.5895597424102199</c:v>
                  </c:pt>
                </c:numCache>
              </c:numRef>
            </c:minus>
          </c:errBars>
          <c:cat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cat>
          <c:val>
            <c:numRef>
              <c:f>'Growth Parameter graphs'!$I$15:$I$22</c:f>
              <c:numCache>
                <c:formatCode>General</c:formatCode>
                <c:ptCount val="8"/>
                <c:pt idx="0">
                  <c:v>196.23931130086902</c:v>
                </c:pt>
                <c:pt idx="1">
                  <c:v>136.78885720201794</c:v>
                </c:pt>
                <c:pt idx="2">
                  <c:v>108.35354016558344</c:v>
                </c:pt>
                <c:pt idx="3">
                  <c:v>122.05582032806232</c:v>
                </c:pt>
                <c:pt idx="4">
                  <c:v>117.01725465937513</c:v>
                </c:pt>
                <c:pt idx="5">
                  <c:v>111.20074491184401</c:v>
                </c:pt>
                <c:pt idx="6">
                  <c:v>123.25971670079272</c:v>
                </c:pt>
                <c:pt idx="7">
                  <c:v>97.413648716642427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E5-4685-B564-46CAE960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51456"/>
        <c:axId val="407551040"/>
      </c:lineChar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5-4685-B564-46CAE960F01E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5-4685-B564-46CAE960F01E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5-4685-B564-46CAE960F01E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5-4685-B564-46CAE960F01E}"/>
            </c:ext>
          </c:extLst>
        </c:ser>
        <c:ser>
          <c:idx val="5"/>
          <c:order val="4"/>
          <c:tx>
            <c:strRef>
              <c:f>'Growth Parameter graphs'!$K$13:$L$13</c:f>
              <c:strCache>
                <c:ptCount val="1"/>
                <c:pt idx="0">
                  <c:v>Growth Rate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graphs'!$L$15:$L$22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3.9475702083720376</c:v>
                  </c:pt>
                  <c:pt idx="3">
                    <c:v>4.854399982510035</c:v>
                  </c:pt>
                  <c:pt idx="4">
                    <c:v>3.5686083783442912</c:v>
                  </c:pt>
                  <c:pt idx="5">
                    <c:v>9.5377501033954282</c:v>
                  </c:pt>
                  <c:pt idx="6">
                    <c:v>4.1189444045720656</c:v>
                  </c:pt>
                  <c:pt idx="7">
                    <c:v>4.6624802129144225</c:v>
                  </c:pt>
                </c:numCache>
              </c:numRef>
            </c:plus>
            <c:minus>
              <c:numRef>
                <c:f>'Growth Parameter graphs'!$L$15:$L$22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3.9475702083720376</c:v>
                  </c:pt>
                  <c:pt idx="3">
                    <c:v>4.854399982510035</c:v>
                  </c:pt>
                  <c:pt idx="4">
                    <c:v>3.5686083783442912</c:v>
                  </c:pt>
                  <c:pt idx="5">
                    <c:v>9.5377501033954282</c:v>
                  </c:pt>
                  <c:pt idx="6">
                    <c:v>4.1189444045720656</c:v>
                  </c:pt>
                  <c:pt idx="7">
                    <c:v>4.6624802129144225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graphs'!$K$15:$K$22</c:f>
              <c:numCache>
                <c:formatCode>General</c:formatCode>
                <c:ptCount val="8"/>
                <c:pt idx="0">
                  <c:v>0</c:v>
                </c:pt>
                <c:pt idx="1">
                  <c:v>18.635302689757573</c:v>
                </c:pt>
                <c:pt idx="2">
                  <c:v>20.624040961940434</c:v>
                </c:pt>
                <c:pt idx="3">
                  <c:v>20.893608984743651</c:v>
                </c:pt>
                <c:pt idx="4">
                  <c:v>9.4559392982220327</c:v>
                </c:pt>
                <c:pt idx="5">
                  <c:v>11.065240107760829</c:v>
                </c:pt>
                <c:pt idx="6">
                  <c:v>-2.189909076660344</c:v>
                </c:pt>
                <c:pt idx="7">
                  <c:v>11.466771826877233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E5-4685-B564-46CAE960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effectLst/>
                  </a:rPr>
                  <a:t>Growth Rate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407551040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Surface/ Wet Weight (cm</a:t>
                </a:r>
                <a:r>
                  <a:rPr lang="es-ES" baseline="30000"/>
                  <a:t>2</a:t>
                </a:r>
                <a:r>
                  <a:rPr lang="es-ES" baseline="0"/>
                  <a:t>/g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93298499007282887"/>
              <c:y val="0.123534857949666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between"/>
        <c:majorUnit val="50"/>
      </c:valAx>
      <c:cat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5.2262613514468988E-3"/>
          <c:y val="0.88626655763091355"/>
          <c:w val="0.98601518986496883"/>
          <c:h val="0.10978902327176211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graphs'!$A$24</c:f>
          <c:strCache>
            <c:ptCount val="1"/>
            <c:pt idx="0">
              <c:v>Medium Light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lineChart>
        <c:grouping val="standard"/>
        <c:varyColors val="0"/>
        <c:ser>
          <c:idx val="6"/>
          <c:order val="5"/>
          <c:tx>
            <c:strRef>
              <c:f>'Growth Parameter graphs'!$I$13:$J$13</c:f>
              <c:strCache>
                <c:ptCount val="1"/>
                <c:pt idx="0">
                  <c:v>Surface/Wet Weight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graphs'!$J$27:$J$34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34.654687567141167</c:v>
                  </c:pt>
                  <c:pt idx="3">
                    <c:v>11.391500725419228</c:v>
                  </c:pt>
                  <c:pt idx="4">
                    <c:v>7.0463626556512633</c:v>
                  </c:pt>
                  <c:pt idx="5">
                    <c:v>8.1350613596528198</c:v>
                  </c:pt>
                  <c:pt idx="6">
                    <c:v>7.3753569281901479</c:v>
                  </c:pt>
                  <c:pt idx="7">
                    <c:v>3.9699462544538942</c:v>
                  </c:pt>
                </c:numCache>
              </c:numRef>
            </c:plus>
            <c:minus>
              <c:numRef>
                <c:f>'Growth Parameter graphs'!$J$27:$J$34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34.654687567141167</c:v>
                  </c:pt>
                  <c:pt idx="3">
                    <c:v>11.391500725419228</c:v>
                  </c:pt>
                  <c:pt idx="4">
                    <c:v>7.0463626556512633</c:v>
                  </c:pt>
                  <c:pt idx="5">
                    <c:v>8.1350613596528198</c:v>
                  </c:pt>
                  <c:pt idx="6">
                    <c:v>7.3753569281901479</c:v>
                  </c:pt>
                  <c:pt idx="7">
                    <c:v>3.9699462544538942</c:v>
                  </c:pt>
                </c:numCache>
              </c:numRef>
            </c:minus>
          </c:errBars>
          <c:cat>
            <c:numRef>
              <c:f>'Growth Parameter graphs'!$B$26:$B$34</c:f>
              <c:numCache>
                <c:formatCode>0</c:formatCode>
                <c:ptCount val="9"/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</c:numCache>
            </c:numRef>
          </c:cat>
          <c:val>
            <c:numRef>
              <c:f>'Growth Parameter graphs'!$I$27:$I$34</c:f>
              <c:numCache>
                <c:formatCode>General</c:formatCode>
                <c:ptCount val="8"/>
                <c:pt idx="0">
                  <c:v>196.23931130086902</c:v>
                </c:pt>
                <c:pt idx="1">
                  <c:v>136.78885720201794</c:v>
                </c:pt>
                <c:pt idx="2">
                  <c:v>108.10355259569523</c:v>
                </c:pt>
                <c:pt idx="3">
                  <c:v>119.74228882728207</c:v>
                </c:pt>
                <c:pt idx="4">
                  <c:v>108.69500995003129</c:v>
                </c:pt>
                <c:pt idx="5">
                  <c:v>110.37659632752268</c:v>
                </c:pt>
                <c:pt idx="6">
                  <c:v>99.026196990906087</c:v>
                </c:pt>
                <c:pt idx="7">
                  <c:v>103.14910497604004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430B-879C-913CBAE4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51456"/>
        <c:axId val="407551040"/>
      </c:lineChar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C-430B-879C-913CBAE4E179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C-430B-879C-913CBAE4E179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C-430B-879C-913CBAE4E179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FC-430B-879C-913CBAE4E179}"/>
            </c:ext>
          </c:extLst>
        </c:ser>
        <c:ser>
          <c:idx val="5"/>
          <c:order val="4"/>
          <c:tx>
            <c:strRef>
              <c:f>'Growth Parameter graphs'!$K$13:$L$13</c:f>
              <c:strCache>
                <c:ptCount val="1"/>
                <c:pt idx="0">
                  <c:v>Growth Rate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graphs'!$L$27:$L$34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4.0031079580918689</c:v>
                  </c:pt>
                  <c:pt idx="3">
                    <c:v>4.0857592403632834</c:v>
                  </c:pt>
                  <c:pt idx="4">
                    <c:v>7.695549877202172</c:v>
                  </c:pt>
                  <c:pt idx="5">
                    <c:v>8.0643880142328648</c:v>
                  </c:pt>
                  <c:pt idx="6">
                    <c:v>6.6392963457483534</c:v>
                  </c:pt>
                  <c:pt idx="7">
                    <c:v>3.3789130603142326</c:v>
                  </c:pt>
                </c:numCache>
              </c:numRef>
            </c:plus>
            <c:minus>
              <c:numRef>
                <c:f>'Growth Parameter graphs'!$L$27:$L$34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4.0031079580918689</c:v>
                  </c:pt>
                  <c:pt idx="3">
                    <c:v>4.0857592403632834</c:v>
                  </c:pt>
                  <c:pt idx="4">
                    <c:v>7.695549877202172</c:v>
                  </c:pt>
                  <c:pt idx="5">
                    <c:v>8.0643880142328648</c:v>
                  </c:pt>
                  <c:pt idx="6">
                    <c:v>6.6392963457483534</c:v>
                  </c:pt>
                  <c:pt idx="7">
                    <c:v>3.3789130603142326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graphs'!$K$27:$K$34</c:f>
              <c:numCache>
                <c:formatCode>General</c:formatCode>
                <c:ptCount val="8"/>
                <c:pt idx="0">
                  <c:v>0</c:v>
                </c:pt>
                <c:pt idx="1">
                  <c:v>18.635302689757573</c:v>
                </c:pt>
                <c:pt idx="2">
                  <c:v>26.8181208122583</c:v>
                </c:pt>
                <c:pt idx="3">
                  <c:v>13.202907347284889</c:v>
                </c:pt>
                <c:pt idx="4">
                  <c:v>17.835321398271077</c:v>
                </c:pt>
                <c:pt idx="5">
                  <c:v>3.5769190267474262</c:v>
                </c:pt>
                <c:pt idx="6">
                  <c:v>-5.8826840014525867</c:v>
                </c:pt>
                <c:pt idx="7">
                  <c:v>10.830477605917782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FC-430B-879C-913CBAE4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Growth Rate (%)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407551040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Surface/ Wet Weight (cm</a:t>
                </a:r>
                <a:r>
                  <a:rPr lang="es-ES" baseline="30000"/>
                  <a:t>2</a:t>
                </a:r>
                <a:r>
                  <a:rPr lang="es-ES" baseline="0"/>
                  <a:t>/g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93298499007282887"/>
              <c:y val="0.123534857949666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between"/>
        <c:majorUnit val="50"/>
      </c:valAx>
      <c:catAx>
        <c:axId val="4075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55104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5.2262613514468988E-3"/>
          <c:y val="0.88626655763091355"/>
          <c:w val="0.98601518986496883"/>
          <c:h val="0.10978902327176211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graphs'!$A$36</c:f>
          <c:strCache>
            <c:ptCount val="1"/>
            <c:pt idx="0">
              <c:v>Low Light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lineChart>
        <c:grouping val="standard"/>
        <c:varyColors val="0"/>
        <c:ser>
          <c:idx val="6"/>
          <c:order val="5"/>
          <c:tx>
            <c:strRef>
              <c:f>'Growth Parameter graphs'!$I$13:$J$13</c:f>
              <c:strCache>
                <c:ptCount val="1"/>
                <c:pt idx="0">
                  <c:v>Surface/Wet Weight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graphs'!$J$39:$J$46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17.715573238543502</c:v>
                  </c:pt>
                  <c:pt idx="3">
                    <c:v>12.490766204488761</c:v>
                  </c:pt>
                  <c:pt idx="4">
                    <c:v>14.660534777656871</c:v>
                  </c:pt>
                  <c:pt idx="5">
                    <c:v>5.5092121538889458</c:v>
                  </c:pt>
                  <c:pt idx="6">
                    <c:v>5.8867098463494631</c:v>
                  </c:pt>
                  <c:pt idx="7">
                    <c:v>4.8207869470003519</c:v>
                  </c:pt>
                </c:numCache>
              </c:numRef>
            </c:plus>
            <c:minus>
              <c:numRef>
                <c:f>'Growth Parameter graphs'!$J$39:$J$46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17.715573238543502</c:v>
                  </c:pt>
                  <c:pt idx="3">
                    <c:v>12.490766204488761</c:v>
                  </c:pt>
                  <c:pt idx="4">
                    <c:v>14.660534777656871</c:v>
                  </c:pt>
                  <c:pt idx="5">
                    <c:v>5.5092121538889458</c:v>
                  </c:pt>
                  <c:pt idx="6">
                    <c:v>5.8867098463494631</c:v>
                  </c:pt>
                  <c:pt idx="7">
                    <c:v>4.8207869470003519</c:v>
                  </c:pt>
                </c:numCache>
              </c:numRef>
            </c:minus>
          </c:errBars>
          <c:cat>
            <c:numRef>
              <c:f>'Growth Parameter graphs'!$B$39:$B$46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cat>
          <c:val>
            <c:numRef>
              <c:f>'Growth Parameter graphs'!$I$39:$I$46</c:f>
              <c:numCache>
                <c:formatCode>General</c:formatCode>
                <c:ptCount val="8"/>
                <c:pt idx="0">
                  <c:v>196.23931130086902</c:v>
                </c:pt>
                <c:pt idx="1">
                  <c:v>136.78885720201794</c:v>
                </c:pt>
                <c:pt idx="2">
                  <c:v>110.97111392503646</c:v>
                </c:pt>
                <c:pt idx="3">
                  <c:v>120.0455801585361</c:v>
                </c:pt>
                <c:pt idx="4">
                  <c:v>114.21378199694549</c:v>
                </c:pt>
                <c:pt idx="5">
                  <c:v>104.3549729061251</c:v>
                </c:pt>
                <c:pt idx="6">
                  <c:v>96.160163851765773</c:v>
                </c:pt>
                <c:pt idx="7">
                  <c:v>95.345467949832226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A-4FCB-8E04-C57AF35B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51456"/>
        <c:axId val="407551040"/>
      </c:lineChar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FCB-8E04-C57AF35BD72F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A-4FCB-8E04-C57AF35BD72F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A-4FCB-8E04-C57AF35BD72F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FA-4FCB-8E04-C57AF35BD72F}"/>
            </c:ext>
          </c:extLst>
        </c:ser>
        <c:ser>
          <c:idx val="5"/>
          <c:order val="4"/>
          <c:tx>
            <c:strRef>
              <c:f>'Growth Parameter graphs'!$K$13:$L$13</c:f>
              <c:strCache>
                <c:ptCount val="1"/>
                <c:pt idx="0">
                  <c:v>Growth Rate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graphs'!$L$39:$L$46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8.0179566673921716</c:v>
                  </c:pt>
                  <c:pt idx="3">
                    <c:v>4.7468975688691621</c:v>
                  </c:pt>
                  <c:pt idx="4">
                    <c:v>6.1491802359245016</c:v>
                  </c:pt>
                  <c:pt idx="5">
                    <c:v>9.3000524952235182</c:v>
                  </c:pt>
                  <c:pt idx="6">
                    <c:v>7.1813687228881387</c:v>
                  </c:pt>
                  <c:pt idx="7">
                    <c:v>2.0470231056935391</c:v>
                  </c:pt>
                </c:numCache>
              </c:numRef>
            </c:plus>
            <c:minus>
              <c:numRef>
                <c:f>'Growth Parameter graphs'!$L$39:$L$46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8.0179566673921716</c:v>
                  </c:pt>
                  <c:pt idx="3">
                    <c:v>4.7468975688691621</c:v>
                  </c:pt>
                  <c:pt idx="4">
                    <c:v>6.1491802359245016</c:v>
                  </c:pt>
                  <c:pt idx="5">
                    <c:v>9.3000524952235182</c:v>
                  </c:pt>
                  <c:pt idx="6">
                    <c:v>7.1813687228881387</c:v>
                  </c:pt>
                  <c:pt idx="7">
                    <c:v>2.0470231056935391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graphs'!$K$39:$K$46</c:f>
              <c:numCache>
                <c:formatCode>General</c:formatCode>
                <c:ptCount val="8"/>
                <c:pt idx="0">
                  <c:v>0</c:v>
                </c:pt>
                <c:pt idx="1">
                  <c:v>18.635302689757573</c:v>
                </c:pt>
                <c:pt idx="2">
                  <c:v>23.728569466022297</c:v>
                </c:pt>
                <c:pt idx="3">
                  <c:v>14.920885009559557</c:v>
                </c:pt>
                <c:pt idx="4">
                  <c:v>13.777001845898486</c:v>
                </c:pt>
                <c:pt idx="5">
                  <c:v>1.6301770441636538</c:v>
                </c:pt>
                <c:pt idx="6">
                  <c:v>-3.2275519490254085</c:v>
                </c:pt>
                <c:pt idx="7">
                  <c:v>10.310942133007034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A-4FCB-8E04-C57AF35B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Growth Rate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407551040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 / Wet Weight (cm</a:t>
                </a:r>
                <a:r>
                  <a:rPr lang="es-ES" baseline="30000"/>
                  <a:t>2</a:t>
                </a:r>
                <a:r>
                  <a:rPr lang="es-ES"/>
                  <a:t>/g)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between"/>
        <c:majorUnit val="50"/>
      </c:valAx>
      <c:cat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5.2262613514468988E-3"/>
          <c:y val="0.88626655763091355"/>
          <c:w val="0.98601518986496883"/>
          <c:h val="0.10978902327176211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'Growth Parameter graphs'!$A$48</c:f>
          <c:strCache>
            <c:ptCount val="1"/>
            <c:pt idx="0">
              <c:v>Darkness</c:v>
            </c:pt>
          </c:strCache>
        </c:strRef>
      </c:tx>
      <c:overlay val="0"/>
      <c:txPr>
        <a:bodyPr/>
        <a:lstStyle/>
        <a:p>
          <a:pPr>
            <a:defRPr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74588100590171"/>
          <c:y val="0.15509023094601215"/>
          <c:w val="0.62473819328545566"/>
          <c:h val="0.57508947745168215"/>
        </c:manualLayout>
      </c:layout>
      <c:lineChart>
        <c:grouping val="standard"/>
        <c:varyColors val="0"/>
        <c:ser>
          <c:idx val="6"/>
          <c:order val="5"/>
          <c:tx>
            <c:strRef>
              <c:f>'Growth Parameter graphs'!$I$13:$J$13</c:f>
              <c:strCache>
                <c:ptCount val="1"/>
                <c:pt idx="0">
                  <c:v>Surface/Wet Weight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graphs'!$J$51:$J$58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10.854992604908681</c:v>
                  </c:pt>
                  <c:pt idx="3">
                    <c:v>9.7480149095815527</c:v>
                  </c:pt>
                  <c:pt idx="4">
                    <c:v>8.2459761778200136</c:v>
                  </c:pt>
                  <c:pt idx="5">
                    <c:v>10.256513425536102</c:v>
                  </c:pt>
                  <c:pt idx="6">
                    <c:v>5.6518852485887461</c:v>
                  </c:pt>
                  <c:pt idx="7">
                    <c:v>5.0402838724747649</c:v>
                  </c:pt>
                </c:numCache>
              </c:numRef>
            </c:plus>
            <c:minus>
              <c:numRef>
                <c:f>'Growth Parameter graphs'!$J$51:$J$58</c:f>
                <c:numCache>
                  <c:formatCode>General</c:formatCode>
                  <c:ptCount val="8"/>
                  <c:pt idx="0">
                    <c:v>28.473539730110328</c:v>
                  </c:pt>
                  <c:pt idx="1">
                    <c:v>28.575256726026076</c:v>
                  </c:pt>
                  <c:pt idx="2">
                    <c:v>10.854992604908681</c:v>
                  </c:pt>
                  <c:pt idx="3">
                    <c:v>9.7480149095815527</c:v>
                  </c:pt>
                  <c:pt idx="4">
                    <c:v>8.2459761778200136</c:v>
                  </c:pt>
                  <c:pt idx="5">
                    <c:v>10.256513425536102</c:v>
                  </c:pt>
                  <c:pt idx="6">
                    <c:v>5.6518852485887461</c:v>
                  </c:pt>
                  <c:pt idx="7">
                    <c:v>5.0402838724747649</c:v>
                  </c:pt>
                </c:numCache>
              </c:numRef>
            </c:minus>
          </c:errBars>
          <c:cat>
            <c:numRef>
              <c:f>'Growth Parameter graphs'!$B$51:$B$58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cat>
          <c:val>
            <c:numRef>
              <c:f>'Growth Parameter graphs'!$I$51:$I$58</c:f>
              <c:numCache>
                <c:formatCode>General</c:formatCode>
                <c:ptCount val="8"/>
                <c:pt idx="0">
                  <c:v>196.23931130086902</c:v>
                </c:pt>
                <c:pt idx="1">
                  <c:v>136.78885720201794</c:v>
                </c:pt>
                <c:pt idx="2">
                  <c:v>119.04236878193021</c:v>
                </c:pt>
                <c:pt idx="3">
                  <c:v>107.9241580139871</c:v>
                </c:pt>
                <c:pt idx="4">
                  <c:v>103.36812561797416</c:v>
                </c:pt>
                <c:pt idx="5">
                  <c:v>101.4206036274206</c:v>
                </c:pt>
                <c:pt idx="6">
                  <c:v>97.141048181075007</c:v>
                </c:pt>
                <c:pt idx="7">
                  <c:v>97.738956046433515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E-43BE-9010-D7BDE845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51456"/>
        <c:axId val="407551040"/>
      </c:lineChart>
      <c:scatterChart>
        <c:scatterStyle val="lineMarker"/>
        <c:varyColors val="0"/>
        <c:ser>
          <c:idx val="0"/>
          <c:order val="0"/>
          <c:tx>
            <c:strRef>
              <c:f>'Growth Parameter graphs'!$A$2:$A$3</c:f>
              <c:strCache>
                <c:ptCount val="2"/>
                <c:pt idx="0">
                  <c:v>Acclimatisation 1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'Growth Parameter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E-43BE-9010-D7BDE8451989}"/>
            </c:ext>
          </c:extLst>
        </c:ser>
        <c:ser>
          <c:idx val="1"/>
          <c:order val="1"/>
          <c:tx>
            <c:strRef>
              <c:f>'Growth Parameter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'Growth Parameter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E-43BE-9010-D7BDE8451989}"/>
            </c:ext>
          </c:extLst>
        </c:ser>
        <c:ser>
          <c:idx val="2"/>
          <c:order val="2"/>
          <c:tx>
            <c:strRef>
              <c:f>'Growth Parameter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'Growth Parameter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E-43BE-9010-D7BDE8451989}"/>
            </c:ext>
          </c:extLst>
        </c:ser>
        <c:ser>
          <c:idx val="3"/>
          <c:order val="3"/>
          <c:tx>
            <c:strRef>
              <c:f>'Growth Parameter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'Growth Parameter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'Growth Parameter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E-43BE-9010-D7BDE8451989}"/>
            </c:ext>
          </c:extLst>
        </c:ser>
        <c:ser>
          <c:idx val="5"/>
          <c:order val="4"/>
          <c:tx>
            <c:strRef>
              <c:f>'Growth Parameter graphs'!$K$13:$L$13</c:f>
              <c:strCache>
                <c:ptCount val="1"/>
                <c:pt idx="0">
                  <c:v>Growth Rate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 Parameter graphs'!$L$51:$L$58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8.0157969507577995</c:v>
                  </c:pt>
                  <c:pt idx="3">
                    <c:v>5.5634672571084591</c:v>
                  </c:pt>
                  <c:pt idx="4">
                    <c:v>3.0154219084261156</c:v>
                  </c:pt>
                  <c:pt idx="5">
                    <c:v>8.8007011748938151</c:v>
                  </c:pt>
                  <c:pt idx="6">
                    <c:v>17.124659539066595</c:v>
                  </c:pt>
                  <c:pt idx="7">
                    <c:v>7.0377422229259468</c:v>
                  </c:pt>
                </c:numCache>
              </c:numRef>
            </c:plus>
            <c:minus>
              <c:numRef>
                <c:f>'Growth Parameter graphs'!$L$51:$L$58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4.3697378483588105</c:v>
                  </c:pt>
                  <c:pt idx="2">
                    <c:v>8.0157969507577995</c:v>
                  </c:pt>
                  <c:pt idx="3">
                    <c:v>5.5634672571084591</c:v>
                  </c:pt>
                  <c:pt idx="4">
                    <c:v>3.0154219084261156</c:v>
                  </c:pt>
                  <c:pt idx="5">
                    <c:v>8.8007011748938151</c:v>
                  </c:pt>
                  <c:pt idx="6">
                    <c:v>17.124659539066595</c:v>
                  </c:pt>
                  <c:pt idx="7">
                    <c:v>7.0377422229259468</c:v>
                  </c:pt>
                </c:numCache>
              </c:numRef>
            </c:minus>
          </c:errBars>
          <c:xVal>
            <c:numRef>
              <c:f>'Growth Parameter graphs'!$B$15:$B$22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'Growth Parameter graphs'!$K$51:$K$58</c:f>
              <c:numCache>
                <c:formatCode>General</c:formatCode>
                <c:ptCount val="8"/>
                <c:pt idx="0">
                  <c:v>0</c:v>
                </c:pt>
                <c:pt idx="1">
                  <c:v>18.635302689757573</c:v>
                </c:pt>
                <c:pt idx="2">
                  <c:v>13.956937441311791</c:v>
                </c:pt>
                <c:pt idx="3">
                  <c:v>5.0385073010998136</c:v>
                </c:pt>
                <c:pt idx="4">
                  <c:v>2.9349121745788591</c:v>
                </c:pt>
                <c:pt idx="5">
                  <c:v>-4.663795030698763</c:v>
                </c:pt>
                <c:pt idx="6">
                  <c:v>-1.0934696652941214</c:v>
                </c:pt>
                <c:pt idx="7">
                  <c:v>5.7259072932044681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E-43BE-9010-D7BDE845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effectLst/>
                  </a:rPr>
                  <a:t>Growt</a:t>
                </a:r>
                <a:r>
                  <a:rPr lang="en-GB" sz="1200" baseline="0">
                    <a:effectLst/>
                  </a:rPr>
                  <a:t>h Rate (%)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5"/>
      </c:valAx>
      <c:valAx>
        <c:axId val="407551040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Surface/ Wet Weight (cm</a:t>
                </a:r>
                <a:r>
                  <a:rPr lang="es-ES" baseline="30000"/>
                  <a:t>2</a:t>
                </a:r>
                <a:r>
                  <a:rPr lang="es-ES" baseline="0"/>
                  <a:t>/g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93298499007282887"/>
              <c:y val="0.123534857949666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PT"/>
          </a:p>
        </c:txPr>
        <c:crossAx val="407551456"/>
        <c:crosses val="max"/>
        <c:crossBetween val="between"/>
        <c:majorUnit val="50"/>
      </c:valAx>
      <c:catAx>
        <c:axId val="4075514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755104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5.2262613514468988E-3"/>
          <c:y val="0.88626655763091355"/>
          <c:w val="0.98601518986496883"/>
          <c:h val="0.10978902327176211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1599439424104"/>
          <c:y val="4.4085446507007756E-2"/>
          <c:w val="0.72974586722834067"/>
          <c:h val="0.6860943019727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Plating graphs'!$A$2:$A$3</c:f>
              <c:strCache>
                <c:ptCount val="2"/>
                <c:pt idx="0">
                  <c:v>Acclimatisation 1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7-FCA7-4729-97E8-F910F1059959}"/>
              </c:ext>
            </c:extLst>
          </c:dPt>
          <c:xVal>
            <c:numRef>
              <c:f>'Plate Plating graphs'!$B$2:$B$3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'Plate Plating graphs'!$C$2:$C$3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7-4729-97E8-F910F1059959}"/>
            </c:ext>
          </c:extLst>
        </c:ser>
        <c:ser>
          <c:idx val="1"/>
          <c:order val="1"/>
          <c:tx>
            <c:strRef>
              <c:f>'Plate Plating graphs'!$A$4:$A$5</c:f>
              <c:strCache>
                <c:ptCount val="2"/>
                <c:pt idx="0">
                  <c:v>Acclimatisation 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graphs'!$B$4:$B$5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'Plate Plating graphs'!$C$4:$C$5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7-4729-97E8-F910F1059959}"/>
            </c:ext>
          </c:extLst>
        </c:ser>
        <c:ser>
          <c:idx val="2"/>
          <c:order val="2"/>
          <c:tx>
            <c:strRef>
              <c:f>'Plate Plating graphs'!$A$6:$A$7</c:f>
              <c:strCache>
                <c:ptCount val="2"/>
                <c:pt idx="0">
                  <c:v>Colonisation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graphs'!$B$6:$B$7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'Plate Plating graphs'!$C$6:$C$7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7-4729-97E8-F910F1059959}"/>
            </c:ext>
          </c:extLst>
        </c:ser>
        <c:ser>
          <c:idx val="3"/>
          <c:order val="3"/>
          <c:tx>
            <c:strRef>
              <c:f>'Plate Plating graphs'!$A$8:$A$9</c:f>
              <c:strCache>
                <c:ptCount val="2"/>
                <c:pt idx="0">
                  <c:v>Groth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'Plate Plating graphs'!$B$8:$B$9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'Plate Plating graphs'!$C$8:$C$9</c:f>
              <c:numCache>
                <c:formatCode>General</c:formatCode>
                <c:ptCount val="2"/>
                <c:pt idx="0">
                  <c:v>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A7-4729-97E8-F910F1059959}"/>
            </c:ext>
          </c:extLst>
        </c:ser>
        <c:ser>
          <c:idx val="6"/>
          <c:order val="4"/>
          <c:tx>
            <c:strRef>
              <c:f>'Plate Plating graphs'!$I$20:$J$20</c:f>
              <c:strCache>
                <c:ptCount val="1"/>
                <c:pt idx="0">
                  <c:v>Total Bacteria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graphs'!$J$22:$J$29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0.46824044512266183</c:v>
                  </c:pt>
                  <c:pt idx="3">
                    <c:v>0.34449362381142734</c:v>
                  </c:pt>
                  <c:pt idx="4">
                    <c:v>0.2477607619363244</c:v>
                  </c:pt>
                  <c:pt idx="5">
                    <c:v>0.45128343108290614</c:v>
                  </c:pt>
                  <c:pt idx="6">
                    <c:v>0.27151598932772708</c:v>
                  </c:pt>
                  <c:pt idx="7">
                    <c:v>0.14973436660176775</c:v>
                  </c:pt>
                </c:numCache>
              </c:numRef>
            </c:plus>
            <c:minus>
              <c:numRef>
                <c:f>'Plate Plating graphs'!$J$22:$J$29</c:f>
                <c:numCache>
                  <c:formatCode>General</c:formatCode>
                  <c:ptCount val="8"/>
                  <c:pt idx="0">
                    <c:v>0.37733346470787532</c:v>
                  </c:pt>
                  <c:pt idx="1">
                    <c:v>0.34137325613637959</c:v>
                  </c:pt>
                  <c:pt idx="2">
                    <c:v>0.46824044512266183</c:v>
                  </c:pt>
                  <c:pt idx="3">
                    <c:v>0.34449362381142734</c:v>
                  </c:pt>
                  <c:pt idx="4">
                    <c:v>0.2477607619363244</c:v>
                  </c:pt>
                  <c:pt idx="5">
                    <c:v>0.45128343108290614</c:v>
                  </c:pt>
                  <c:pt idx="6">
                    <c:v>0.27151598932772708</c:v>
                  </c:pt>
                  <c:pt idx="7">
                    <c:v>0.14973436660176775</c:v>
                  </c:pt>
                </c:numCache>
              </c:numRef>
            </c:minus>
          </c:errBars>
          <c:xVal>
            <c:numRef>
              <c:f>'Plate Plating graphs'!$B$22:$B$29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graphs'!$I$22:$I$29</c:f>
              <c:numCache>
                <c:formatCode>General</c:formatCode>
                <c:ptCount val="8"/>
                <c:pt idx="0">
                  <c:v>2.2933362617677648</c:v>
                </c:pt>
                <c:pt idx="1">
                  <c:v>5.2778764935032267</c:v>
                </c:pt>
                <c:pt idx="2">
                  <c:v>5.17054888022124</c:v>
                </c:pt>
                <c:pt idx="3">
                  <c:v>6.6079048954393418</c:v>
                </c:pt>
                <c:pt idx="4">
                  <c:v>5.1964058829350286</c:v>
                </c:pt>
                <c:pt idx="5">
                  <c:v>5.255015146804574</c:v>
                </c:pt>
                <c:pt idx="6">
                  <c:v>5.6955160182380533</c:v>
                </c:pt>
                <c:pt idx="7">
                  <c:v>5.2871602753941191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A7-4729-97E8-F910F1059959}"/>
            </c:ext>
          </c:extLst>
        </c:ser>
        <c:ser>
          <c:idx val="5"/>
          <c:order val="5"/>
          <c:tx>
            <c:strRef>
              <c:f>'Plate Plating graphs'!$G$20:$H$20</c:f>
              <c:strCache>
                <c:ptCount val="1"/>
                <c:pt idx="0">
                  <c:v>Phaeobacter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10"/>
            <c:spPr>
              <a:solidFill>
                <a:srgbClr val="80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Plating graphs'!$H$22:$H$29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0.32006804429898611</c:v>
                  </c:pt>
                  <c:pt idx="4">
                    <c:v>0.30327203084872884</c:v>
                  </c:pt>
                  <c:pt idx="5">
                    <c:v>0.52836415860439123</c:v>
                  </c:pt>
                  <c:pt idx="6">
                    <c:v>0.44636743267898332</c:v>
                  </c:pt>
                  <c:pt idx="7">
                    <c:v>0.89275500229760074</c:v>
                  </c:pt>
                </c:numCache>
              </c:numRef>
            </c:plus>
            <c:minus>
              <c:numRef>
                <c:f>'Plate Plating graphs'!$H$22:$H$29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0.32006804429898611</c:v>
                  </c:pt>
                  <c:pt idx="4">
                    <c:v>0.30327203084872884</c:v>
                  </c:pt>
                  <c:pt idx="5">
                    <c:v>0.52836415860439123</c:v>
                  </c:pt>
                  <c:pt idx="6">
                    <c:v>0.44636743267898332</c:v>
                  </c:pt>
                  <c:pt idx="7">
                    <c:v>0.89275500229760074</c:v>
                  </c:pt>
                </c:numCache>
              </c:numRef>
            </c:minus>
          </c:errBars>
          <c:xVal>
            <c:numRef>
              <c:f>'Plate Plating graphs'!$B$22:$B$29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</c:numCache>
            </c:numRef>
          </c:xVal>
          <c:yVal>
            <c:numRef>
              <c:f>'Plate Plating graphs'!$G$22:$G$29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6.4834205199176189</c:v>
                </c:pt>
                <c:pt idx="4">
                  <c:v>4.9692955074416698</c:v>
                </c:pt>
                <c:pt idx="5">
                  <c:v>4.4000281053702519</c:v>
                </c:pt>
                <c:pt idx="6">
                  <c:v>4.3443702149060002</c:v>
                </c:pt>
                <c:pt idx="7">
                  <c:v>3.8732207110405596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A7-4729-97E8-F910F1059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8720"/>
        <c:axId val="86732800"/>
      </c:scatterChart>
      <c:valAx>
        <c:axId val="86718720"/>
        <c:scaling>
          <c:orientation val="minMax"/>
          <c:max val="18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Time (days)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pt-PT"/>
          </a:p>
        </c:txPr>
        <c:crossAx val="86732800"/>
        <c:crosses val="autoZero"/>
        <c:crossBetween val="midCat"/>
        <c:majorUnit val="7"/>
        <c:minorUnit val="1"/>
      </c:valAx>
      <c:valAx>
        <c:axId val="86732800"/>
        <c:scaling>
          <c:orientation val="minMax"/>
          <c:max val="8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Bacteria abundance      (Log</a:t>
                </a:r>
                <a:r>
                  <a:rPr lang="en-GB" sz="1200" b="1" i="0" baseline="-25000">
                    <a:effectLst/>
                  </a:rPr>
                  <a:t>10</a:t>
                </a:r>
                <a:r>
                  <a:rPr lang="en-GB" sz="1200" b="1" i="0" baseline="0">
                    <a:effectLst/>
                  </a:rPr>
                  <a:t> CFU/cm</a:t>
                </a:r>
                <a:r>
                  <a:rPr lang="en-GB" sz="1200" b="1" i="0" baseline="30000">
                    <a:effectLst/>
                  </a:rPr>
                  <a:t>2</a:t>
                </a:r>
                <a:r>
                  <a:rPr lang="en-GB" sz="1200" b="1" i="0" baseline="0">
                    <a:effectLst/>
                  </a:rPr>
                  <a:t>) 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/>
            </a:pPr>
            <a:endParaRPr lang="pt-PT"/>
          </a:p>
        </c:txPr>
        <c:crossAx val="8671872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txPr>
          <a:bodyPr/>
          <a:lstStyle/>
          <a:p>
            <a:pPr>
              <a:defRPr sz="1100" i="1"/>
            </a:pPr>
            <a:endParaRPr lang="pt-PT"/>
          </a:p>
        </c:txPr>
      </c:legendEntry>
      <c:layout>
        <c:manualLayout>
          <c:xMode val="edge"/>
          <c:yMode val="edge"/>
          <c:x val="5.0000120628384263E-2"/>
          <c:y val="0.90781422120895017"/>
          <c:w val="0.89999975874323146"/>
          <c:h val="8.990473770819507E-2"/>
        </c:manualLayout>
      </c:layout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</a:defRPr>
      </a:pPr>
      <a:endParaRPr lang="pt-PT"/>
    </a:p>
  </c:txPr>
  <c:printSettings>
    <c:headerFooter/>
    <c:pageMargins b="1" l="0.75" r="0.75" t="1" header="0.5" footer="0.5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9071</xdr:colOff>
      <xdr:row>4</xdr:row>
      <xdr:rowOff>4535</xdr:rowOff>
    </xdr:from>
    <xdr:to>
      <xdr:col>19</xdr:col>
      <xdr:colOff>556758</xdr:colOff>
      <xdr:row>21</xdr:row>
      <xdr:rowOff>83910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7BFEA302-06F6-4054-9388-8C84CFBDA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731006</xdr:colOff>
      <xdr:row>4</xdr:row>
      <xdr:rowOff>4535</xdr:rowOff>
    </xdr:from>
    <xdr:to>
      <xdr:col>24</xdr:col>
      <xdr:colOff>516693</xdr:colOff>
      <xdr:row>21</xdr:row>
      <xdr:rowOff>83910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BB7D15D7-5330-4BB9-9211-FD788E239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690941</xdr:colOff>
      <xdr:row>4</xdr:row>
      <xdr:rowOff>4535</xdr:rowOff>
    </xdr:from>
    <xdr:to>
      <xdr:col>29</xdr:col>
      <xdr:colOff>476628</xdr:colOff>
      <xdr:row>21</xdr:row>
      <xdr:rowOff>83910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0307FA2D-2907-4E63-88D1-FBB02F82E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650876</xdr:colOff>
      <xdr:row>4</xdr:row>
      <xdr:rowOff>4535</xdr:rowOff>
    </xdr:from>
    <xdr:to>
      <xdr:col>34</xdr:col>
      <xdr:colOff>436563</xdr:colOff>
      <xdr:row>21</xdr:row>
      <xdr:rowOff>83910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BFA9D6-8E39-425E-903B-8FCC83CB1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22</xdr:row>
      <xdr:rowOff>98136</xdr:rowOff>
    </xdr:from>
    <xdr:to>
      <xdr:col>19</xdr:col>
      <xdr:colOff>547687</xdr:colOff>
      <xdr:row>39</xdr:row>
      <xdr:rowOff>177511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53D54EE9-227F-4654-A929-678407E94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23</xdr:row>
      <xdr:rowOff>0</xdr:rowOff>
    </xdr:from>
    <xdr:to>
      <xdr:col>24</xdr:col>
      <xdr:colOff>547687</xdr:colOff>
      <xdr:row>40</xdr:row>
      <xdr:rowOff>79375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3619BB48-5752-4C26-A872-AF80F232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29</xdr:col>
      <xdr:colOff>547687</xdr:colOff>
      <xdr:row>40</xdr:row>
      <xdr:rowOff>79375</xdr:rowOff>
    </xdr:to>
    <xdr:graphicFrame macro="">
      <xdr:nvGraphicFramePr>
        <xdr:cNvPr id="9" name="Gráfico 5">
          <a:extLst>
            <a:ext uri="{FF2B5EF4-FFF2-40B4-BE49-F238E27FC236}">
              <a16:creationId xmlns:a16="http://schemas.microsoft.com/office/drawing/2014/main" id="{2B4BC692-612A-4838-9992-DC03FDC11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23</xdr:row>
      <xdr:rowOff>0</xdr:rowOff>
    </xdr:from>
    <xdr:to>
      <xdr:col>34</xdr:col>
      <xdr:colOff>547687</xdr:colOff>
      <xdr:row>40</xdr:row>
      <xdr:rowOff>79375</xdr:rowOff>
    </xdr:to>
    <xdr:graphicFrame macro="">
      <xdr:nvGraphicFramePr>
        <xdr:cNvPr id="10" name="Gráfico 5">
          <a:extLst>
            <a:ext uri="{FF2B5EF4-FFF2-40B4-BE49-F238E27FC236}">
              <a16:creationId xmlns:a16="http://schemas.microsoft.com/office/drawing/2014/main" id="{94D472EA-57A3-426D-BD6C-6B54C161D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17</xdr:row>
      <xdr:rowOff>76200</xdr:rowOff>
    </xdr:from>
    <xdr:to>
      <xdr:col>15</xdr:col>
      <xdr:colOff>615473</xdr:colOff>
      <xdr:row>30</xdr:row>
      <xdr:rowOff>169124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AEEB2389-035E-4AD1-AC9E-579554EBC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694267</xdr:colOff>
      <xdr:row>17</xdr:row>
      <xdr:rowOff>76200</xdr:rowOff>
    </xdr:from>
    <xdr:to>
      <xdr:col>19</xdr:col>
      <xdr:colOff>547740</xdr:colOff>
      <xdr:row>30</xdr:row>
      <xdr:rowOff>169124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B1CE13FB-1CA5-4DDD-9CD6-1CEE66BDF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626534</xdr:colOff>
      <xdr:row>17</xdr:row>
      <xdr:rowOff>76200</xdr:rowOff>
    </xdr:from>
    <xdr:to>
      <xdr:col>23</xdr:col>
      <xdr:colOff>480007</xdr:colOff>
      <xdr:row>30</xdr:row>
      <xdr:rowOff>169124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23DBEE-1BA4-45E0-ABBB-A0D59437A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558800</xdr:colOff>
      <xdr:row>17</xdr:row>
      <xdr:rowOff>76200</xdr:rowOff>
    </xdr:from>
    <xdr:to>
      <xdr:col>27</xdr:col>
      <xdr:colOff>412273</xdr:colOff>
      <xdr:row>30</xdr:row>
      <xdr:rowOff>169124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BE28E5-68E2-49F8-8ECD-1B0AD826A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17318</xdr:colOff>
      <xdr:row>64</xdr:row>
      <xdr:rowOff>51955</xdr:rowOff>
    </xdr:from>
    <xdr:to>
      <xdr:col>13</xdr:col>
      <xdr:colOff>271318</xdr:colOff>
      <xdr:row>77</xdr:row>
      <xdr:rowOff>127561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F3F2FC01-09DD-4718-9962-7ABEEE987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466354</xdr:colOff>
      <xdr:row>64</xdr:row>
      <xdr:rowOff>14844</xdr:rowOff>
    </xdr:from>
    <xdr:to>
      <xdr:col>17</xdr:col>
      <xdr:colOff>720354</xdr:colOff>
      <xdr:row>77</xdr:row>
      <xdr:rowOff>86739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8EC29A40-FA9B-400A-BC14-31F0C2DA7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17318</xdr:colOff>
      <xdr:row>63</xdr:row>
      <xdr:rowOff>123702</xdr:rowOff>
    </xdr:from>
    <xdr:to>
      <xdr:col>22</xdr:col>
      <xdr:colOff>271318</xdr:colOff>
      <xdr:row>77</xdr:row>
      <xdr:rowOff>5097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8F5A919D-7123-4272-9B81-F0635A45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411925</xdr:colOff>
      <xdr:row>63</xdr:row>
      <xdr:rowOff>110095</xdr:rowOff>
    </xdr:from>
    <xdr:to>
      <xdr:col>26</xdr:col>
      <xdr:colOff>665925</xdr:colOff>
      <xdr:row>76</xdr:row>
      <xdr:rowOff>181990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49437F-F5BF-432D-8CC5-24639524B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17318</xdr:colOff>
      <xdr:row>79</xdr:row>
      <xdr:rowOff>34637</xdr:rowOff>
    </xdr:from>
    <xdr:to>
      <xdr:col>13</xdr:col>
      <xdr:colOff>271318</xdr:colOff>
      <xdr:row>92</xdr:row>
      <xdr:rowOff>110242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9CF9A857-A7E8-45F0-8043-72057A0D5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79</xdr:row>
      <xdr:rowOff>0</xdr:rowOff>
    </xdr:from>
    <xdr:to>
      <xdr:col>18</xdr:col>
      <xdr:colOff>254000</xdr:colOff>
      <xdr:row>92</xdr:row>
      <xdr:rowOff>75605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78806CF-DA0D-4FE8-88B7-33BB636AC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79</xdr:row>
      <xdr:rowOff>0</xdr:rowOff>
    </xdr:from>
    <xdr:to>
      <xdr:col>23</xdr:col>
      <xdr:colOff>254000</xdr:colOff>
      <xdr:row>92</xdr:row>
      <xdr:rowOff>75605</xdr:rowOff>
    </xdr:to>
    <xdr:graphicFrame macro="">
      <xdr:nvGraphicFramePr>
        <xdr:cNvPr id="9" name="Gráfico 5">
          <a:extLst>
            <a:ext uri="{FF2B5EF4-FFF2-40B4-BE49-F238E27FC236}">
              <a16:creationId xmlns:a16="http://schemas.microsoft.com/office/drawing/2014/main" id="{CCD04DEB-473C-4C7C-9D9B-7910E8E18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79</xdr:row>
      <xdr:rowOff>0</xdr:rowOff>
    </xdr:from>
    <xdr:to>
      <xdr:col>28</xdr:col>
      <xdr:colOff>254000</xdr:colOff>
      <xdr:row>92</xdr:row>
      <xdr:rowOff>75605</xdr:rowOff>
    </xdr:to>
    <xdr:graphicFrame macro="">
      <xdr:nvGraphicFramePr>
        <xdr:cNvPr id="10" name="Gráfico 5">
          <a:extLst>
            <a:ext uri="{FF2B5EF4-FFF2-40B4-BE49-F238E27FC236}">
              <a16:creationId xmlns:a16="http://schemas.microsoft.com/office/drawing/2014/main" id="{D9D867C5-8209-4127-A6BE-5547CFAA5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11204</xdr:colOff>
      <xdr:row>1</xdr:row>
      <xdr:rowOff>11206</xdr:rowOff>
    </xdr:from>
    <xdr:to>
      <xdr:col>23</xdr:col>
      <xdr:colOff>11205</xdr:colOff>
      <xdr:row>15</xdr:row>
      <xdr:rowOff>179294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F90D2D-DED9-EBC0-D43A-E7C5D5892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271670</xdr:colOff>
      <xdr:row>0</xdr:row>
      <xdr:rowOff>176892</xdr:rowOff>
    </xdr:from>
    <xdr:to>
      <xdr:col>19</xdr:col>
      <xdr:colOff>357808</xdr:colOff>
      <xdr:row>18</xdr:row>
      <xdr:rowOff>53009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56E824-A453-4C5C-918F-544516594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0</xdr:rowOff>
    </xdr:from>
    <xdr:to>
      <xdr:col>5</xdr:col>
      <xdr:colOff>551999</xdr:colOff>
      <xdr:row>19</xdr:row>
      <xdr:rowOff>79375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522B7770-E8F7-4D07-975B-345DA645D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600708</xdr:colOff>
      <xdr:row>2</xdr:row>
      <xdr:rowOff>0</xdr:rowOff>
    </xdr:from>
    <xdr:to>
      <xdr:col>10</xdr:col>
      <xdr:colOff>390708</xdr:colOff>
      <xdr:row>19</xdr:row>
      <xdr:rowOff>79375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20F7A026-CCB5-446A-AF6A-397683F4C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474053</xdr:colOff>
      <xdr:row>2</xdr:row>
      <xdr:rowOff>0</xdr:rowOff>
    </xdr:from>
    <xdr:to>
      <xdr:col>15</xdr:col>
      <xdr:colOff>264053</xdr:colOff>
      <xdr:row>19</xdr:row>
      <xdr:rowOff>79375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7B3DC984-629E-4C94-8948-E4A1190A5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347398</xdr:colOff>
      <xdr:row>2</xdr:row>
      <xdr:rowOff>0</xdr:rowOff>
    </xdr:from>
    <xdr:to>
      <xdr:col>20</xdr:col>
      <xdr:colOff>137398</xdr:colOff>
      <xdr:row>19</xdr:row>
      <xdr:rowOff>79375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9147B5-6F7E-4416-AA62-B9F49E0EF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-1</xdr:colOff>
      <xdr:row>19</xdr:row>
      <xdr:rowOff>154870</xdr:rowOff>
    </xdr:from>
    <xdr:to>
      <xdr:col>5</xdr:col>
      <xdr:colOff>551999</xdr:colOff>
      <xdr:row>37</xdr:row>
      <xdr:rowOff>45070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381854-F1D5-41DF-85CC-DE8329331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600708</xdr:colOff>
      <xdr:row>19</xdr:row>
      <xdr:rowOff>154870</xdr:rowOff>
    </xdr:from>
    <xdr:to>
      <xdr:col>10</xdr:col>
      <xdr:colOff>390708</xdr:colOff>
      <xdr:row>37</xdr:row>
      <xdr:rowOff>45070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C3B7BC81-C457-4872-9809-D3877599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474053</xdr:colOff>
      <xdr:row>19</xdr:row>
      <xdr:rowOff>154870</xdr:rowOff>
    </xdr:from>
    <xdr:to>
      <xdr:col>15</xdr:col>
      <xdr:colOff>264053</xdr:colOff>
      <xdr:row>37</xdr:row>
      <xdr:rowOff>45070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7AA061-EE8A-424B-82A6-AE55D2C2C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347398</xdr:colOff>
      <xdr:row>19</xdr:row>
      <xdr:rowOff>154870</xdr:rowOff>
    </xdr:from>
    <xdr:to>
      <xdr:col>20</xdr:col>
      <xdr:colOff>137398</xdr:colOff>
      <xdr:row>37</xdr:row>
      <xdr:rowOff>45070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8FA5760-9017-411C-AC52-20007D399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761999</xdr:colOff>
      <xdr:row>55</xdr:row>
      <xdr:rowOff>86260</xdr:rowOff>
    </xdr:from>
    <xdr:to>
      <xdr:col>5</xdr:col>
      <xdr:colOff>551999</xdr:colOff>
      <xdr:row>72</xdr:row>
      <xdr:rowOff>166960</xdr:rowOff>
    </xdr:to>
    <xdr:graphicFrame macro="">
      <xdr:nvGraphicFramePr>
        <xdr:cNvPr id="14" name="Gráfico 5">
          <a:extLst>
            <a:ext uri="{FF2B5EF4-FFF2-40B4-BE49-F238E27FC236}">
              <a16:creationId xmlns:a16="http://schemas.microsoft.com/office/drawing/2014/main" id="{8591FBD2-E48A-4B8A-921D-79304F442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600708</xdr:colOff>
      <xdr:row>55</xdr:row>
      <xdr:rowOff>86260</xdr:rowOff>
    </xdr:from>
    <xdr:to>
      <xdr:col>10</xdr:col>
      <xdr:colOff>390708</xdr:colOff>
      <xdr:row>72</xdr:row>
      <xdr:rowOff>166960</xdr:rowOff>
    </xdr:to>
    <xdr:graphicFrame macro="">
      <xdr:nvGraphicFramePr>
        <xdr:cNvPr id="15" name="Gráfico 5">
          <a:extLst>
            <a:ext uri="{FF2B5EF4-FFF2-40B4-BE49-F238E27FC236}">
              <a16:creationId xmlns:a16="http://schemas.microsoft.com/office/drawing/2014/main" id="{A817355F-CC7E-4E43-BFA4-0C3471680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474053</xdr:colOff>
      <xdr:row>55</xdr:row>
      <xdr:rowOff>86260</xdr:rowOff>
    </xdr:from>
    <xdr:to>
      <xdr:col>15</xdr:col>
      <xdr:colOff>264053</xdr:colOff>
      <xdr:row>72</xdr:row>
      <xdr:rowOff>166960</xdr:rowOff>
    </xdr:to>
    <xdr:graphicFrame macro="">
      <xdr:nvGraphicFramePr>
        <xdr:cNvPr id="16" name="Gráfico 5">
          <a:extLst>
            <a:ext uri="{FF2B5EF4-FFF2-40B4-BE49-F238E27FC236}">
              <a16:creationId xmlns:a16="http://schemas.microsoft.com/office/drawing/2014/main" id="{8F835F7A-A62A-4321-BA3C-77EC823F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347398</xdr:colOff>
      <xdr:row>55</xdr:row>
      <xdr:rowOff>86260</xdr:rowOff>
    </xdr:from>
    <xdr:to>
      <xdr:col>20</xdr:col>
      <xdr:colOff>137398</xdr:colOff>
      <xdr:row>72</xdr:row>
      <xdr:rowOff>166960</xdr:rowOff>
    </xdr:to>
    <xdr:graphicFrame macro="">
      <xdr:nvGraphicFramePr>
        <xdr:cNvPr id="17" name="Gráfico 5">
          <a:extLst>
            <a:ext uri="{FF2B5EF4-FFF2-40B4-BE49-F238E27FC236}">
              <a16:creationId xmlns:a16="http://schemas.microsoft.com/office/drawing/2014/main" id="{361E90E4-F62F-4286-A162-464C305A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761999</xdr:colOff>
      <xdr:row>73</xdr:row>
      <xdr:rowOff>51956</xdr:rowOff>
    </xdr:from>
    <xdr:to>
      <xdr:col>5</xdr:col>
      <xdr:colOff>551999</xdr:colOff>
      <xdr:row>90</xdr:row>
      <xdr:rowOff>132656</xdr:rowOff>
    </xdr:to>
    <xdr:graphicFrame macro="">
      <xdr:nvGraphicFramePr>
        <xdr:cNvPr id="18" name="Gráfico 5">
          <a:extLst>
            <a:ext uri="{FF2B5EF4-FFF2-40B4-BE49-F238E27FC236}">
              <a16:creationId xmlns:a16="http://schemas.microsoft.com/office/drawing/2014/main" id="{540CE74C-F021-4556-8D05-CD3472432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600708</xdr:colOff>
      <xdr:row>73</xdr:row>
      <xdr:rowOff>51956</xdr:rowOff>
    </xdr:from>
    <xdr:to>
      <xdr:col>10</xdr:col>
      <xdr:colOff>390708</xdr:colOff>
      <xdr:row>90</xdr:row>
      <xdr:rowOff>132656</xdr:rowOff>
    </xdr:to>
    <xdr:graphicFrame macro="">
      <xdr:nvGraphicFramePr>
        <xdr:cNvPr id="19" name="Gráfico 5">
          <a:extLst>
            <a:ext uri="{FF2B5EF4-FFF2-40B4-BE49-F238E27FC236}">
              <a16:creationId xmlns:a16="http://schemas.microsoft.com/office/drawing/2014/main" id="{1F80CCDF-FB57-418C-92C6-9D0B5EB10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474053</xdr:colOff>
      <xdr:row>73</xdr:row>
      <xdr:rowOff>51956</xdr:rowOff>
    </xdr:from>
    <xdr:to>
      <xdr:col>15</xdr:col>
      <xdr:colOff>264053</xdr:colOff>
      <xdr:row>90</xdr:row>
      <xdr:rowOff>132656</xdr:rowOff>
    </xdr:to>
    <xdr:graphicFrame macro="">
      <xdr:nvGraphicFramePr>
        <xdr:cNvPr id="20" name="Gráfico 5">
          <a:extLst>
            <a:ext uri="{FF2B5EF4-FFF2-40B4-BE49-F238E27FC236}">
              <a16:creationId xmlns:a16="http://schemas.microsoft.com/office/drawing/2014/main" id="{5B997A00-5907-4117-AE5C-2DECD30E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347398</xdr:colOff>
      <xdr:row>73</xdr:row>
      <xdr:rowOff>51956</xdr:rowOff>
    </xdr:from>
    <xdr:to>
      <xdr:col>20</xdr:col>
      <xdr:colOff>137398</xdr:colOff>
      <xdr:row>90</xdr:row>
      <xdr:rowOff>132656</xdr:rowOff>
    </xdr:to>
    <xdr:graphicFrame macro="">
      <xdr:nvGraphicFramePr>
        <xdr:cNvPr id="21" name="Gráfico 5">
          <a:extLst>
            <a:ext uri="{FF2B5EF4-FFF2-40B4-BE49-F238E27FC236}">
              <a16:creationId xmlns:a16="http://schemas.microsoft.com/office/drawing/2014/main" id="{A51048E5-227B-494C-80A5-83B82C538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761999</xdr:colOff>
      <xdr:row>37</xdr:row>
      <xdr:rowOff>120565</xdr:rowOff>
    </xdr:from>
    <xdr:to>
      <xdr:col>5</xdr:col>
      <xdr:colOff>551999</xdr:colOff>
      <xdr:row>55</xdr:row>
      <xdr:rowOff>10765</xdr:rowOff>
    </xdr:to>
    <xdr:graphicFrame macro="">
      <xdr:nvGraphicFramePr>
        <xdr:cNvPr id="22" name="Gráfico 5">
          <a:extLst>
            <a:ext uri="{FF2B5EF4-FFF2-40B4-BE49-F238E27FC236}">
              <a16:creationId xmlns:a16="http://schemas.microsoft.com/office/drawing/2014/main" id="{14774A57-B9C0-4231-8533-757368200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600708</xdr:colOff>
      <xdr:row>37</xdr:row>
      <xdr:rowOff>120565</xdr:rowOff>
    </xdr:from>
    <xdr:to>
      <xdr:col>10</xdr:col>
      <xdr:colOff>390708</xdr:colOff>
      <xdr:row>55</xdr:row>
      <xdr:rowOff>10765</xdr:rowOff>
    </xdr:to>
    <xdr:graphicFrame macro="">
      <xdr:nvGraphicFramePr>
        <xdr:cNvPr id="23" name="Gráfico 5">
          <a:extLst>
            <a:ext uri="{FF2B5EF4-FFF2-40B4-BE49-F238E27FC236}">
              <a16:creationId xmlns:a16="http://schemas.microsoft.com/office/drawing/2014/main" id="{08603BE6-070A-4826-A68C-7C558D5B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474053</xdr:colOff>
      <xdr:row>37</xdr:row>
      <xdr:rowOff>120565</xdr:rowOff>
    </xdr:from>
    <xdr:to>
      <xdr:col>15</xdr:col>
      <xdr:colOff>264053</xdr:colOff>
      <xdr:row>55</xdr:row>
      <xdr:rowOff>10765</xdr:rowOff>
    </xdr:to>
    <xdr:graphicFrame macro="">
      <xdr:nvGraphicFramePr>
        <xdr:cNvPr id="24" name="Gráfico 5">
          <a:extLst>
            <a:ext uri="{FF2B5EF4-FFF2-40B4-BE49-F238E27FC236}">
              <a16:creationId xmlns:a16="http://schemas.microsoft.com/office/drawing/2014/main" id="{6F2AD9E2-6A5C-4F72-B770-C2398816F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347398</xdr:colOff>
      <xdr:row>37</xdr:row>
      <xdr:rowOff>120565</xdr:rowOff>
    </xdr:from>
    <xdr:to>
      <xdr:col>20</xdr:col>
      <xdr:colOff>137398</xdr:colOff>
      <xdr:row>55</xdr:row>
      <xdr:rowOff>10765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55640C2-F05C-4414-A4EF-ECF65F0EE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topLeftCell="B1" workbookViewId="0">
      <selection activeCell="G12" sqref="G12"/>
    </sheetView>
  </sheetViews>
  <sheetFormatPr defaultColWidth="8.77734375" defaultRowHeight="14.4" x14ac:dyDescent="0.3"/>
  <cols>
    <col min="1" max="1" width="10.21875" bestFit="1" customWidth="1"/>
    <col min="2" max="2" width="10.77734375" bestFit="1" customWidth="1"/>
    <col min="4" max="4" width="14.5546875" bestFit="1" customWidth="1"/>
    <col min="5" max="5" width="13" bestFit="1" customWidth="1"/>
    <col min="8" max="8" width="11" customWidth="1"/>
    <col min="9" max="9" width="11.109375" customWidth="1"/>
    <col min="10" max="10" width="17.77734375" customWidth="1"/>
    <col min="11" max="11" width="17.44140625" customWidth="1"/>
  </cols>
  <sheetData>
    <row r="1" spans="1:11" ht="31.65" customHeight="1" x14ac:dyDescent="0.3">
      <c r="A1" s="1" t="s">
        <v>21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2" t="s">
        <v>6</v>
      </c>
      <c r="H1" s="2" t="s">
        <v>4</v>
      </c>
      <c r="I1" s="2" t="s">
        <v>5</v>
      </c>
      <c r="J1" s="2" t="s">
        <v>7</v>
      </c>
      <c r="K1" s="2" t="s">
        <v>86</v>
      </c>
    </row>
    <row r="2" spans="1:11" x14ac:dyDescent="0.3">
      <c r="A2" t="s">
        <v>22</v>
      </c>
      <c r="B2" s="3">
        <v>44735</v>
      </c>
      <c r="C2">
        <f>B2-$B$2</f>
        <v>0</v>
      </c>
      <c r="D2" t="s">
        <v>15</v>
      </c>
      <c r="E2" t="s">
        <v>10</v>
      </c>
      <c r="F2" t="s">
        <v>11</v>
      </c>
      <c r="G2">
        <v>3.5459999999999998</v>
      </c>
      <c r="H2">
        <v>1.5800000000000002E-2</v>
      </c>
      <c r="J2">
        <f>G2/H2</f>
        <v>224.4303797468354</v>
      </c>
      <c r="K2" t="e">
        <f>G2/I2</f>
        <v>#DIV/0!</v>
      </c>
    </row>
    <row r="3" spans="1:11" x14ac:dyDescent="0.3">
      <c r="A3" t="s">
        <v>22</v>
      </c>
      <c r="B3" s="3">
        <v>44735</v>
      </c>
      <c r="C3">
        <f t="shared" ref="C3:C66" si="0">B3-$B$2</f>
        <v>0</v>
      </c>
      <c r="D3" t="s">
        <v>15</v>
      </c>
      <c r="E3" t="s">
        <v>10</v>
      </c>
      <c r="F3" t="s">
        <v>12</v>
      </c>
      <c r="G3">
        <v>3.6269999999999998</v>
      </c>
      <c r="H3">
        <v>1.78E-2</v>
      </c>
      <c r="J3">
        <f t="shared" ref="J3:J9" si="1">G3/H3</f>
        <v>203.76404494382021</v>
      </c>
      <c r="K3" t="e">
        <f>G3/I3</f>
        <v>#DIV/0!</v>
      </c>
    </row>
    <row r="4" spans="1:11" x14ac:dyDescent="0.3">
      <c r="A4" t="s">
        <v>22</v>
      </c>
      <c r="B4" s="3">
        <v>44735</v>
      </c>
      <c r="C4">
        <f t="shared" si="0"/>
        <v>0</v>
      </c>
      <c r="D4" t="s">
        <v>15</v>
      </c>
      <c r="E4" t="s">
        <v>10</v>
      </c>
      <c r="F4" t="s">
        <v>13</v>
      </c>
      <c r="G4">
        <v>4.1619999999999999</v>
      </c>
      <c r="H4">
        <v>2.0799999999999999E-2</v>
      </c>
      <c r="J4">
        <f t="shared" si="1"/>
        <v>200.09615384615384</v>
      </c>
      <c r="K4" t="e">
        <f>G4/I4</f>
        <v>#DIV/0!</v>
      </c>
    </row>
    <row r="5" spans="1:11" x14ac:dyDescent="0.3">
      <c r="A5" t="s">
        <v>22</v>
      </c>
      <c r="B5" s="3">
        <v>44735</v>
      </c>
      <c r="C5">
        <f t="shared" si="0"/>
        <v>0</v>
      </c>
      <c r="D5" t="s">
        <v>15</v>
      </c>
      <c r="E5" t="s">
        <v>10</v>
      </c>
      <c r="F5" t="s">
        <v>14</v>
      </c>
      <c r="G5">
        <v>3.9950000000000001</v>
      </c>
      <c r="H5">
        <v>2.5499999999999998E-2</v>
      </c>
      <c r="J5">
        <f t="shared" si="1"/>
        <v>156.66666666666669</v>
      </c>
      <c r="K5" t="e">
        <f>G5/I5</f>
        <v>#DIV/0!</v>
      </c>
    </row>
    <row r="6" spans="1:11" x14ac:dyDescent="0.3">
      <c r="A6" t="s">
        <v>22</v>
      </c>
      <c r="B6" s="3">
        <v>44739</v>
      </c>
      <c r="C6">
        <f t="shared" si="0"/>
        <v>4</v>
      </c>
      <c r="D6" t="s">
        <v>16</v>
      </c>
      <c r="E6" t="s">
        <v>10</v>
      </c>
      <c r="F6" t="s">
        <v>11</v>
      </c>
      <c r="G6">
        <v>5.7510000000000003</v>
      </c>
      <c r="H6">
        <v>3.2399999999999998E-2</v>
      </c>
      <c r="J6">
        <f t="shared" si="1"/>
        <v>177.50000000000003</v>
      </c>
      <c r="K6">
        <f>((LN(AVERAGE(H2:H5)/H6))*100)/(C2-C6)</f>
        <v>12.091923278648633</v>
      </c>
    </row>
    <row r="7" spans="1:11" x14ac:dyDescent="0.3">
      <c r="A7" t="s">
        <v>22</v>
      </c>
      <c r="B7" s="3">
        <v>44739</v>
      </c>
      <c r="C7">
        <f t="shared" si="0"/>
        <v>4</v>
      </c>
      <c r="D7" t="s">
        <v>16</v>
      </c>
      <c r="E7" t="s">
        <v>10</v>
      </c>
      <c r="F7" t="s">
        <v>12</v>
      </c>
      <c r="G7">
        <v>5.532</v>
      </c>
      <c r="H7">
        <v>4.6600000000000003E-2</v>
      </c>
      <c r="J7">
        <f t="shared" si="1"/>
        <v>118.71244635193132</v>
      </c>
      <c r="K7">
        <f>((LN(AVERAGE($H$2:$H$5)/H7))*100)/(C3-C7)</f>
        <v>21.177976236981547</v>
      </c>
    </row>
    <row r="8" spans="1:11" x14ac:dyDescent="0.3">
      <c r="A8" t="s">
        <v>22</v>
      </c>
      <c r="B8" s="3">
        <v>44739</v>
      </c>
      <c r="C8">
        <f t="shared" si="0"/>
        <v>4</v>
      </c>
      <c r="D8" t="s">
        <v>16</v>
      </c>
      <c r="E8" t="s">
        <v>10</v>
      </c>
      <c r="F8" t="s">
        <v>13</v>
      </c>
      <c r="G8">
        <v>5.2549999999999999</v>
      </c>
      <c r="H8">
        <v>4.5600000000000002E-2</v>
      </c>
      <c r="J8">
        <f t="shared" si="1"/>
        <v>115.24122807017544</v>
      </c>
      <c r="K8">
        <f>((LN(AVERAGE($H$2:$H$5)/H8))*100)/(C4-C8)</f>
        <v>20.635655621700053</v>
      </c>
    </row>
    <row r="9" spans="1:11" x14ac:dyDescent="0.3">
      <c r="A9" t="s">
        <v>22</v>
      </c>
      <c r="B9" s="3">
        <v>44739</v>
      </c>
      <c r="C9">
        <f t="shared" si="0"/>
        <v>4</v>
      </c>
      <c r="D9" t="s">
        <v>16</v>
      </c>
      <c r="E9" t="s">
        <v>10</v>
      </c>
      <c r="F9" t="s">
        <v>14</v>
      </c>
      <c r="G9">
        <v>6.1879999999999997</v>
      </c>
      <c r="H9">
        <v>4.5600000000000002E-2</v>
      </c>
      <c r="J9">
        <f t="shared" si="1"/>
        <v>135.7017543859649</v>
      </c>
      <c r="K9">
        <f>((LN(AVERAGE($H$2:$H$5)/H9))*100)/(C5-C9)</f>
        <v>20.635655621700053</v>
      </c>
    </row>
    <row r="10" spans="1:11" x14ac:dyDescent="0.3">
      <c r="A10" t="s">
        <v>22</v>
      </c>
      <c r="B10" s="3">
        <v>44741</v>
      </c>
      <c r="C10">
        <f t="shared" si="0"/>
        <v>6</v>
      </c>
      <c r="D10" t="s">
        <v>20</v>
      </c>
      <c r="E10" t="s">
        <v>17</v>
      </c>
      <c r="F10" t="s">
        <v>11</v>
      </c>
      <c r="G10">
        <v>5.9409999999999998</v>
      </c>
      <c r="H10">
        <v>5.8500000000000003E-2</v>
      </c>
      <c r="J10">
        <f t="shared" ref="J10:J73" si="2">G10/H10</f>
        <v>101.55555555555554</v>
      </c>
      <c r="K10">
        <f>((LN(AVERAGE($H$6:$H$9)/H10))*100)/(C6-C10)</f>
        <v>15.917344960921378</v>
      </c>
    </row>
    <row r="11" spans="1:11" x14ac:dyDescent="0.3">
      <c r="A11" t="s">
        <v>22</v>
      </c>
      <c r="B11" s="3">
        <v>44741</v>
      </c>
      <c r="C11">
        <f t="shared" si="0"/>
        <v>6</v>
      </c>
      <c r="D11" t="s">
        <v>20</v>
      </c>
      <c r="E11" t="s">
        <v>17</v>
      </c>
      <c r="F11" t="s">
        <v>12</v>
      </c>
      <c r="G11">
        <v>7.2210000000000001</v>
      </c>
      <c r="H11">
        <v>6.4799999999999996E-2</v>
      </c>
      <c r="J11">
        <f t="shared" si="2"/>
        <v>111.43518518518519</v>
      </c>
      <c r="K11">
        <f>((LN(AVERAGE($H$6:$H$9)/H11))*100)/(C7-C11)</f>
        <v>21.031287416942288</v>
      </c>
    </row>
    <row r="12" spans="1:11" x14ac:dyDescent="0.3">
      <c r="A12" t="s">
        <v>22</v>
      </c>
      <c r="B12" s="3">
        <v>44741</v>
      </c>
      <c r="C12">
        <f t="shared" si="0"/>
        <v>6</v>
      </c>
      <c r="D12" t="s">
        <v>20</v>
      </c>
      <c r="E12" t="s">
        <v>17</v>
      </c>
      <c r="F12" t="s">
        <v>13</v>
      </c>
      <c r="G12">
        <v>6.702</v>
      </c>
      <c r="H12">
        <v>6.3500000000000001E-2</v>
      </c>
      <c r="J12">
        <f t="shared" si="2"/>
        <v>105.54330708661418</v>
      </c>
      <c r="K12">
        <f>((LN(AVERAGE($H$6:$H$9)/H12))*100)/(C8-C12)</f>
        <v>20.018002543963139</v>
      </c>
    </row>
    <row r="13" spans="1:11" x14ac:dyDescent="0.3">
      <c r="A13" t="s">
        <v>22</v>
      </c>
      <c r="B13" s="3">
        <v>44741</v>
      </c>
      <c r="C13">
        <f t="shared" si="0"/>
        <v>6</v>
      </c>
      <c r="D13" t="s">
        <v>20</v>
      </c>
      <c r="E13" t="s">
        <v>17</v>
      </c>
      <c r="F13" t="s">
        <v>14</v>
      </c>
      <c r="G13">
        <v>8.1449999999999996</v>
      </c>
      <c r="H13">
        <v>7.0900000000000005E-2</v>
      </c>
      <c r="J13">
        <f t="shared" si="2"/>
        <v>114.88011283497883</v>
      </c>
      <c r="K13">
        <f>((LN(AVERAGE($H$6:$H$9)/H13))*100)/(C9-C13)</f>
        <v>25.52952892593493</v>
      </c>
    </row>
    <row r="14" spans="1:11" x14ac:dyDescent="0.3">
      <c r="A14" t="s">
        <v>22</v>
      </c>
      <c r="B14" s="3">
        <v>44741</v>
      </c>
      <c r="C14">
        <f t="shared" si="0"/>
        <v>6</v>
      </c>
      <c r="D14" t="s">
        <v>20</v>
      </c>
      <c r="E14" t="s">
        <v>91</v>
      </c>
      <c r="F14" t="s">
        <v>11</v>
      </c>
      <c r="G14">
        <v>8.5890000000000004</v>
      </c>
      <c r="H14">
        <v>7.0000000000000007E-2</v>
      </c>
      <c r="J14">
        <f t="shared" si="2"/>
        <v>122.69999999999999</v>
      </c>
      <c r="K14">
        <f>((LN(AVERAGE($H$6:$H$9)/H14))*100)/(C6-C14)</f>
        <v>24.89076935149879</v>
      </c>
    </row>
    <row r="15" spans="1:11" x14ac:dyDescent="0.3">
      <c r="A15" t="s">
        <v>22</v>
      </c>
      <c r="B15" s="3">
        <v>44741</v>
      </c>
      <c r="C15">
        <f t="shared" si="0"/>
        <v>6</v>
      </c>
      <c r="D15" t="s">
        <v>20</v>
      </c>
      <c r="E15" t="s">
        <v>91</v>
      </c>
      <c r="F15" t="s">
        <v>12</v>
      </c>
      <c r="G15">
        <v>9.8010000000000002</v>
      </c>
      <c r="H15">
        <v>6.6199999999999995E-2</v>
      </c>
      <c r="J15">
        <f t="shared" si="2"/>
        <v>148.05135951661632</v>
      </c>
      <c r="K15">
        <f>((LN(AVERAGE($H$6:$H$9)/H15))*100)/(C7-C15)</f>
        <v>22.100030396178955</v>
      </c>
    </row>
    <row r="16" spans="1:11" x14ac:dyDescent="0.3">
      <c r="A16" t="s">
        <v>22</v>
      </c>
      <c r="B16" s="3">
        <v>44741</v>
      </c>
      <c r="C16">
        <f t="shared" si="0"/>
        <v>6</v>
      </c>
      <c r="D16" t="s">
        <v>20</v>
      </c>
      <c r="E16" t="s">
        <v>91</v>
      </c>
      <c r="F16" t="s">
        <v>13</v>
      </c>
      <c r="G16">
        <v>7.2610000000000001</v>
      </c>
      <c r="H16">
        <v>7.7899999999999997E-2</v>
      </c>
      <c r="J16">
        <f t="shared" si="2"/>
        <v>93.209242618741982</v>
      </c>
      <c r="K16">
        <f>((LN(AVERAGE($H$6:$H$9)/H16))*100)/(C8-C16)</f>
        <v>30.237304892865964</v>
      </c>
    </row>
    <row r="17" spans="1:11" x14ac:dyDescent="0.3">
      <c r="A17" t="s">
        <v>22</v>
      </c>
      <c r="B17" s="3">
        <v>44741</v>
      </c>
      <c r="C17">
        <f t="shared" si="0"/>
        <v>6</v>
      </c>
      <c r="D17" t="s">
        <v>20</v>
      </c>
      <c r="E17" t="s">
        <v>91</v>
      </c>
      <c r="F17" t="s">
        <v>14</v>
      </c>
      <c r="G17">
        <v>5.3120000000000003</v>
      </c>
      <c r="H17">
        <v>7.7600000000000002E-2</v>
      </c>
      <c r="J17">
        <f t="shared" si="2"/>
        <v>68.453608247422679</v>
      </c>
      <c r="K17">
        <f>((LN(AVERAGE($H$6:$H$9)/H17))*100)/(C9-C17)</f>
        <v>30.044378608489492</v>
      </c>
    </row>
    <row r="18" spans="1:11" x14ac:dyDescent="0.3">
      <c r="A18" t="s">
        <v>22</v>
      </c>
      <c r="B18" s="3">
        <v>44741</v>
      </c>
      <c r="C18">
        <f t="shared" si="0"/>
        <v>6</v>
      </c>
      <c r="D18" t="s">
        <v>20</v>
      </c>
      <c r="E18" t="s">
        <v>18</v>
      </c>
      <c r="F18" t="s">
        <v>11</v>
      </c>
      <c r="G18">
        <v>7.101</v>
      </c>
      <c r="H18">
        <v>5.4199999999999998E-2</v>
      </c>
      <c r="J18">
        <f t="shared" si="2"/>
        <v>131.01476014760149</v>
      </c>
      <c r="K18">
        <f>((LN(AVERAGE($H$6:$H$9)/H18))*100)/(C6-C18)</f>
        <v>12.100052671310864</v>
      </c>
    </row>
    <row r="19" spans="1:11" x14ac:dyDescent="0.3">
      <c r="A19" t="s">
        <v>22</v>
      </c>
      <c r="B19" s="3">
        <v>44741</v>
      </c>
      <c r="C19">
        <f t="shared" si="0"/>
        <v>6</v>
      </c>
      <c r="D19" t="s">
        <v>20</v>
      </c>
      <c r="E19" t="s">
        <v>18</v>
      </c>
      <c r="F19" t="s">
        <v>12</v>
      </c>
      <c r="G19">
        <v>6.3230000000000004</v>
      </c>
      <c r="H19">
        <v>7.0499999999999993E-2</v>
      </c>
      <c r="J19">
        <f t="shared" si="2"/>
        <v>89.687943262411366</v>
      </c>
      <c r="K19">
        <f>((LN(AVERAGE($H$6:$H$9)/H19))*100)/(C7-C19)</f>
        <v>25.246642739941976</v>
      </c>
    </row>
    <row r="20" spans="1:11" x14ac:dyDescent="0.3">
      <c r="A20" t="s">
        <v>22</v>
      </c>
      <c r="B20" s="3">
        <v>44741</v>
      </c>
      <c r="C20">
        <f t="shared" si="0"/>
        <v>6</v>
      </c>
      <c r="D20" t="s">
        <v>20</v>
      </c>
      <c r="E20" t="s">
        <v>18</v>
      </c>
      <c r="F20" t="s">
        <v>13</v>
      </c>
      <c r="G20">
        <v>8.6839999999999993</v>
      </c>
      <c r="H20">
        <v>7.3499999999999996E-2</v>
      </c>
      <c r="J20">
        <f t="shared" si="2"/>
        <v>118.14965986394557</v>
      </c>
      <c r="K20">
        <f>((LN(AVERAGE($H$6:$H$9)/H20))*100)/(C8-C20)</f>
        <v>27.33027755997038</v>
      </c>
    </row>
    <row r="21" spans="1:11" x14ac:dyDescent="0.3">
      <c r="A21" t="s">
        <v>22</v>
      </c>
      <c r="B21" s="3">
        <v>44741</v>
      </c>
      <c r="C21">
        <f t="shared" si="0"/>
        <v>6</v>
      </c>
      <c r="D21" t="s">
        <v>20</v>
      </c>
      <c r="E21" t="s">
        <v>18</v>
      </c>
      <c r="F21" t="s">
        <v>14</v>
      </c>
      <c r="G21">
        <v>8.1820000000000004</v>
      </c>
      <c r="H21">
        <v>7.7899999999999997E-2</v>
      </c>
      <c r="J21">
        <f t="shared" si="2"/>
        <v>105.03209242618743</v>
      </c>
      <c r="K21">
        <f>((LN(AVERAGE($H$6:$H$9)/H21))*100)/(C9-C21)</f>
        <v>30.237304892865964</v>
      </c>
    </row>
    <row r="22" spans="1:11" x14ac:dyDescent="0.3">
      <c r="A22" t="s">
        <v>22</v>
      </c>
      <c r="B22" s="3">
        <v>44741</v>
      </c>
      <c r="C22">
        <f t="shared" si="0"/>
        <v>6</v>
      </c>
      <c r="D22" t="s">
        <v>20</v>
      </c>
      <c r="E22" t="s">
        <v>19</v>
      </c>
      <c r="F22" t="s">
        <v>11</v>
      </c>
      <c r="G22">
        <v>6.0010000000000003</v>
      </c>
      <c r="H22">
        <v>5.1400000000000001E-2</v>
      </c>
      <c r="J22">
        <f t="shared" si="2"/>
        <v>116.75097276264592</v>
      </c>
      <c r="K22">
        <f>((LN(AVERAGE($H$6:$H$9)/H22))*100)/(C6-C22)</f>
        <v>9.4479158720868117</v>
      </c>
    </row>
    <row r="23" spans="1:11" x14ac:dyDescent="0.3">
      <c r="A23" t="s">
        <v>22</v>
      </c>
      <c r="B23" s="3">
        <v>44741</v>
      </c>
      <c r="C23">
        <f t="shared" si="0"/>
        <v>6</v>
      </c>
      <c r="D23" t="s">
        <v>20</v>
      </c>
      <c r="E23" t="s">
        <v>19</v>
      </c>
      <c r="F23" t="s">
        <v>12</v>
      </c>
      <c r="G23">
        <v>6.2560000000000002</v>
      </c>
      <c r="H23">
        <v>5.9700000000000003E-2</v>
      </c>
      <c r="J23">
        <f t="shared" si="2"/>
        <v>104.79061976549414</v>
      </c>
      <c r="K23">
        <f>((LN(AVERAGE($H$6:$H$9)/H23))*100)/(C7-C23)</f>
        <v>16.932608268958656</v>
      </c>
    </row>
    <row r="24" spans="1:11" x14ac:dyDescent="0.3">
      <c r="A24" t="s">
        <v>22</v>
      </c>
      <c r="B24" s="3">
        <v>44741</v>
      </c>
      <c r="C24">
        <f t="shared" si="0"/>
        <v>6</v>
      </c>
      <c r="D24" t="s">
        <v>20</v>
      </c>
      <c r="E24" t="s">
        <v>19</v>
      </c>
      <c r="F24" t="s">
        <v>13</v>
      </c>
      <c r="G24">
        <v>8.5690000000000008</v>
      </c>
      <c r="H24">
        <v>6.8400000000000002E-2</v>
      </c>
      <c r="J24">
        <f t="shared" si="2"/>
        <v>125.27777777777779</v>
      </c>
      <c r="K24">
        <f>((LN(AVERAGE($H$6:$H$9)/H24))*100)/(C8-C24)</f>
        <v>23.73464848045608</v>
      </c>
    </row>
    <row r="25" spans="1:11" x14ac:dyDescent="0.3">
      <c r="A25" t="s">
        <v>22</v>
      </c>
      <c r="B25" s="3">
        <v>44741</v>
      </c>
      <c r="C25">
        <f t="shared" si="0"/>
        <v>6</v>
      </c>
      <c r="D25" t="s">
        <v>20</v>
      </c>
      <c r="E25" t="s">
        <v>19</v>
      </c>
      <c r="F25" t="s">
        <v>14</v>
      </c>
      <c r="G25">
        <v>6.17</v>
      </c>
      <c r="H25">
        <v>4.7699999999999999E-2</v>
      </c>
      <c r="J25">
        <f t="shared" si="2"/>
        <v>129.35010482180294</v>
      </c>
      <c r="K25">
        <f>((LN(AVERAGE($H$6:$H$9)/H25))*100)/(C9-C25)</f>
        <v>5.7125771437456159</v>
      </c>
    </row>
    <row r="26" spans="1:11" x14ac:dyDescent="0.3">
      <c r="A26" t="s">
        <v>22</v>
      </c>
      <c r="B26" s="3">
        <v>44743</v>
      </c>
      <c r="C26">
        <f t="shared" si="0"/>
        <v>8</v>
      </c>
      <c r="D26" t="s">
        <v>23</v>
      </c>
      <c r="E26" t="s">
        <v>17</v>
      </c>
      <c r="F26" t="s">
        <v>11</v>
      </c>
      <c r="G26">
        <v>12.67</v>
      </c>
      <c r="H26">
        <v>0.1019</v>
      </c>
      <c r="J26">
        <f t="shared" si="2"/>
        <v>124.33758586849852</v>
      </c>
      <c r="K26">
        <f>((LN(H10/H26))*100)/(C10-C26)</f>
        <v>27.74825929954342</v>
      </c>
    </row>
    <row r="27" spans="1:11" x14ac:dyDescent="0.3">
      <c r="A27" t="s">
        <v>22</v>
      </c>
      <c r="B27" s="3">
        <v>44743</v>
      </c>
      <c r="C27">
        <f t="shared" si="0"/>
        <v>8</v>
      </c>
      <c r="D27" t="s">
        <v>23</v>
      </c>
      <c r="E27" t="s">
        <v>17</v>
      </c>
      <c r="F27" t="s">
        <v>12</v>
      </c>
      <c r="G27">
        <v>12.704000000000001</v>
      </c>
      <c r="H27">
        <v>9.8299999999999998E-2</v>
      </c>
      <c r="J27">
        <f t="shared" si="2"/>
        <v>129.23702950152594</v>
      </c>
      <c r="K27">
        <f t="shared" ref="K27:K90" si="3">((LN(H11/H27))*100)/(C11-C27)</f>
        <v>20.835921189744592</v>
      </c>
    </row>
    <row r="28" spans="1:11" x14ac:dyDescent="0.3">
      <c r="A28" t="s">
        <v>22</v>
      </c>
      <c r="B28" s="3">
        <v>44743</v>
      </c>
      <c r="C28">
        <f t="shared" si="0"/>
        <v>8</v>
      </c>
      <c r="D28" t="s">
        <v>23</v>
      </c>
      <c r="E28" t="s">
        <v>17</v>
      </c>
      <c r="F28" t="s">
        <v>13</v>
      </c>
      <c r="G28">
        <v>9.5280000000000005</v>
      </c>
      <c r="H28">
        <v>9.11E-2</v>
      </c>
      <c r="J28">
        <f t="shared" si="2"/>
        <v>104.58836443468716</v>
      </c>
      <c r="K28">
        <f t="shared" si="3"/>
        <v>18.045894918363334</v>
      </c>
    </row>
    <row r="29" spans="1:11" x14ac:dyDescent="0.3">
      <c r="A29" t="s">
        <v>22</v>
      </c>
      <c r="B29" s="3">
        <v>44743</v>
      </c>
      <c r="C29">
        <f t="shared" si="0"/>
        <v>8</v>
      </c>
      <c r="D29" t="s">
        <v>23</v>
      </c>
      <c r="E29" t="s">
        <v>17</v>
      </c>
      <c r="F29" t="s">
        <v>14</v>
      </c>
      <c r="G29">
        <v>12.941000000000001</v>
      </c>
      <c r="H29">
        <v>9.9500000000000005E-2</v>
      </c>
      <c r="J29">
        <f t="shared" si="2"/>
        <v>130.0603015075377</v>
      </c>
      <c r="K29">
        <f t="shared" si="3"/>
        <v>16.944360531323259</v>
      </c>
    </row>
    <row r="30" spans="1:11" x14ac:dyDescent="0.3">
      <c r="A30" t="s">
        <v>22</v>
      </c>
      <c r="B30" s="3">
        <v>44743</v>
      </c>
      <c r="C30">
        <f t="shared" si="0"/>
        <v>8</v>
      </c>
      <c r="D30" t="s">
        <v>23</v>
      </c>
      <c r="E30" t="s">
        <v>91</v>
      </c>
      <c r="F30" t="s">
        <v>11</v>
      </c>
      <c r="G30">
        <v>9.4730000000000008</v>
      </c>
      <c r="H30">
        <v>8.7400000000000005E-2</v>
      </c>
      <c r="J30">
        <f t="shared" si="2"/>
        <v>108.38672768878719</v>
      </c>
      <c r="K30">
        <f t="shared" si="3"/>
        <v>11.100002030606541</v>
      </c>
    </row>
    <row r="31" spans="1:11" x14ac:dyDescent="0.3">
      <c r="A31" t="s">
        <v>22</v>
      </c>
      <c r="B31" s="3">
        <v>44743</v>
      </c>
      <c r="C31">
        <f t="shared" si="0"/>
        <v>8</v>
      </c>
      <c r="D31" t="s">
        <v>23</v>
      </c>
      <c r="E31" t="s">
        <v>91</v>
      </c>
      <c r="F31" t="s">
        <v>12</v>
      </c>
      <c r="G31">
        <v>11.395</v>
      </c>
      <c r="H31">
        <v>8.9200000000000002E-2</v>
      </c>
      <c r="J31">
        <f t="shared" si="2"/>
        <v>127.74663677130044</v>
      </c>
      <c r="K31">
        <f t="shared" si="3"/>
        <v>14.910028832150063</v>
      </c>
    </row>
    <row r="32" spans="1:11" x14ac:dyDescent="0.3">
      <c r="A32" t="s">
        <v>22</v>
      </c>
      <c r="B32" s="3">
        <v>44743</v>
      </c>
      <c r="C32">
        <f t="shared" si="0"/>
        <v>8</v>
      </c>
      <c r="D32" t="s">
        <v>23</v>
      </c>
      <c r="E32" t="s">
        <v>91</v>
      </c>
      <c r="F32" t="s">
        <v>13</v>
      </c>
      <c r="G32">
        <v>14.653</v>
      </c>
      <c r="H32">
        <v>0.11169999999999999</v>
      </c>
      <c r="J32">
        <f t="shared" si="2"/>
        <v>131.18173679498659</v>
      </c>
      <c r="K32">
        <f t="shared" si="3"/>
        <v>18.019537659922623</v>
      </c>
    </row>
    <row r="33" spans="1:11" x14ac:dyDescent="0.3">
      <c r="A33" t="s">
        <v>22</v>
      </c>
      <c r="B33" s="3">
        <v>44743</v>
      </c>
      <c r="C33">
        <f t="shared" si="0"/>
        <v>8</v>
      </c>
      <c r="D33" t="s">
        <v>23</v>
      </c>
      <c r="E33" t="s">
        <v>91</v>
      </c>
      <c r="F33" t="s">
        <v>14</v>
      </c>
      <c r="G33">
        <v>10.327999999999999</v>
      </c>
      <c r="H33">
        <v>9.2499999999999999E-2</v>
      </c>
      <c r="J33">
        <f t="shared" si="2"/>
        <v>111.65405405405404</v>
      </c>
      <c r="K33">
        <f t="shared" si="3"/>
        <v>8.7820608664603235</v>
      </c>
    </row>
    <row r="34" spans="1:11" x14ac:dyDescent="0.3">
      <c r="A34" t="s">
        <v>22</v>
      </c>
      <c r="B34" s="3">
        <v>44743</v>
      </c>
      <c r="C34">
        <f t="shared" si="0"/>
        <v>8</v>
      </c>
      <c r="D34" t="s">
        <v>23</v>
      </c>
      <c r="E34" t="s">
        <v>18</v>
      </c>
      <c r="F34" t="s">
        <v>11</v>
      </c>
      <c r="G34">
        <v>8.6280000000000001</v>
      </c>
      <c r="H34">
        <v>8.2199999999999995E-2</v>
      </c>
      <c r="J34">
        <f t="shared" si="2"/>
        <v>104.96350364963504</v>
      </c>
      <c r="K34">
        <f t="shared" si="3"/>
        <v>20.823719680826688</v>
      </c>
    </row>
    <row r="35" spans="1:11" x14ac:dyDescent="0.3">
      <c r="A35" t="s">
        <v>22</v>
      </c>
      <c r="B35" s="3">
        <v>44743</v>
      </c>
      <c r="C35">
        <f t="shared" si="0"/>
        <v>8</v>
      </c>
      <c r="D35" t="s">
        <v>23</v>
      </c>
      <c r="E35" t="s">
        <v>18</v>
      </c>
      <c r="F35" t="s">
        <v>12</v>
      </c>
      <c r="G35">
        <v>12.27</v>
      </c>
      <c r="H35">
        <v>9.7000000000000003E-2</v>
      </c>
      <c r="J35">
        <f t="shared" si="2"/>
        <v>126.49484536082474</v>
      </c>
      <c r="K35">
        <f t="shared" si="3"/>
        <v>15.954913434258003</v>
      </c>
    </row>
    <row r="36" spans="1:11" x14ac:dyDescent="0.3">
      <c r="A36" t="s">
        <v>22</v>
      </c>
      <c r="B36" s="3">
        <v>44743</v>
      </c>
      <c r="C36">
        <f t="shared" si="0"/>
        <v>8</v>
      </c>
      <c r="D36" t="s">
        <v>23</v>
      </c>
      <c r="E36" t="s">
        <v>18</v>
      </c>
      <c r="F36" t="s">
        <v>13</v>
      </c>
      <c r="G36">
        <v>11.087</v>
      </c>
      <c r="H36">
        <v>9.6100000000000005E-2</v>
      </c>
      <c r="J36">
        <f t="shared" si="2"/>
        <v>115.36940686784598</v>
      </c>
      <c r="K36">
        <f t="shared" si="3"/>
        <v>13.405195487872797</v>
      </c>
    </row>
    <row r="37" spans="1:11" x14ac:dyDescent="0.3">
      <c r="A37" t="s">
        <v>22</v>
      </c>
      <c r="B37" s="3">
        <v>44743</v>
      </c>
      <c r="C37">
        <f t="shared" si="0"/>
        <v>8</v>
      </c>
      <c r="D37" t="s">
        <v>23</v>
      </c>
      <c r="E37" t="s">
        <v>18</v>
      </c>
      <c r="F37" t="s">
        <v>14</v>
      </c>
      <c r="G37">
        <v>12.561999999999999</v>
      </c>
      <c r="H37">
        <v>9.4200000000000006E-2</v>
      </c>
      <c r="J37">
        <f t="shared" si="2"/>
        <v>133.35456475583862</v>
      </c>
      <c r="K37">
        <f t="shared" si="3"/>
        <v>9.4997114352807444</v>
      </c>
    </row>
    <row r="38" spans="1:11" x14ac:dyDescent="0.3">
      <c r="A38" t="s">
        <v>22</v>
      </c>
      <c r="B38" s="3">
        <v>44743</v>
      </c>
      <c r="C38">
        <f t="shared" si="0"/>
        <v>8</v>
      </c>
      <c r="D38" t="s">
        <v>23</v>
      </c>
      <c r="E38" t="s">
        <v>19</v>
      </c>
      <c r="F38" t="s">
        <v>11</v>
      </c>
      <c r="G38">
        <v>6.702</v>
      </c>
      <c r="H38">
        <v>6.4600000000000005E-2</v>
      </c>
      <c r="J38">
        <f t="shared" si="2"/>
        <v>103.74613003095975</v>
      </c>
      <c r="K38">
        <f t="shared" si="3"/>
        <v>11.428811916371838</v>
      </c>
    </row>
    <row r="39" spans="1:11" x14ac:dyDescent="0.3">
      <c r="A39" t="s">
        <v>22</v>
      </c>
      <c r="B39" s="3">
        <v>44743</v>
      </c>
      <c r="C39">
        <f t="shared" si="0"/>
        <v>8</v>
      </c>
      <c r="D39" t="s">
        <v>23</v>
      </c>
      <c r="E39" t="s">
        <v>19</v>
      </c>
      <c r="F39" t="s">
        <v>12</v>
      </c>
      <c r="G39">
        <v>6.9249999999999998</v>
      </c>
      <c r="H39">
        <v>6.9599999999999995E-2</v>
      </c>
      <c r="J39">
        <f t="shared" si="2"/>
        <v>99.497126436781613</v>
      </c>
      <c r="K39">
        <f t="shared" si="3"/>
        <v>7.6716273470908734</v>
      </c>
    </row>
    <row r="40" spans="1:11" x14ac:dyDescent="0.3">
      <c r="A40" t="s">
        <v>22</v>
      </c>
      <c r="B40" s="3">
        <v>44743</v>
      </c>
      <c r="C40">
        <f t="shared" si="0"/>
        <v>8</v>
      </c>
      <c r="D40" t="s">
        <v>23</v>
      </c>
      <c r="E40" t="s">
        <v>19</v>
      </c>
      <c r="F40" t="s">
        <v>13</v>
      </c>
      <c r="G40">
        <v>7.5880000000000001</v>
      </c>
      <c r="H40">
        <v>7.1199999999999999E-2</v>
      </c>
      <c r="J40">
        <f t="shared" si="2"/>
        <v>106.57303370786516</v>
      </c>
      <c r="K40">
        <f t="shared" si="3"/>
        <v>2.0059996894712646</v>
      </c>
    </row>
    <row r="41" spans="1:11" x14ac:dyDescent="0.3">
      <c r="A41" t="s">
        <v>22</v>
      </c>
      <c r="B41" s="3">
        <v>44743</v>
      </c>
      <c r="C41">
        <f t="shared" si="0"/>
        <v>8</v>
      </c>
      <c r="D41" t="s">
        <v>23</v>
      </c>
      <c r="E41" t="s">
        <v>19</v>
      </c>
      <c r="F41" t="s">
        <v>14</v>
      </c>
      <c r="G41">
        <v>5.7039999999999997</v>
      </c>
      <c r="H41">
        <v>4.6800000000000001E-2</v>
      </c>
      <c r="J41">
        <f t="shared" si="2"/>
        <v>121.88034188034187</v>
      </c>
      <c r="K41">
        <f t="shared" si="3"/>
        <v>-0.9524097485347206</v>
      </c>
    </row>
    <row r="42" spans="1:11" x14ac:dyDescent="0.3">
      <c r="A42" t="s">
        <v>22</v>
      </c>
      <c r="B42" s="3">
        <v>44746</v>
      </c>
      <c r="C42">
        <f t="shared" si="0"/>
        <v>11</v>
      </c>
      <c r="D42" t="s">
        <v>23</v>
      </c>
      <c r="E42" t="s">
        <v>17</v>
      </c>
      <c r="F42" t="s">
        <v>11</v>
      </c>
      <c r="G42">
        <v>14.493</v>
      </c>
      <c r="H42">
        <v>0.1399</v>
      </c>
      <c r="J42">
        <f t="shared" si="2"/>
        <v>103.59542530378843</v>
      </c>
      <c r="K42">
        <f t="shared" si="3"/>
        <v>10.56453138142521</v>
      </c>
    </row>
    <row r="43" spans="1:11" x14ac:dyDescent="0.3">
      <c r="A43" t="s">
        <v>22</v>
      </c>
      <c r="B43" s="3">
        <v>44746</v>
      </c>
      <c r="C43">
        <f t="shared" si="0"/>
        <v>11</v>
      </c>
      <c r="D43" t="s">
        <v>23</v>
      </c>
      <c r="E43" t="s">
        <v>17</v>
      </c>
      <c r="F43" t="s">
        <v>12</v>
      </c>
      <c r="G43">
        <v>13.449</v>
      </c>
      <c r="H43">
        <v>0.12559999999999999</v>
      </c>
      <c r="J43">
        <f t="shared" si="2"/>
        <v>107.07802547770702</v>
      </c>
      <c r="K43">
        <f t="shared" si="3"/>
        <v>8.1692742293659126</v>
      </c>
    </row>
    <row r="44" spans="1:11" x14ac:dyDescent="0.3">
      <c r="A44" t="s">
        <v>22</v>
      </c>
      <c r="B44" s="3">
        <v>44746</v>
      </c>
      <c r="C44">
        <f t="shared" si="0"/>
        <v>11</v>
      </c>
      <c r="D44" t="s">
        <v>23</v>
      </c>
      <c r="E44" t="s">
        <v>17</v>
      </c>
      <c r="F44" t="s">
        <v>13</v>
      </c>
      <c r="G44">
        <v>17.585000000000001</v>
      </c>
      <c r="H44">
        <v>0.1376</v>
      </c>
      <c r="J44">
        <f t="shared" si="2"/>
        <v>127.79796511627907</v>
      </c>
      <c r="K44">
        <f t="shared" si="3"/>
        <v>13.746437374444355</v>
      </c>
    </row>
    <row r="45" spans="1:11" x14ac:dyDescent="0.3">
      <c r="A45" t="s">
        <v>22</v>
      </c>
      <c r="B45" s="3">
        <v>44746</v>
      </c>
      <c r="C45">
        <f t="shared" si="0"/>
        <v>11</v>
      </c>
      <c r="D45" t="s">
        <v>23</v>
      </c>
      <c r="E45" t="s">
        <v>17</v>
      </c>
      <c r="F45" t="s">
        <v>14</v>
      </c>
      <c r="G45">
        <v>15.137</v>
      </c>
      <c r="H45">
        <v>0.1168</v>
      </c>
      <c r="J45">
        <f t="shared" si="2"/>
        <v>129.59760273972603</v>
      </c>
      <c r="K45">
        <f t="shared" si="3"/>
        <v>5.3435142076526532</v>
      </c>
    </row>
    <row r="46" spans="1:11" x14ac:dyDescent="0.3">
      <c r="A46" t="s">
        <v>22</v>
      </c>
      <c r="B46" s="3">
        <v>44746</v>
      </c>
      <c r="C46">
        <f t="shared" si="0"/>
        <v>11</v>
      </c>
      <c r="D46" t="s">
        <v>23</v>
      </c>
      <c r="E46" t="s">
        <v>91</v>
      </c>
      <c r="F46" t="s">
        <v>11</v>
      </c>
      <c r="G46">
        <v>22.145</v>
      </c>
      <c r="H46">
        <v>0.18959999999999999</v>
      </c>
      <c r="J46">
        <f t="shared" si="2"/>
        <v>116.79852320675106</v>
      </c>
      <c r="K46">
        <f t="shared" si="3"/>
        <v>25.814043571981056</v>
      </c>
    </row>
    <row r="47" spans="1:11" x14ac:dyDescent="0.3">
      <c r="A47" t="s">
        <v>22</v>
      </c>
      <c r="B47" s="3">
        <v>44746</v>
      </c>
      <c r="C47">
        <f t="shared" si="0"/>
        <v>11</v>
      </c>
      <c r="D47" t="s">
        <v>23</v>
      </c>
      <c r="E47" t="s">
        <v>91</v>
      </c>
      <c r="F47" t="s">
        <v>12</v>
      </c>
      <c r="G47">
        <v>18.998000000000001</v>
      </c>
      <c r="H47">
        <v>0.17469999999999999</v>
      </c>
      <c r="J47">
        <f t="shared" si="2"/>
        <v>108.74642243846596</v>
      </c>
      <c r="K47">
        <f t="shared" si="3"/>
        <v>22.406305918468238</v>
      </c>
    </row>
    <row r="48" spans="1:11" x14ac:dyDescent="0.3">
      <c r="A48" t="s">
        <v>22</v>
      </c>
      <c r="B48" s="3">
        <v>44746</v>
      </c>
      <c r="C48">
        <f t="shared" si="0"/>
        <v>11</v>
      </c>
      <c r="D48" t="s">
        <v>23</v>
      </c>
      <c r="E48" t="s">
        <v>91</v>
      </c>
      <c r="F48" t="s">
        <v>13</v>
      </c>
      <c r="G48">
        <v>14.523999999999999</v>
      </c>
      <c r="H48">
        <v>0.14580000000000001</v>
      </c>
      <c r="J48">
        <f t="shared" si="2"/>
        <v>99.615912208504781</v>
      </c>
      <c r="K48">
        <f t="shared" si="3"/>
        <v>8.8806371166467617</v>
      </c>
    </row>
    <row r="49" spans="1:11" x14ac:dyDescent="0.3">
      <c r="A49" t="s">
        <v>22</v>
      </c>
      <c r="B49" s="3">
        <v>44746</v>
      </c>
      <c r="C49">
        <f t="shared" si="0"/>
        <v>11</v>
      </c>
      <c r="D49" t="s">
        <v>23</v>
      </c>
      <c r="E49" t="s">
        <v>91</v>
      </c>
      <c r="F49" t="s">
        <v>14</v>
      </c>
      <c r="G49">
        <v>15.544</v>
      </c>
      <c r="H49">
        <v>0.14180000000000001</v>
      </c>
      <c r="J49">
        <f t="shared" si="2"/>
        <v>109.61918194640339</v>
      </c>
      <c r="K49">
        <f t="shared" si="3"/>
        <v>14.240298985988256</v>
      </c>
    </row>
    <row r="50" spans="1:11" x14ac:dyDescent="0.3">
      <c r="A50" t="s">
        <v>22</v>
      </c>
      <c r="B50" s="3">
        <v>44746</v>
      </c>
      <c r="C50">
        <f t="shared" si="0"/>
        <v>11</v>
      </c>
      <c r="D50" t="s">
        <v>23</v>
      </c>
      <c r="E50" t="s">
        <v>18</v>
      </c>
      <c r="F50" t="s">
        <v>11</v>
      </c>
      <c r="G50">
        <v>17.414000000000001</v>
      </c>
      <c r="H50">
        <v>0.15640000000000001</v>
      </c>
      <c r="J50">
        <f t="shared" si="2"/>
        <v>111.34271099744245</v>
      </c>
      <c r="K50">
        <f t="shared" si="3"/>
        <v>21.442050868302559</v>
      </c>
    </row>
    <row r="51" spans="1:11" x14ac:dyDescent="0.3">
      <c r="A51" t="s">
        <v>22</v>
      </c>
      <c r="B51" s="3">
        <v>44746</v>
      </c>
      <c r="C51">
        <f t="shared" si="0"/>
        <v>11</v>
      </c>
      <c r="D51" t="s">
        <v>23</v>
      </c>
      <c r="E51" t="s">
        <v>18</v>
      </c>
      <c r="F51" t="s">
        <v>12</v>
      </c>
      <c r="G51">
        <v>11.787000000000001</v>
      </c>
      <c r="H51">
        <v>0.1179</v>
      </c>
      <c r="J51">
        <f t="shared" si="2"/>
        <v>99.974554707379141</v>
      </c>
      <c r="K51">
        <f t="shared" si="3"/>
        <v>6.5041943013314132</v>
      </c>
    </row>
    <row r="52" spans="1:11" x14ac:dyDescent="0.3">
      <c r="A52" t="s">
        <v>22</v>
      </c>
      <c r="B52" s="3">
        <v>44746</v>
      </c>
      <c r="C52">
        <f t="shared" si="0"/>
        <v>11</v>
      </c>
      <c r="D52" t="s">
        <v>23</v>
      </c>
      <c r="E52" t="s">
        <v>18</v>
      </c>
      <c r="F52" t="s">
        <v>13</v>
      </c>
      <c r="G52">
        <v>16.451000000000001</v>
      </c>
      <c r="H52">
        <v>0.14849999999999999</v>
      </c>
      <c r="J52">
        <f t="shared" si="2"/>
        <v>110.78114478114479</v>
      </c>
      <c r="K52">
        <f t="shared" si="3"/>
        <v>14.506521408883579</v>
      </c>
    </row>
    <row r="53" spans="1:11" x14ac:dyDescent="0.3">
      <c r="A53" t="s">
        <v>22</v>
      </c>
      <c r="B53" s="3">
        <v>44746</v>
      </c>
      <c r="C53">
        <f t="shared" si="0"/>
        <v>11</v>
      </c>
      <c r="D53" t="s">
        <v>23</v>
      </c>
      <c r="E53" t="s">
        <v>18</v>
      </c>
      <c r="F53" t="s">
        <v>14</v>
      </c>
      <c r="G53">
        <v>18.556000000000001</v>
      </c>
      <c r="H53">
        <v>0.13769999999999999</v>
      </c>
      <c r="J53">
        <f t="shared" si="2"/>
        <v>134.75671750181556</v>
      </c>
      <c r="K53">
        <f t="shared" si="3"/>
        <v>12.655240805076389</v>
      </c>
    </row>
    <row r="54" spans="1:11" x14ac:dyDescent="0.3">
      <c r="A54" t="s">
        <v>22</v>
      </c>
      <c r="B54" s="3">
        <v>44746</v>
      </c>
      <c r="C54">
        <f t="shared" si="0"/>
        <v>11</v>
      </c>
      <c r="D54" t="s">
        <v>23</v>
      </c>
      <c r="E54" t="s">
        <v>19</v>
      </c>
      <c r="F54" t="s">
        <v>11</v>
      </c>
      <c r="G54">
        <v>6.5309999999999997</v>
      </c>
      <c r="H54">
        <v>6.9800000000000001E-2</v>
      </c>
      <c r="J54">
        <f t="shared" si="2"/>
        <v>93.567335243553003</v>
      </c>
      <c r="K54">
        <f t="shared" si="3"/>
        <v>2.5806532993256859</v>
      </c>
    </row>
    <row r="55" spans="1:11" x14ac:dyDescent="0.3">
      <c r="A55" t="s">
        <v>22</v>
      </c>
      <c r="B55" s="3">
        <v>44746</v>
      </c>
      <c r="C55">
        <f t="shared" si="0"/>
        <v>11</v>
      </c>
      <c r="D55" t="s">
        <v>23</v>
      </c>
      <c r="E55" t="s">
        <v>19</v>
      </c>
      <c r="F55" t="s">
        <v>12</v>
      </c>
      <c r="G55">
        <v>7.9420000000000002</v>
      </c>
      <c r="H55">
        <v>7.9799999999999996E-2</v>
      </c>
      <c r="J55">
        <f t="shared" si="2"/>
        <v>99.523809523809533</v>
      </c>
      <c r="K55">
        <f t="shared" si="3"/>
        <v>4.5586312371796387</v>
      </c>
    </row>
    <row r="56" spans="1:11" x14ac:dyDescent="0.3">
      <c r="A56" t="s">
        <v>22</v>
      </c>
      <c r="B56" s="3">
        <v>44746</v>
      </c>
      <c r="C56">
        <f t="shared" si="0"/>
        <v>11</v>
      </c>
      <c r="D56" t="s">
        <v>23</v>
      </c>
      <c r="E56" t="s">
        <v>19</v>
      </c>
      <c r="F56" t="s">
        <v>13</v>
      </c>
      <c r="G56">
        <v>7.593</v>
      </c>
      <c r="H56">
        <v>6.88E-2</v>
      </c>
      <c r="J56">
        <f t="shared" si="2"/>
        <v>110.36337209302326</v>
      </c>
      <c r="K56">
        <f t="shared" si="3"/>
        <v>-1.1429691159544055</v>
      </c>
    </row>
    <row r="57" spans="1:11" x14ac:dyDescent="0.3">
      <c r="A57" t="s">
        <v>22</v>
      </c>
      <c r="B57" s="3">
        <v>44746</v>
      </c>
      <c r="C57">
        <f t="shared" si="0"/>
        <v>11</v>
      </c>
      <c r="D57" t="s">
        <v>23</v>
      </c>
      <c r="E57" t="s">
        <v>19</v>
      </c>
      <c r="F57" t="s">
        <v>14</v>
      </c>
      <c r="G57">
        <v>6.117</v>
      </c>
      <c r="H57">
        <v>5.5599999999999997E-2</v>
      </c>
      <c r="J57">
        <f t="shared" si="2"/>
        <v>110.0179856115108</v>
      </c>
      <c r="K57">
        <f t="shared" si="3"/>
        <v>5.743333277764517</v>
      </c>
    </row>
    <row r="58" spans="1:11" x14ac:dyDescent="0.3">
      <c r="A58" t="s">
        <v>22</v>
      </c>
      <c r="B58" s="3">
        <v>44748</v>
      </c>
      <c r="C58">
        <f t="shared" si="0"/>
        <v>13</v>
      </c>
      <c r="D58" t="s">
        <v>23</v>
      </c>
      <c r="E58" t="s">
        <v>17</v>
      </c>
      <c r="F58" t="s">
        <v>11</v>
      </c>
      <c r="G58">
        <v>16.786000000000001</v>
      </c>
      <c r="H58">
        <v>0.1414</v>
      </c>
      <c r="J58">
        <f t="shared" si="2"/>
        <v>118.71287128712872</v>
      </c>
      <c r="K58">
        <f t="shared" si="3"/>
        <v>0.53324358955184337</v>
      </c>
    </row>
    <row r="59" spans="1:11" x14ac:dyDescent="0.3">
      <c r="A59" t="s">
        <v>22</v>
      </c>
      <c r="B59" s="3">
        <v>44748</v>
      </c>
      <c r="C59">
        <f t="shared" si="0"/>
        <v>13</v>
      </c>
      <c r="D59" t="s">
        <v>23</v>
      </c>
      <c r="E59" t="s">
        <v>17</v>
      </c>
      <c r="F59" t="s">
        <v>12</v>
      </c>
      <c r="G59">
        <v>16.091000000000001</v>
      </c>
      <c r="H59">
        <v>0.1658</v>
      </c>
      <c r="J59">
        <f t="shared" si="2"/>
        <v>97.050663449939691</v>
      </c>
      <c r="K59">
        <f t="shared" si="3"/>
        <v>13.883999433354818</v>
      </c>
    </row>
    <row r="60" spans="1:11" x14ac:dyDescent="0.3">
      <c r="A60" t="s">
        <v>22</v>
      </c>
      <c r="B60" s="3">
        <v>44748</v>
      </c>
      <c r="C60">
        <f t="shared" si="0"/>
        <v>13</v>
      </c>
      <c r="D60" t="s">
        <v>23</v>
      </c>
      <c r="E60" t="s">
        <v>17</v>
      </c>
      <c r="F60" t="s">
        <v>13</v>
      </c>
      <c r="G60">
        <v>18.384</v>
      </c>
      <c r="H60">
        <v>0.15840000000000001</v>
      </c>
      <c r="J60">
        <f t="shared" si="2"/>
        <v>116.06060606060605</v>
      </c>
      <c r="K60">
        <f t="shared" si="3"/>
        <v>7.0386276940541146</v>
      </c>
    </row>
    <row r="61" spans="1:11" x14ac:dyDescent="0.3">
      <c r="A61" t="s">
        <v>22</v>
      </c>
      <c r="B61" s="3">
        <v>44748</v>
      </c>
      <c r="C61">
        <f t="shared" si="0"/>
        <v>13</v>
      </c>
      <c r="D61" t="s">
        <v>23</v>
      </c>
      <c r="E61" t="s">
        <v>17</v>
      </c>
      <c r="F61" t="s">
        <v>14</v>
      </c>
      <c r="G61">
        <v>20.821999999999999</v>
      </c>
      <c r="H61">
        <v>0.18429999999999999</v>
      </c>
      <c r="J61">
        <f t="shared" si="2"/>
        <v>112.97883884970157</v>
      </c>
      <c r="K61">
        <f t="shared" si="3"/>
        <v>22.805089714082545</v>
      </c>
    </row>
    <row r="62" spans="1:11" x14ac:dyDescent="0.3">
      <c r="A62" t="s">
        <v>22</v>
      </c>
      <c r="B62" s="3">
        <v>44748</v>
      </c>
      <c r="C62">
        <f t="shared" si="0"/>
        <v>13</v>
      </c>
      <c r="D62" t="s">
        <v>23</v>
      </c>
      <c r="E62" t="s">
        <v>91</v>
      </c>
      <c r="F62" t="s">
        <v>11</v>
      </c>
      <c r="G62">
        <v>16.82</v>
      </c>
      <c r="H62">
        <v>0.1653</v>
      </c>
      <c r="J62">
        <f t="shared" si="2"/>
        <v>101.75438596491229</v>
      </c>
      <c r="K62">
        <f t="shared" si="3"/>
        <v>-6.8577292496971465</v>
      </c>
    </row>
    <row r="63" spans="1:11" x14ac:dyDescent="0.3">
      <c r="A63" t="s">
        <v>22</v>
      </c>
      <c r="B63" s="3">
        <v>44748</v>
      </c>
      <c r="C63">
        <f t="shared" si="0"/>
        <v>13</v>
      </c>
      <c r="D63" t="s">
        <v>23</v>
      </c>
      <c r="E63" t="s">
        <v>91</v>
      </c>
      <c r="F63" t="s">
        <v>12</v>
      </c>
      <c r="G63">
        <v>19.404</v>
      </c>
      <c r="H63">
        <v>0.1845</v>
      </c>
      <c r="J63">
        <f t="shared" si="2"/>
        <v>105.17073170731707</v>
      </c>
      <c r="K63">
        <f t="shared" si="3"/>
        <v>2.7289623170285511</v>
      </c>
    </row>
    <row r="64" spans="1:11" x14ac:dyDescent="0.3">
      <c r="A64" t="s">
        <v>22</v>
      </c>
      <c r="B64" s="3">
        <v>44748</v>
      </c>
      <c r="C64">
        <f t="shared" si="0"/>
        <v>13</v>
      </c>
      <c r="D64" t="s">
        <v>23</v>
      </c>
      <c r="E64" t="s">
        <v>91</v>
      </c>
      <c r="F64" t="s">
        <v>13</v>
      </c>
      <c r="G64">
        <v>22.13</v>
      </c>
      <c r="H64">
        <v>0.18729999999999999</v>
      </c>
      <c r="J64">
        <f t="shared" si="2"/>
        <v>118.15269620928991</v>
      </c>
      <c r="K64">
        <f t="shared" si="3"/>
        <v>12.523789493774245</v>
      </c>
    </row>
    <row r="65" spans="1:11" x14ac:dyDescent="0.3">
      <c r="A65" t="s">
        <v>22</v>
      </c>
      <c r="B65" s="3">
        <v>44748</v>
      </c>
      <c r="C65">
        <f t="shared" si="0"/>
        <v>13</v>
      </c>
      <c r="D65" t="s">
        <v>23</v>
      </c>
      <c r="E65" t="s">
        <v>91</v>
      </c>
      <c r="F65" t="s">
        <v>14</v>
      </c>
      <c r="G65">
        <v>18.582000000000001</v>
      </c>
      <c r="H65">
        <v>0.15959999999999999</v>
      </c>
      <c r="J65">
        <f t="shared" si="2"/>
        <v>116.42857142857144</v>
      </c>
      <c r="K65">
        <f t="shared" si="3"/>
        <v>5.912653545884055</v>
      </c>
    </row>
    <row r="66" spans="1:11" x14ac:dyDescent="0.3">
      <c r="A66" t="s">
        <v>22</v>
      </c>
      <c r="B66" s="3">
        <v>44748</v>
      </c>
      <c r="C66">
        <f t="shared" si="0"/>
        <v>13</v>
      </c>
      <c r="D66" t="s">
        <v>23</v>
      </c>
      <c r="E66" t="s">
        <v>18</v>
      </c>
      <c r="F66" t="s">
        <v>11</v>
      </c>
      <c r="G66">
        <v>13.276999999999999</v>
      </c>
      <c r="H66">
        <v>0.1268</v>
      </c>
      <c r="J66">
        <f t="shared" si="2"/>
        <v>104.70820189274448</v>
      </c>
      <c r="K66">
        <f t="shared" si="3"/>
        <v>-10.490289305404261</v>
      </c>
    </row>
    <row r="67" spans="1:11" x14ac:dyDescent="0.3">
      <c r="A67" t="s">
        <v>22</v>
      </c>
      <c r="B67" s="3">
        <v>44748</v>
      </c>
      <c r="C67">
        <f t="shared" ref="C67:C105" si="4">B67-$B$2</f>
        <v>13</v>
      </c>
      <c r="D67" t="s">
        <v>23</v>
      </c>
      <c r="E67" t="s">
        <v>18</v>
      </c>
      <c r="F67" t="s">
        <v>12</v>
      </c>
      <c r="G67">
        <v>15.323</v>
      </c>
      <c r="H67">
        <v>0.14860000000000001</v>
      </c>
      <c r="J67">
        <f t="shared" si="2"/>
        <v>103.1157469717362</v>
      </c>
      <c r="K67">
        <f t="shared" si="3"/>
        <v>11.571066237016675</v>
      </c>
    </row>
    <row r="68" spans="1:11" x14ac:dyDescent="0.3">
      <c r="A68" t="s">
        <v>22</v>
      </c>
      <c r="B68" s="3">
        <v>44748</v>
      </c>
      <c r="C68">
        <f t="shared" si="4"/>
        <v>13</v>
      </c>
      <c r="D68" t="s">
        <v>23</v>
      </c>
      <c r="E68" t="s">
        <v>18</v>
      </c>
      <c r="F68" t="s">
        <v>13</v>
      </c>
      <c r="G68">
        <v>14.67</v>
      </c>
      <c r="H68">
        <v>0.14949999999999999</v>
      </c>
      <c r="J68">
        <f t="shared" si="2"/>
        <v>98.127090301003349</v>
      </c>
      <c r="K68">
        <f t="shared" si="3"/>
        <v>0.33557172939934021</v>
      </c>
    </row>
    <row r="69" spans="1:11" x14ac:dyDescent="0.3">
      <c r="A69" t="s">
        <v>22</v>
      </c>
      <c r="B69" s="3">
        <v>44748</v>
      </c>
      <c r="C69">
        <f t="shared" si="4"/>
        <v>13</v>
      </c>
      <c r="D69" t="s">
        <v>23</v>
      </c>
      <c r="E69" t="s">
        <v>18</v>
      </c>
      <c r="F69" t="s">
        <v>14</v>
      </c>
      <c r="G69">
        <v>16.998999999999999</v>
      </c>
      <c r="H69">
        <v>0.1525</v>
      </c>
      <c r="J69">
        <f t="shared" si="2"/>
        <v>111.46885245901639</v>
      </c>
      <c r="K69">
        <f t="shared" si="3"/>
        <v>5.1043595156428614</v>
      </c>
    </row>
    <row r="70" spans="1:11" x14ac:dyDescent="0.3">
      <c r="A70" t="s">
        <v>22</v>
      </c>
      <c r="B70" s="3">
        <v>44748</v>
      </c>
      <c r="C70">
        <f t="shared" si="4"/>
        <v>13</v>
      </c>
      <c r="D70" t="s">
        <v>23</v>
      </c>
      <c r="E70" t="s">
        <v>19</v>
      </c>
      <c r="F70" t="s">
        <v>11</v>
      </c>
      <c r="G70">
        <v>5.1820000000000004</v>
      </c>
      <c r="H70">
        <v>5.2999999999999999E-2</v>
      </c>
      <c r="J70">
        <f t="shared" si="2"/>
        <v>97.773584905660385</v>
      </c>
      <c r="K70">
        <f t="shared" si="3"/>
        <v>-13.767104810810254</v>
      </c>
    </row>
    <row r="71" spans="1:11" x14ac:dyDescent="0.3">
      <c r="A71" t="s">
        <v>22</v>
      </c>
      <c r="B71" s="3">
        <v>44748</v>
      </c>
      <c r="C71">
        <f t="shared" si="4"/>
        <v>13</v>
      </c>
      <c r="D71" t="s">
        <v>23</v>
      </c>
      <c r="E71" t="s">
        <v>19</v>
      </c>
      <c r="F71" t="s">
        <v>12</v>
      </c>
      <c r="G71">
        <v>7.0270000000000001</v>
      </c>
      <c r="H71">
        <v>6.7000000000000004E-2</v>
      </c>
      <c r="J71">
        <f t="shared" si="2"/>
        <v>104.88059701492537</v>
      </c>
      <c r="K71">
        <f t="shared" si="3"/>
        <v>-8.7415442532398497</v>
      </c>
    </row>
    <row r="72" spans="1:11" x14ac:dyDescent="0.3">
      <c r="A72" t="s">
        <v>22</v>
      </c>
      <c r="B72" s="3">
        <v>44748</v>
      </c>
      <c r="C72">
        <f t="shared" si="4"/>
        <v>13</v>
      </c>
      <c r="D72" t="s">
        <v>23</v>
      </c>
      <c r="E72" t="s">
        <v>19</v>
      </c>
      <c r="F72" t="s">
        <v>13</v>
      </c>
      <c r="G72">
        <v>7.0410000000000004</v>
      </c>
      <c r="H72">
        <v>7.8700000000000006E-2</v>
      </c>
      <c r="J72">
        <f t="shared" si="2"/>
        <v>89.466327827191861</v>
      </c>
      <c r="K72">
        <f t="shared" si="3"/>
        <v>6.7219705242029821</v>
      </c>
    </row>
    <row r="73" spans="1:11" x14ac:dyDescent="0.3">
      <c r="A73" t="s">
        <v>22</v>
      </c>
      <c r="B73" s="3">
        <v>44748</v>
      </c>
      <c r="C73">
        <f t="shared" si="4"/>
        <v>13</v>
      </c>
      <c r="D73" t="s">
        <v>23</v>
      </c>
      <c r="E73" t="s">
        <v>19</v>
      </c>
      <c r="F73" t="s">
        <v>14</v>
      </c>
      <c r="G73">
        <v>5.9619999999999997</v>
      </c>
      <c r="H73">
        <v>5.2499999999999998E-2</v>
      </c>
      <c r="J73">
        <f t="shared" si="2"/>
        <v>113.56190476190476</v>
      </c>
      <c r="K73">
        <f t="shared" si="3"/>
        <v>-2.8685015829479301</v>
      </c>
    </row>
    <row r="74" spans="1:11" x14ac:dyDescent="0.3">
      <c r="A74" t="s">
        <v>22</v>
      </c>
      <c r="B74" s="3">
        <v>44750</v>
      </c>
      <c r="C74">
        <f t="shared" si="4"/>
        <v>15</v>
      </c>
      <c r="D74" t="s">
        <v>23</v>
      </c>
      <c r="E74" t="s">
        <v>17</v>
      </c>
      <c r="F74" t="s">
        <v>11</v>
      </c>
      <c r="G74">
        <v>15.955</v>
      </c>
      <c r="H74">
        <v>0.1431</v>
      </c>
      <c r="J74">
        <f t="shared" ref="J74:J105" si="5">G74/H74</f>
        <v>111.49545772187281</v>
      </c>
      <c r="K74">
        <f t="shared" si="3"/>
        <v>0.59754665499664517</v>
      </c>
    </row>
    <row r="75" spans="1:11" x14ac:dyDescent="0.3">
      <c r="A75" t="s">
        <v>22</v>
      </c>
      <c r="B75" s="3">
        <v>44750</v>
      </c>
      <c r="C75">
        <f t="shared" si="4"/>
        <v>15</v>
      </c>
      <c r="D75" t="s">
        <v>23</v>
      </c>
      <c r="E75" t="s">
        <v>17</v>
      </c>
      <c r="F75" t="s">
        <v>12</v>
      </c>
      <c r="G75">
        <v>21.89</v>
      </c>
      <c r="H75">
        <v>0.1709</v>
      </c>
      <c r="J75">
        <f t="shared" si="5"/>
        <v>128.08660035108252</v>
      </c>
      <c r="K75">
        <f t="shared" si="3"/>
        <v>1.5148173710175283</v>
      </c>
    </row>
    <row r="76" spans="1:11" x14ac:dyDescent="0.3">
      <c r="A76" t="s">
        <v>22</v>
      </c>
      <c r="B76" s="3">
        <v>44750</v>
      </c>
      <c r="C76">
        <f t="shared" si="4"/>
        <v>15</v>
      </c>
      <c r="D76" t="s">
        <v>23</v>
      </c>
      <c r="E76" t="s">
        <v>17</v>
      </c>
      <c r="F76" t="s">
        <v>13</v>
      </c>
      <c r="G76">
        <v>16.369</v>
      </c>
      <c r="H76">
        <v>0.13639999999999999</v>
      </c>
      <c r="J76">
        <f t="shared" si="5"/>
        <v>120.00733137829913</v>
      </c>
      <c r="K76">
        <f t="shared" si="3"/>
        <v>-7.4765866985481919</v>
      </c>
    </row>
    <row r="77" spans="1:11" x14ac:dyDescent="0.3">
      <c r="A77" t="s">
        <v>22</v>
      </c>
      <c r="B77" s="3">
        <v>44750</v>
      </c>
      <c r="C77">
        <f t="shared" si="4"/>
        <v>15</v>
      </c>
      <c r="D77" t="s">
        <v>23</v>
      </c>
      <c r="E77" t="s">
        <v>17</v>
      </c>
      <c r="F77" t="s">
        <v>14</v>
      </c>
      <c r="G77">
        <v>22.98</v>
      </c>
      <c r="H77">
        <v>0.17219999999999999</v>
      </c>
      <c r="J77">
        <f t="shared" si="5"/>
        <v>133.44947735191639</v>
      </c>
      <c r="K77">
        <f t="shared" si="3"/>
        <v>-3.3954136341073573</v>
      </c>
    </row>
    <row r="78" spans="1:11" x14ac:dyDescent="0.3">
      <c r="A78" t="s">
        <v>22</v>
      </c>
      <c r="B78" s="3">
        <v>44750</v>
      </c>
      <c r="C78">
        <f t="shared" si="4"/>
        <v>15</v>
      </c>
      <c r="D78" t="s">
        <v>23</v>
      </c>
      <c r="E78" t="s">
        <v>91</v>
      </c>
      <c r="F78" t="s">
        <v>11</v>
      </c>
      <c r="G78">
        <v>18.736000000000001</v>
      </c>
      <c r="H78">
        <v>0.17749999999999999</v>
      </c>
      <c r="J78">
        <f t="shared" si="5"/>
        <v>105.5549295774648</v>
      </c>
      <c r="K78">
        <f t="shared" si="3"/>
        <v>3.5604302044245979</v>
      </c>
    </row>
    <row r="79" spans="1:11" x14ac:dyDescent="0.3">
      <c r="A79" t="s">
        <v>22</v>
      </c>
      <c r="B79" s="3">
        <v>44750</v>
      </c>
      <c r="C79">
        <f t="shared" si="4"/>
        <v>15</v>
      </c>
      <c r="D79" t="s">
        <v>23</v>
      </c>
      <c r="E79" t="s">
        <v>91</v>
      </c>
      <c r="F79" t="s">
        <v>12</v>
      </c>
      <c r="G79">
        <v>13.038</v>
      </c>
      <c r="H79">
        <v>0.14510000000000001</v>
      </c>
      <c r="J79">
        <f t="shared" si="5"/>
        <v>89.855272226051</v>
      </c>
      <c r="K79">
        <f t="shared" si="3"/>
        <v>-12.011315179521986</v>
      </c>
    </row>
    <row r="80" spans="1:11" x14ac:dyDescent="0.3">
      <c r="A80" t="s">
        <v>22</v>
      </c>
      <c r="B80" s="3">
        <v>44750</v>
      </c>
      <c r="C80">
        <f t="shared" si="4"/>
        <v>15</v>
      </c>
      <c r="D80" t="s">
        <v>23</v>
      </c>
      <c r="E80" t="s">
        <v>91</v>
      </c>
      <c r="F80" t="s">
        <v>13</v>
      </c>
      <c r="G80">
        <v>15.483000000000001</v>
      </c>
      <c r="H80">
        <v>0.1608</v>
      </c>
      <c r="J80">
        <f t="shared" si="5"/>
        <v>96.28731343283583</v>
      </c>
      <c r="K80">
        <f t="shared" si="3"/>
        <v>-7.6275126352588432</v>
      </c>
    </row>
    <row r="81" spans="1:11" x14ac:dyDescent="0.3">
      <c r="A81" t="s">
        <v>22</v>
      </c>
      <c r="B81" s="3">
        <v>44750</v>
      </c>
      <c r="C81">
        <f t="shared" si="4"/>
        <v>15</v>
      </c>
      <c r="D81" t="s">
        <v>23</v>
      </c>
      <c r="E81" t="s">
        <v>91</v>
      </c>
      <c r="F81" t="s">
        <v>14</v>
      </c>
      <c r="G81">
        <v>14.356</v>
      </c>
      <c r="H81">
        <v>0.13750000000000001</v>
      </c>
      <c r="J81">
        <f t="shared" si="5"/>
        <v>104.40727272727271</v>
      </c>
      <c r="K81">
        <f t="shared" si="3"/>
        <v>-7.4523383954541149</v>
      </c>
    </row>
    <row r="82" spans="1:11" x14ac:dyDescent="0.3">
      <c r="A82" t="s">
        <v>22</v>
      </c>
      <c r="B82" s="3">
        <v>44750</v>
      </c>
      <c r="C82">
        <f t="shared" si="4"/>
        <v>15</v>
      </c>
      <c r="D82" t="s">
        <v>23</v>
      </c>
      <c r="E82" t="s">
        <v>18</v>
      </c>
      <c r="F82" t="s">
        <v>11</v>
      </c>
      <c r="G82">
        <v>14.147</v>
      </c>
      <c r="H82">
        <v>0.14360000000000001</v>
      </c>
      <c r="J82">
        <f t="shared" si="5"/>
        <v>98.516713091922</v>
      </c>
      <c r="K82">
        <f t="shared" si="3"/>
        <v>6.2210307305499128</v>
      </c>
    </row>
    <row r="83" spans="1:11" x14ac:dyDescent="0.3">
      <c r="A83" t="s">
        <v>22</v>
      </c>
      <c r="B83" s="3">
        <v>44750</v>
      </c>
      <c r="C83">
        <f t="shared" si="4"/>
        <v>15</v>
      </c>
      <c r="D83" t="s">
        <v>23</v>
      </c>
      <c r="E83" t="s">
        <v>18</v>
      </c>
      <c r="F83" t="s">
        <v>12</v>
      </c>
      <c r="G83">
        <v>11.205</v>
      </c>
      <c r="H83">
        <v>0.1215</v>
      </c>
      <c r="J83">
        <f t="shared" si="5"/>
        <v>92.222222222222229</v>
      </c>
      <c r="K83">
        <f t="shared" si="3"/>
        <v>-10.067193475152788</v>
      </c>
    </row>
    <row r="84" spans="1:11" x14ac:dyDescent="0.3">
      <c r="A84" t="s">
        <v>22</v>
      </c>
      <c r="B84" s="3">
        <v>44750</v>
      </c>
      <c r="C84">
        <f t="shared" si="4"/>
        <v>15</v>
      </c>
      <c r="D84" t="s">
        <v>23</v>
      </c>
      <c r="E84" t="s">
        <v>18</v>
      </c>
      <c r="F84" t="s">
        <v>13</v>
      </c>
      <c r="G84">
        <v>14.912000000000001</v>
      </c>
      <c r="H84">
        <v>0.14430000000000001</v>
      </c>
      <c r="J84">
        <f t="shared" si="5"/>
        <v>103.34026334026333</v>
      </c>
      <c r="K84">
        <f t="shared" si="3"/>
        <v>-1.7700963525457896</v>
      </c>
    </row>
    <row r="85" spans="1:11" x14ac:dyDescent="0.3">
      <c r="A85" t="s">
        <v>22</v>
      </c>
      <c r="B85" s="3">
        <v>44750</v>
      </c>
      <c r="C85">
        <f t="shared" si="4"/>
        <v>15</v>
      </c>
      <c r="D85" t="s">
        <v>23</v>
      </c>
      <c r="E85" t="s">
        <v>18</v>
      </c>
      <c r="F85" t="s">
        <v>14</v>
      </c>
      <c r="G85">
        <v>11.936</v>
      </c>
      <c r="H85">
        <v>0.1318</v>
      </c>
      <c r="J85">
        <f t="shared" si="5"/>
        <v>90.561456752655545</v>
      </c>
      <c r="K85">
        <f t="shared" si="3"/>
        <v>-7.2939486989529705</v>
      </c>
    </row>
    <row r="86" spans="1:11" x14ac:dyDescent="0.3">
      <c r="A86" t="s">
        <v>22</v>
      </c>
      <c r="B86" s="3">
        <v>44750</v>
      </c>
      <c r="C86">
        <f t="shared" si="4"/>
        <v>15</v>
      </c>
      <c r="D86" t="s">
        <v>23</v>
      </c>
      <c r="E86" t="s">
        <v>19</v>
      </c>
      <c r="F86" t="s">
        <v>11</v>
      </c>
      <c r="G86">
        <v>6.383</v>
      </c>
      <c r="H86">
        <v>6.9400000000000003E-2</v>
      </c>
      <c r="J86">
        <f t="shared" si="5"/>
        <v>91.97406340057637</v>
      </c>
      <c r="K86">
        <f t="shared" si="3"/>
        <v>13.479747698031852</v>
      </c>
    </row>
    <row r="87" spans="1:11" x14ac:dyDescent="0.3">
      <c r="A87" t="s">
        <v>22</v>
      </c>
      <c r="B87" s="3">
        <v>44750</v>
      </c>
      <c r="C87">
        <f t="shared" si="4"/>
        <v>15</v>
      </c>
      <c r="D87" t="s">
        <v>23</v>
      </c>
      <c r="E87" t="s">
        <v>19</v>
      </c>
      <c r="F87" t="s">
        <v>12</v>
      </c>
      <c r="G87">
        <v>7.0670000000000002</v>
      </c>
      <c r="H87">
        <v>7.6300000000000007E-2</v>
      </c>
      <c r="J87">
        <f t="shared" si="5"/>
        <v>92.621231979030142</v>
      </c>
      <c r="K87">
        <f t="shared" si="3"/>
        <v>6.4990159449722622</v>
      </c>
    </row>
    <row r="88" spans="1:11" x14ac:dyDescent="0.3">
      <c r="A88" t="s">
        <v>22</v>
      </c>
      <c r="B88" s="3">
        <v>44750</v>
      </c>
      <c r="C88">
        <f t="shared" si="4"/>
        <v>15</v>
      </c>
      <c r="D88" t="s">
        <v>23</v>
      </c>
      <c r="E88" t="s">
        <v>19</v>
      </c>
      <c r="F88" t="s">
        <v>13</v>
      </c>
      <c r="G88">
        <v>4.8479999999999999</v>
      </c>
      <c r="H88">
        <v>4.7100000000000003E-2</v>
      </c>
      <c r="J88">
        <f t="shared" si="5"/>
        <v>102.92993630573247</v>
      </c>
      <c r="K88">
        <f t="shared" si="3"/>
        <v>-25.668507720049277</v>
      </c>
    </row>
    <row r="89" spans="1:11" x14ac:dyDescent="0.3">
      <c r="A89" t="s">
        <v>22</v>
      </c>
      <c r="B89" s="3">
        <v>44750</v>
      </c>
      <c r="C89">
        <f t="shared" si="4"/>
        <v>15</v>
      </c>
      <c r="D89" t="s">
        <v>23</v>
      </c>
      <c r="E89" t="s">
        <v>19</v>
      </c>
      <c r="F89" t="s">
        <v>14</v>
      </c>
      <c r="G89">
        <v>5.4459999999999997</v>
      </c>
      <c r="H89">
        <v>5.3900000000000003E-2</v>
      </c>
      <c r="J89">
        <f t="shared" si="5"/>
        <v>101.03896103896103</v>
      </c>
      <c r="K89">
        <f t="shared" si="3"/>
        <v>1.3158654158686767</v>
      </c>
    </row>
    <row r="90" spans="1:11" x14ac:dyDescent="0.3">
      <c r="A90" t="s">
        <v>22</v>
      </c>
      <c r="B90" s="3">
        <v>44753</v>
      </c>
      <c r="C90">
        <f t="shared" si="4"/>
        <v>18</v>
      </c>
      <c r="D90" t="s">
        <v>23</v>
      </c>
      <c r="E90" t="s">
        <v>17</v>
      </c>
      <c r="F90" t="s">
        <v>11</v>
      </c>
      <c r="G90">
        <v>22.036999999999999</v>
      </c>
      <c r="H90">
        <v>0.22520000000000001</v>
      </c>
      <c r="J90">
        <f t="shared" si="5"/>
        <v>97.855239786856117</v>
      </c>
      <c r="K90">
        <f t="shared" si="3"/>
        <v>15.114840323437674</v>
      </c>
    </row>
    <row r="91" spans="1:11" x14ac:dyDescent="0.3">
      <c r="A91" t="s">
        <v>22</v>
      </c>
      <c r="B91" s="3">
        <v>44753</v>
      </c>
      <c r="C91">
        <f t="shared" si="4"/>
        <v>18</v>
      </c>
      <c r="D91" t="s">
        <v>23</v>
      </c>
      <c r="E91" t="s">
        <v>17</v>
      </c>
      <c r="F91" t="s">
        <v>12</v>
      </c>
      <c r="G91">
        <v>19.062999999999999</v>
      </c>
      <c r="H91">
        <v>0.2127</v>
      </c>
      <c r="J91">
        <f t="shared" si="5"/>
        <v>89.623883403855189</v>
      </c>
      <c r="K91">
        <f t="shared" ref="K91:K105" si="6">((LN(H75/H91))*100)/(C75-C91)</f>
        <v>7.2934710694882101</v>
      </c>
    </row>
    <row r="92" spans="1:11" x14ac:dyDescent="0.3">
      <c r="A92" t="s">
        <v>22</v>
      </c>
      <c r="B92" s="3">
        <v>44753</v>
      </c>
      <c r="C92">
        <f t="shared" si="4"/>
        <v>18</v>
      </c>
      <c r="D92" t="s">
        <v>23</v>
      </c>
      <c r="E92" t="s">
        <v>17</v>
      </c>
      <c r="F92" t="s">
        <v>13</v>
      </c>
      <c r="G92">
        <v>24.327999999999999</v>
      </c>
      <c r="H92">
        <v>0.21959999999999999</v>
      </c>
      <c r="J92">
        <f t="shared" si="5"/>
        <v>110.78324225865209</v>
      </c>
      <c r="K92">
        <f t="shared" si="6"/>
        <v>15.873865474200462</v>
      </c>
    </row>
    <row r="93" spans="1:11" x14ac:dyDescent="0.3">
      <c r="A93" t="s">
        <v>22</v>
      </c>
      <c r="B93" s="3">
        <v>44753</v>
      </c>
      <c r="C93">
        <f t="shared" si="4"/>
        <v>18</v>
      </c>
      <c r="D93" t="s">
        <v>23</v>
      </c>
      <c r="E93" t="s">
        <v>17</v>
      </c>
      <c r="F93" t="s">
        <v>14</v>
      </c>
      <c r="G93">
        <v>19.759</v>
      </c>
      <c r="H93">
        <v>0.2162</v>
      </c>
      <c r="J93">
        <f t="shared" si="5"/>
        <v>91.392229417206295</v>
      </c>
      <c r="K93">
        <f t="shared" si="6"/>
        <v>7.5849104403825871</v>
      </c>
    </row>
    <row r="94" spans="1:11" x14ac:dyDescent="0.3">
      <c r="A94" t="s">
        <v>22</v>
      </c>
      <c r="B94" s="3">
        <v>44753</v>
      </c>
      <c r="C94">
        <f t="shared" si="4"/>
        <v>18</v>
      </c>
      <c r="D94" t="s">
        <v>23</v>
      </c>
      <c r="E94" t="s">
        <v>91</v>
      </c>
      <c r="F94" t="s">
        <v>11</v>
      </c>
      <c r="G94">
        <v>23.556999999999999</v>
      </c>
      <c r="H94">
        <v>0.23050000000000001</v>
      </c>
      <c r="J94">
        <f t="shared" si="5"/>
        <v>102.19956616052059</v>
      </c>
      <c r="K94">
        <f t="shared" si="6"/>
        <v>8.7093417840410918</v>
      </c>
    </row>
    <row r="95" spans="1:11" x14ac:dyDescent="0.3">
      <c r="A95" t="s">
        <v>22</v>
      </c>
      <c r="B95" s="3">
        <v>44753</v>
      </c>
      <c r="C95">
        <f t="shared" si="4"/>
        <v>18</v>
      </c>
      <c r="D95" t="s">
        <v>23</v>
      </c>
      <c r="E95" t="s">
        <v>91</v>
      </c>
      <c r="F95" t="s">
        <v>12</v>
      </c>
      <c r="G95">
        <v>24.783000000000001</v>
      </c>
      <c r="H95">
        <v>0.22889999999999999</v>
      </c>
      <c r="J95">
        <f t="shared" si="5"/>
        <v>108.26998689384011</v>
      </c>
      <c r="K95">
        <f t="shared" si="6"/>
        <v>15.195402235612626</v>
      </c>
    </row>
    <row r="96" spans="1:11" x14ac:dyDescent="0.3">
      <c r="A96" t="s">
        <v>22</v>
      </c>
      <c r="B96" s="3">
        <v>44753</v>
      </c>
      <c r="C96">
        <f t="shared" si="4"/>
        <v>18</v>
      </c>
      <c r="D96" t="s">
        <v>23</v>
      </c>
      <c r="E96" t="s">
        <v>91</v>
      </c>
      <c r="F96" t="s">
        <v>13</v>
      </c>
      <c r="G96">
        <v>20.95</v>
      </c>
      <c r="H96">
        <v>0.20250000000000001</v>
      </c>
      <c r="J96">
        <f t="shared" si="5"/>
        <v>103.45679012345678</v>
      </c>
      <c r="K96">
        <f t="shared" si="6"/>
        <v>7.6859509933909296</v>
      </c>
    </row>
    <row r="97" spans="1:11" x14ac:dyDescent="0.3">
      <c r="A97" t="s">
        <v>22</v>
      </c>
      <c r="B97" s="3">
        <v>44753</v>
      </c>
      <c r="C97">
        <f t="shared" si="4"/>
        <v>18</v>
      </c>
      <c r="D97" t="s">
        <v>23</v>
      </c>
      <c r="E97" t="s">
        <v>91</v>
      </c>
      <c r="F97" t="s">
        <v>14</v>
      </c>
      <c r="G97">
        <v>19.29</v>
      </c>
      <c r="H97">
        <v>0.19550000000000001</v>
      </c>
      <c r="J97">
        <f t="shared" si="5"/>
        <v>98.6700767263427</v>
      </c>
      <c r="K97">
        <f t="shared" si="6"/>
        <v>11.731215410626483</v>
      </c>
    </row>
    <row r="98" spans="1:11" x14ac:dyDescent="0.3">
      <c r="A98" t="s">
        <v>22</v>
      </c>
      <c r="B98" s="3">
        <v>44753</v>
      </c>
      <c r="C98">
        <f t="shared" si="4"/>
        <v>18</v>
      </c>
      <c r="D98" t="s">
        <v>23</v>
      </c>
      <c r="E98" t="s">
        <v>18</v>
      </c>
      <c r="F98" t="s">
        <v>11</v>
      </c>
      <c r="G98">
        <v>17.811</v>
      </c>
      <c r="H98">
        <v>0.18909999999999999</v>
      </c>
      <c r="J98">
        <f t="shared" si="5"/>
        <v>94.188260179799059</v>
      </c>
      <c r="K98">
        <f t="shared" si="6"/>
        <v>9.1748106350095977</v>
      </c>
    </row>
    <row r="99" spans="1:11" x14ac:dyDescent="0.3">
      <c r="A99" t="s">
        <v>22</v>
      </c>
      <c r="B99" s="3">
        <v>44753</v>
      </c>
      <c r="C99">
        <f t="shared" si="4"/>
        <v>18</v>
      </c>
      <c r="D99" t="s">
        <v>23</v>
      </c>
      <c r="E99" t="s">
        <v>18</v>
      </c>
      <c r="F99" t="s">
        <v>12</v>
      </c>
      <c r="G99">
        <v>14.961</v>
      </c>
      <c r="H99">
        <v>0.16309999999999999</v>
      </c>
      <c r="J99">
        <f t="shared" si="5"/>
        <v>91.729000613120789</v>
      </c>
      <c r="K99">
        <f t="shared" si="6"/>
        <v>9.8149748948788318</v>
      </c>
    </row>
    <row r="100" spans="1:11" x14ac:dyDescent="0.3">
      <c r="A100" t="s">
        <v>22</v>
      </c>
      <c r="B100" s="3">
        <v>44753</v>
      </c>
      <c r="C100">
        <f t="shared" si="4"/>
        <v>18</v>
      </c>
      <c r="D100" t="s">
        <v>23</v>
      </c>
      <c r="E100" t="s">
        <v>18</v>
      </c>
      <c r="F100" t="s">
        <v>13</v>
      </c>
      <c r="G100">
        <v>19.315999999999999</v>
      </c>
      <c r="H100">
        <v>0.18859999999999999</v>
      </c>
      <c r="J100">
        <f t="shared" si="5"/>
        <v>102.41781548250265</v>
      </c>
      <c r="K100">
        <f t="shared" si="6"/>
        <v>8.9244634806510614</v>
      </c>
    </row>
    <row r="101" spans="1:11" x14ac:dyDescent="0.3">
      <c r="A101" t="s">
        <v>22</v>
      </c>
      <c r="B101" s="3">
        <v>44753</v>
      </c>
      <c r="C101">
        <f t="shared" si="4"/>
        <v>18</v>
      </c>
      <c r="D101" t="s">
        <v>23</v>
      </c>
      <c r="E101" t="s">
        <v>18</v>
      </c>
      <c r="F101" t="s">
        <v>14</v>
      </c>
      <c r="G101">
        <v>18.292999999999999</v>
      </c>
      <c r="H101">
        <v>0.1966</v>
      </c>
      <c r="J101">
        <f t="shared" si="5"/>
        <v>93.046795523906411</v>
      </c>
      <c r="K101">
        <f t="shared" si="6"/>
        <v>13.329519521488644</v>
      </c>
    </row>
    <row r="102" spans="1:11" x14ac:dyDescent="0.3">
      <c r="A102" t="s">
        <v>22</v>
      </c>
      <c r="B102" s="3">
        <v>44753</v>
      </c>
      <c r="C102">
        <f t="shared" si="4"/>
        <v>18</v>
      </c>
      <c r="D102" t="s">
        <v>23</v>
      </c>
      <c r="E102" t="s">
        <v>19</v>
      </c>
      <c r="F102" t="s">
        <v>11</v>
      </c>
      <c r="G102">
        <v>6.8559999999999999</v>
      </c>
      <c r="H102">
        <v>6.8400000000000002E-2</v>
      </c>
      <c r="J102">
        <f t="shared" si="5"/>
        <v>100.23391812865496</v>
      </c>
      <c r="K102">
        <f t="shared" si="6"/>
        <v>-0.48380142947513377</v>
      </c>
    </row>
    <row r="103" spans="1:11" x14ac:dyDescent="0.3">
      <c r="A103" t="s">
        <v>22</v>
      </c>
      <c r="B103" s="3">
        <v>44753</v>
      </c>
      <c r="C103">
        <f t="shared" si="4"/>
        <v>18</v>
      </c>
      <c r="D103" t="s">
        <v>23</v>
      </c>
      <c r="E103" t="s">
        <v>19</v>
      </c>
      <c r="F103" t="s">
        <v>12</v>
      </c>
      <c r="G103">
        <v>7.1520000000000001</v>
      </c>
      <c r="H103">
        <v>7.9299999999999995E-2</v>
      </c>
      <c r="J103">
        <f t="shared" si="5"/>
        <v>90.189155107187901</v>
      </c>
      <c r="K103">
        <f t="shared" si="6"/>
        <v>1.2855063450130273</v>
      </c>
    </row>
    <row r="104" spans="1:11" x14ac:dyDescent="0.3">
      <c r="A104" t="s">
        <v>22</v>
      </c>
      <c r="B104" s="3">
        <v>44753</v>
      </c>
      <c r="C104">
        <f t="shared" si="4"/>
        <v>18</v>
      </c>
      <c r="D104" t="s">
        <v>23</v>
      </c>
      <c r="E104" t="s">
        <v>19</v>
      </c>
      <c r="F104" t="s">
        <v>13</v>
      </c>
      <c r="G104">
        <v>7.4640000000000004</v>
      </c>
      <c r="H104">
        <v>7.4200000000000002E-2</v>
      </c>
      <c r="J104">
        <f t="shared" si="5"/>
        <v>100.59299191374663</v>
      </c>
      <c r="K104">
        <f t="shared" si="6"/>
        <v>15.149704971698755</v>
      </c>
    </row>
    <row r="105" spans="1:11" x14ac:dyDescent="0.3">
      <c r="A105" t="s">
        <v>22</v>
      </c>
      <c r="B105" s="3">
        <v>44753</v>
      </c>
      <c r="C105">
        <f t="shared" si="4"/>
        <v>18</v>
      </c>
      <c r="D105" t="s">
        <v>23</v>
      </c>
      <c r="E105" t="s">
        <v>19</v>
      </c>
      <c r="F105" t="s">
        <v>14</v>
      </c>
      <c r="G105">
        <v>6.6360000000000001</v>
      </c>
      <c r="H105">
        <v>6.6400000000000001E-2</v>
      </c>
      <c r="J105">
        <f t="shared" si="5"/>
        <v>99.939759036144579</v>
      </c>
      <c r="K105">
        <f t="shared" si="6"/>
        <v>6.952219285581223</v>
      </c>
    </row>
    <row r="106" spans="1:11" x14ac:dyDescent="0.3">
      <c r="A106" t="s">
        <v>22</v>
      </c>
      <c r="B106" s="3">
        <v>44755</v>
      </c>
      <c r="C106">
        <f t="shared" ref="C106:C127" si="7">B106-$B$2</f>
        <v>20</v>
      </c>
      <c r="D106" t="s">
        <v>23</v>
      </c>
      <c r="E106" t="s">
        <v>17</v>
      </c>
      <c r="F106" t="s">
        <v>11</v>
      </c>
      <c r="G106">
        <v>17.408000000000001</v>
      </c>
      <c r="H106">
        <v>0.20979999999999999</v>
      </c>
      <c r="J106">
        <f t="shared" ref="J106:J127" si="8">G106/H106</f>
        <v>82.97426120114396</v>
      </c>
      <c r="K106">
        <f>((LN(H90/H106))*100)/(C90-C106)</f>
        <v>-3.5417100151669265</v>
      </c>
    </row>
    <row r="107" spans="1:11" x14ac:dyDescent="0.3">
      <c r="A107" t="s">
        <v>22</v>
      </c>
      <c r="B107" s="3">
        <v>44755</v>
      </c>
      <c r="C107">
        <f t="shared" si="7"/>
        <v>20</v>
      </c>
      <c r="D107" t="s">
        <v>23</v>
      </c>
      <c r="E107" t="s">
        <v>17</v>
      </c>
      <c r="F107" t="s">
        <v>12</v>
      </c>
      <c r="G107">
        <v>25.173999999999999</v>
      </c>
      <c r="H107">
        <v>0.25259999999999999</v>
      </c>
      <c r="J107">
        <f t="shared" si="8"/>
        <v>99.659540775930324</v>
      </c>
      <c r="K107">
        <f>((LN(H91/H107))*100)/(C91-C107)</f>
        <v>8.5962243855099594</v>
      </c>
    </row>
    <row r="108" spans="1:11" x14ac:dyDescent="0.3">
      <c r="A108" t="s">
        <v>22</v>
      </c>
      <c r="B108" s="3">
        <v>44755</v>
      </c>
      <c r="C108">
        <f t="shared" si="7"/>
        <v>20</v>
      </c>
      <c r="D108" t="s">
        <v>23</v>
      </c>
      <c r="E108" t="s">
        <v>17</v>
      </c>
      <c r="F108" t="s">
        <v>13</v>
      </c>
      <c r="G108">
        <v>28.800999999999998</v>
      </c>
      <c r="H108">
        <v>0.27660000000000001</v>
      </c>
      <c r="J108">
        <f t="shared" si="8"/>
        <v>104.12509038322486</v>
      </c>
      <c r="K108">
        <f>((LN(H92/H108))*100)/(C92-C108)</f>
        <v>11.53823547976412</v>
      </c>
    </row>
    <row r="109" spans="1:11" x14ac:dyDescent="0.3">
      <c r="A109" t="s">
        <v>22</v>
      </c>
      <c r="B109" s="3">
        <v>44755</v>
      </c>
      <c r="C109">
        <f t="shared" si="7"/>
        <v>20</v>
      </c>
      <c r="D109" t="s">
        <v>23</v>
      </c>
      <c r="E109" t="s">
        <v>17</v>
      </c>
      <c r="F109" t="s">
        <v>14</v>
      </c>
      <c r="G109">
        <v>29.032</v>
      </c>
      <c r="H109">
        <v>0.25559999999999999</v>
      </c>
      <c r="J109">
        <f t="shared" si="8"/>
        <v>113.58372456964007</v>
      </c>
      <c r="K109">
        <f>((LN(H93/H109))*100)/(C93-C109)</f>
        <v>8.3704908649135916</v>
      </c>
    </row>
    <row r="110" spans="1:11" x14ac:dyDescent="0.3">
      <c r="A110" t="s">
        <v>22</v>
      </c>
      <c r="B110" s="3">
        <v>44755</v>
      </c>
      <c r="C110">
        <f>B110-$B$2</f>
        <v>20</v>
      </c>
      <c r="D110" t="s">
        <v>23</v>
      </c>
      <c r="E110" t="s">
        <v>17</v>
      </c>
      <c r="F110" t="s">
        <v>90</v>
      </c>
      <c r="G110">
        <v>24.628</v>
      </c>
      <c r="H110">
        <v>0.25619999999999998</v>
      </c>
      <c r="J110">
        <f>G110/H110</f>
        <v>96.128024980484</v>
      </c>
      <c r="K110">
        <f>((LN(H90/H110))*100)/(C94-C110)</f>
        <v>6.4484746598549236</v>
      </c>
    </row>
    <row r="111" spans="1:11" x14ac:dyDescent="0.3">
      <c r="A111" t="s">
        <v>22</v>
      </c>
      <c r="B111" s="3">
        <v>44755</v>
      </c>
      <c r="C111">
        <f>B111-$B$2</f>
        <v>20</v>
      </c>
      <c r="D111" t="s">
        <v>23</v>
      </c>
      <c r="E111" t="s">
        <v>17</v>
      </c>
      <c r="F111" t="s">
        <v>89</v>
      </c>
      <c r="G111">
        <v>30.622</v>
      </c>
      <c r="H111">
        <v>0.2848</v>
      </c>
      <c r="J111">
        <f>G111/H111</f>
        <v>107.52106741573034</v>
      </c>
      <c r="K111">
        <f>((LN(H91/H111))*100)/(C95-C111)</f>
        <v>14.595222866581462</v>
      </c>
    </row>
    <row r="112" spans="1:11" x14ac:dyDescent="0.3">
      <c r="A112" t="s">
        <v>22</v>
      </c>
      <c r="B112" s="3">
        <v>44755</v>
      </c>
      <c r="C112">
        <f t="shared" si="7"/>
        <v>20</v>
      </c>
      <c r="D112" t="s">
        <v>23</v>
      </c>
      <c r="E112" t="s">
        <v>91</v>
      </c>
      <c r="F112" t="s">
        <v>11</v>
      </c>
      <c r="G112">
        <v>23.613</v>
      </c>
      <c r="H112">
        <v>0.249</v>
      </c>
      <c r="J112">
        <f t="shared" si="8"/>
        <v>94.831325301204814</v>
      </c>
      <c r="K112">
        <f>((LN(H94/H112))*100)/(C94-C112)</f>
        <v>3.8601017014002164</v>
      </c>
    </row>
    <row r="113" spans="1:11" x14ac:dyDescent="0.3">
      <c r="A113" t="s">
        <v>22</v>
      </c>
      <c r="B113" s="3">
        <v>44755</v>
      </c>
      <c r="C113">
        <f t="shared" si="7"/>
        <v>20</v>
      </c>
      <c r="D113" t="s">
        <v>23</v>
      </c>
      <c r="E113" t="s">
        <v>91</v>
      </c>
      <c r="F113" t="s">
        <v>12</v>
      </c>
      <c r="G113">
        <v>21.093</v>
      </c>
      <c r="H113">
        <v>0.20880000000000001</v>
      </c>
      <c r="J113">
        <f t="shared" si="8"/>
        <v>101.02011494252874</v>
      </c>
      <c r="K113">
        <f>((LN(H95/H113))*100)/(C95-C113)</f>
        <v>-4.5954185475018674</v>
      </c>
    </row>
    <row r="114" spans="1:11" x14ac:dyDescent="0.3">
      <c r="A114" t="s">
        <v>22</v>
      </c>
      <c r="B114" s="3">
        <v>44755</v>
      </c>
      <c r="C114">
        <f t="shared" si="7"/>
        <v>20</v>
      </c>
      <c r="D114" t="s">
        <v>23</v>
      </c>
      <c r="E114" t="s">
        <v>91</v>
      </c>
      <c r="F114" t="s">
        <v>13</v>
      </c>
      <c r="G114">
        <v>23.138999999999999</v>
      </c>
      <c r="H114">
        <v>0.23910000000000001</v>
      </c>
      <c r="J114">
        <f t="shared" si="8"/>
        <v>96.775407779171886</v>
      </c>
      <c r="K114">
        <f>((LN(H96/H114))*100)/(C96-C114)</f>
        <v>8.3070993958842614</v>
      </c>
    </row>
    <row r="115" spans="1:11" x14ac:dyDescent="0.3">
      <c r="A115" t="s">
        <v>22</v>
      </c>
      <c r="B115" s="3">
        <v>44755</v>
      </c>
      <c r="C115">
        <f t="shared" si="7"/>
        <v>20</v>
      </c>
      <c r="D115" t="s">
        <v>23</v>
      </c>
      <c r="E115" t="s">
        <v>91</v>
      </c>
      <c r="F115" t="s">
        <v>14</v>
      </c>
      <c r="G115">
        <v>22.809000000000001</v>
      </c>
      <c r="H115">
        <v>0.24160000000000001</v>
      </c>
      <c r="J115">
        <f t="shared" si="8"/>
        <v>94.408112582781456</v>
      </c>
      <c r="K115">
        <f>((LN(H97/H115))*100)/(C97-C115)</f>
        <v>10.586154331761973</v>
      </c>
    </row>
    <row r="116" spans="1:11" x14ac:dyDescent="0.3">
      <c r="A116" t="s">
        <v>87</v>
      </c>
      <c r="B116" s="3">
        <v>44756</v>
      </c>
      <c r="C116">
        <f>B116-$B$2</f>
        <v>21</v>
      </c>
      <c r="D116" t="s">
        <v>23</v>
      </c>
      <c r="E116" t="s">
        <v>91</v>
      </c>
      <c r="F116" t="s">
        <v>90</v>
      </c>
      <c r="G116">
        <v>23.754999999999999</v>
      </c>
      <c r="H116">
        <v>0.19600000000000001</v>
      </c>
      <c r="J116">
        <f>G116/H116</f>
        <v>121.19897959183672</v>
      </c>
      <c r="K116">
        <f>((LN(H98/H116))*100)/(C98-C116)</f>
        <v>1.1946227855368483</v>
      </c>
    </row>
    <row r="117" spans="1:11" x14ac:dyDescent="0.3">
      <c r="A117" t="s">
        <v>88</v>
      </c>
      <c r="B117" s="3">
        <v>44757</v>
      </c>
      <c r="C117">
        <f>B117-$B$2</f>
        <v>22</v>
      </c>
      <c r="D117" t="s">
        <v>23</v>
      </c>
      <c r="E117" t="s">
        <v>91</v>
      </c>
      <c r="F117" t="s">
        <v>89</v>
      </c>
      <c r="G117">
        <v>18.997</v>
      </c>
      <c r="H117">
        <v>0.26369999999999999</v>
      </c>
      <c r="J117">
        <f>G117/H117</f>
        <v>72.040197193780813</v>
      </c>
      <c r="K117">
        <f>((LN(H94/H117))*100)/(C99-C117)</f>
        <v>3.3640307730634444</v>
      </c>
    </row>
    <row r="118" spans="1:11" x14ac:dyDescent="0.3">
      <c r="A118" t="s">
        <v>22</v>
      </c>
      <c r="B118" s="3">
        <v>44755</v>
      </c>
      <c r="C118">
        <f t="shared" si="7"/>
        <v>20</v>
      </c>
      <c r="D118" t="s">
        <v>23</v>
      </c>
      <c r="E118" t="s">
        <v>18</v>
      </c>
      <c r="F118" t="s">
        <v>11</v>
      </c>
      <c r="G118">
        <v>18.338000000000001</v>
      </c>
      <c r="H118">
        <v>0.19589999999999999</v>
      </c>
      <c r="J118">
        <f t="shared" si="8"/>
        <v>93.608984175599801</v>
      </c>
      <c r="K118">
        <f>((LN(H97/H118))*100)/(C98-C118)</f>
        <v>0.10219727625372345</v>
      </c>
    </row>
    <row r="119" spans="1:11" x14ac:dyDescent="0.3">
      <c r="A119" t="s">
        <v>22</v>
      </c>
      <c r="B119" s="3">
        <v>44755</v>
      </c>
      <c r="C119">
        <f t="shared" si="7"/>
        <v>20</v>
      </c>
      <c r="D119" t="s">
        <v>23</v>
      </c>
      <c r="E119" t="s">
        <v>18</v>
      </c>
      <c r="F119" t="s">
        <v>12</v>
      </c>
      <c r="G119">
        <v>17.844000000000001</v>
      </c>
      <c r="H119">
        <v>0.1915</v>
      </c>
      <c r="J119">
        <f t="shared" si="8"/>
        <v>93.180156657963451</v>
      </c>
      <c r="K119">
        <f>((LN(H99/H119))*100)/(C99-C119)</f>
        <v>8.0262149496866275</v>
      </c>
    </row>
    <row r="120" spans="1:11" x14ac:dyDescent="0.3">
      <c r="A120" t="s">
        <v>22</v>
      </c>
      <c r="B120" s="3">
        <v>44755</v>
      </c>
      <c r="C120">
        <f t="shared" si="7"/>
        <v>20</v>
      </c>
      <c r="D120" t="s">
        <v>23</v>
      </c>
      <c r="E120" t="s">
        <v>18</v>
      </c>
      <c r="F120" t="s">
        <v>13</v>
      </c>
      <c r="G120">
        <v>17.608000000000001</v>
      </c>
      <c r="H120">
        <v>0.18659999999999999</v>
      </c>
      <c r="J120">
        <f t="shared" si="8"/>
        <v>94.362272240085758</v>
      </c>
      <c r="K120">
        <f>((LN(H100/H120))*100)/(C100-C120)</f>
        <v>-0.53305408930568188</v>
      </c>
    </row>
    <row r="121" spans="1:11" x14ac:dyDescent="0.3">
      <c r="A121" t="s">
        <v>22</v>
      </c>
      <c r="B121" s="3">
        <v>44755</v>
      </c>
      <c r="C121">
        <f t="shared" si="7"/>
        <v>20</v>
      </c>
      <c r="D121" t="s">
        <v>23</v>
      </c>
      <c r="E121" t="s">
        <v>18</v>
      </c>
      <c r="F121" t="s">
        <v>14</v>
      </c>
      <c r="G121">
        <v>23.285</v>
      </c>
      <c r="H121">
        <v>0.20830000000000001</v>
      </c>
      <c r="J121">
        <f t="shared" si="8"/>
        <v>111.78588574171867</v>
      </c>
      <c r="K121">
        <f>((LN(H101/H121))*100)/(C101-C121)</f>
        <v>2.8904070276930116</v>
      </c>
    </row>
    <row r="122" spans="1:11" x14ac:dyDescent="0.3">
      <c r="A122" t="s">
        <v>22</v>
      </c>
      <c r="B122" s="3">
        <v>44755</v>
      </c>
      <c r="C122">
        <f>B122-$B$2</f>
        <v>20</v>
      </c>
      <c r="D122" t="s">
        <v>23</v>
      </c>
      <c r="E122" t="s">
        <v>18</v>
      </c>
      <c r="F122" t="s">
        <v>90</v>
      </c>
      <c r="G122">
        <v>25.434000000000001</v>
      </c>
      <c r="H122">
        <v>0.24110000000000001</v>
      </c>
      <c r="J122">
        <f>G122/H122</f>
        <v>105.49149730402323</v>
      </c>
      <c r="K122">
        <f>((LN(H102/H122))*100)/(C102-C122)</f>
        <v>62.991948027931031</v>
      </c>
    </row>
    <row r="123" spans="1:11" x14ac:dyDescent="0.3">
      <c r="A123" t="s">
        <v>22</v>
      </c>
      <c r="B123" s="3">
        <v>44755</v>
      </c>
      <c r="C123">
        <f>B123-$B$2</f>
        <v>20</v>
      </c>
      <c r="D123" t="s">
        <v>23</v>
      </c>
      <c r="E123" t="s">
        <v>18</v>
      </c>
      <c r="F123" t="s">
        <v>89</v>
      </c>
      <c r="G123">
        <v>24.244</v>
      </c>
      <c r="H123">
        <v>0.23880000000000001</v>
      </c>
      <c r="J123">
        <f>G123/H123</f>
        <v>101.52428810720268</v>
      </c>
      <c r="K123">
        <f>((LN(H103/H123))*100)/(C103-C123)</f>
        <v>55.119412643882249</v>
      </c>
    </row>
    <row r="124" spans="1:11" x14ac:dyDescent="0.3">
      <c r="A124" t="s">
        <v>22</v>
      </c>
      <c r="B124" s="3">
        <v>44755</v>
      </c>
      <c r="C124">
        <f t="shared" si="7"/>
        <v>20</v>
      </c>
      <c r="D124" t="s">
        <v>23</v>
      </c>
      <c r="E124" t="s">
        <v>19</v>
      </c>
      <c r="F124" t="s">
        <v>11</v>
      </c>
      <c r="G124">
        <v>7.8410000000000002</v>
      </c>
      <c r="H124">
        <v>7.1499999999999994E-2</v>
      </c>
      <c r="J124">
        <f t="shared" si="8"/>
        <v>109.66433566433568</v>
      </c>
      <c r="K124">
        <f t="shared" ref="K124:K129" si="9">((LN(H102/H124))*100)/(C102-C124)</f>
        <v>2.2162312535728539</v>
      </c>
    </row>
    <row r="125" spans="1:11" x14ac:dyDescent="0.3">
      <c r="A125" t="s">
        <v>22</v>
      </c>
      <c r="B125" s="3">
        <v>44755</v>
      </c>
      <c r="C125">
        <f t="shared" si="7"/>
        <v>20</v>
      </c>
      <c r="D125" t="s">
        <v>23</v>
      </c>
      <c r="E125" t="s">
        <v>19</v>
      </c>
      <c r="F125" t="s">
        <v>12</v>
      </c>
      <c r="G125">
        <v>8.5519999999999996</v>
      </c>
      <c r="H125">
        <v>7.1199999999999999E-2</v>
      </c>
      <c r="J125">
        <f t="shared" si="8"/>
        <v>120.11235955056179</v>
      </c>
      <c r="K125">
        <f t="shared" si="9"/>
        <v>-5.3872655111436094</v>
      </c>
    </row>
    <row r="126" spans="1:11" x14ac:dyDescent="0.3">
      <c r="A126" t="s">
        <v>22</v>
      </c>
      <c r="B126" s="3">
        <v>44755</v>
      </c>
      <c r="C126">
        <f t="shared" si="7"/>
        <v>20</v>
      </c>
      <c r="D126" t="s">
        <v>23</v>
      </c>
      <c r="E126" t="s">
        <v>19</v>
      </c>
      <c r="F126" t="s">
        <v>13</v>
      </c>
      <c r="G126">
        <v>7.7069999999999999</v>
      </c>
      <c r="H126">
        <v>7.7700000000000005E-2</v>
      </c>
      <c r="J126">
        <f t="shared" si="8"/>
        <v>99.189189189189179</v>
      </c>
      <c r="K126">
        <f t="shared" si="9"/>
        <v>2.3045553600133486</v>
      </c>
    </row>
    <row r="127" spans="1:11" x14ac:dyDescent="0.3">
      <c r="A127" t="s">
        <v>22</v>
      </c>
      <c r="B127" s="3">
        <v>44755</v>
      </c>
      <c r="C127">
        <f t="shared" si="7"/>
        <v>20</v>
      </c>
      <c r="D127" t="s">
        <v>23</v>
      </c>
      <c r="E127" t="s">
        <v>19</v>
      </c>
      <c r="F127" t="s">
        <v>14</v>
      </c>
      <c r="G127">
        <v>7.68</v>
      </c>
      <c r="H127">
        <v>7.8200000000000006E-2</v>
      </c>
      <c r="J127">
        <f t="shared" si="8"/>
        <v>98.209718670076711</v>
      </c>
      <c r="K127">
        <f t="shared" si="9"/>
        <v>8.178629553443864</v>
      </c>
    </row>
    <row r="128" spans="1:11" x14ac:dyDescent="0.3">
      <c r="A128" t="s">
        <v>87</v>
      </c>
      <c r="B128" s="3">
        <v>44756</v>
      </c>
      <c r="C128">
        <f>B128-$B$2</f>
        <v>21</v>
      </c>
      <c r="D128" t="s">
        <v>23</v>
      </c>
      <c r="E128" t="s">
        <v>19</v>
      </c>
      <c r="F128" t="s">
        <v>90</v>
      </c>
      <c r="G128">
        <v>6.399</v>
      </c>
      <c r="H128">
        <v>6.3700000000000007E-2</v>
      </c>
      <c r="J128">
        <f>G128/H128</f>
        <v>100.45525902668759</v>
      </c>
      <c r="K128">
        <f t="shared" si="9"/>
        <v>-119.19701333840791</v>
      </c>
    </row>
    <row r="129" spans="1:11" x14ac:dyDescent="0.3">
      <c r="A129" t="s">
        <v>88</v>
      </c>
      <c r="B129" s="3">
        <v>44757</v>
      </c>
      <c r="C129">
        <f>B129-$B$2</f>
        <v>22</v>
      </c>
      <c r="D129" t="s">
        <v>23</v>
      </c>
      <c r="E129" t="s">
        <v>19</v>
      </c>
      <c r="F129" t="s">
        <v>89</v>
      </c>
      <c r="G129">
        <v>9.18</v>
      </c>
      <c r="H129">
        <v>0.08</v>
      </c>
      <c r="J129">
        <f>G129/H129</f>
        <v>114.75</v>
      </c>
      <c r="K129">
        <f t="shared" si="9"/>
        <v>-57.48902876212545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3BFA-4A80-479C-8ECB-F5DBC946C238}">
  <dimension ref="A1:AD38"/>
  <sheetViews>
    <sheetView topLeftCell="M1" zoomScale="145" zoomScaleNormal="145" workbookViewId="0">
      <selection activeCell="Z2" sqref="Z2"/>
    </sheetView>
  </sheetViews>
  <sheetFormatPr defaultColWidth="11.5546875" defaultRowHeight="14.4" x14ac:dyDescent="0.3"/>
  <cols>
    <col min="5" max="5" width="12.44140625" customWidth="1"/>
    <col min="9" max="9" width="11.5546875" customWidth="1"/>
    <col min="13" max="13" width="11.5546875" bestFit="1" customWidth="1"/>
    <col min="14" max="14" width="11" bestFit="1" customWidth="1"/>
    <col min="26" max="26" width="13.5546875" bestFit="1" customWidth="1"/>
  </cols>
  <sheetData>
    <row r="1" spans="1:30" ht="28.8" x14ac:dyDescent="0.3">
      <c r="A1" s="1" t="s">
        <v>0</v>
      </c>
      <c r="B1" s="1" t="s">
        <v>1</v>
      </c>
      <c r="C1" s="1" t="s">
        <v>45</v>
      </c>
      <c r="D1" s="1" t="s">
        <v>3</v>
      </c>
      <c r="E1" s="2" t="s">
        <v>46</v>
      </c>
      <c r="F1" s="1" t="s">
        <v>47</v>
      </c>
      <c r="G1" s="2" t="s">
        <v>61</v>
      </c>
      <c r="H1" s="2" t="s">
        <v>48</v>
      </c>
      <c r="I1" s="2" t="s">
        <v>49</v>
      </c>
      <c r="J1" s="1" t="s">
        <v>50</v>
      </c>
      <c r="K1" s="2" t="s">
        <v>62</v>
      </c>
      <c r="L1" s="2" t="s">
        <v>48</v>
      </c>
      <c r="M1" s="1" t="s">
        <v>51</v>
      </c>
      <c r="N1" s="1" t="s">
        <v>52</v>
      </c>
      <c r="O1" s="49" t="s">
        <v>53</v>
      </c>
      <c r="P1" s="49"/>
      <c r="Q1" s="49"/>
      <c r="Z1" s="49" t="s">
        <v>92</v>
      </c>
      <c r="AA1" s="49"/>
      <c r="AB1" s="49" t="s">
        <v>53</v>
      </c>
      <c r="AC1" s="49"/>
      <c r="AD1" s="49"/>
    </row>
    <row r="2" spans="1:30" ht="28.8" x14ac:dyDescent="0.3">
      <c r="A2" s="4"/>
      <c r="B2" s="4"/>
      <c r="F2" s="4"/>
      <c r="G2" s="4"/>
      <c r="H2" s="4"/>
      <c r="I2" s="4"/>
      <c r="J2" s="4"/>
      <c r="K2" s="4"/>
      <c r="L2" s="4"/>
      <c r="M2" s="4"/>
      <c r="N2" s="4"/>
      <c r="O2" s="35" t="s">
        <v>54</v>
      </c>
      <c r="P2" s="35" t="s">
        <v>55</v>
      </c>
      <c r="Q2" s="35" t="s">
        <v>56</v>
      </c>
      <c r="Z2" s="34" t="s">
        <v>46</v>
      </c>
      <c r="AA2" s="35" t="s">
        <v>52</v>
      </c>
      <c r="AB2" s="35" t="s">
        <v>54</v>
      </c>
      <c r="AC2" s="35" t="s">
        <v>55</v>
      </c>
      <c r="AD2" s="35" t="s">
        <v>56</v>
      </c>
    </row>
    <row r="3" spans="1:30" x14ac:dyDescent="0.3">
      <c r="A3" s="3">
        <v>44739</v>
      </c>
      <c r="B3" s="30">
        <f>A3-44735</f>
        <v>4</v>
      </c>
      <c r="C3">
        <v>1</v>
      </c>
      <c r="D3" t="s">
        <v>11</v>
      </c>
      <c r="E3" s="50">
        <v>0.2</v>
      </c>
      <c r="F3">
        <v>4.8000000000000001E-2</v>
      </c>
      <c r="G3" s="50">
        <f>AVERAGE(F3:F4)</f>
        <v>4.9000000000000002E-2</v>
      </c>
      <c r="H3" s="50">
        <v>1</v>
      </c>
      <c r="I3" s="50">
        <f>G3*H3</f>
        <v>4.9000000000000002E-2</v>
      </c>
      <c r="J3">
        <v>0</v>
      </c>
      <c r="K3" s="50">
        <f>AVERAGE(J3:J4)</f>
        <v>0</v>
      </c>
      <c r="L3" s="50">
        <v>1</v>
      </c>
      <c r="M3" s="50">
        <f>K3*L3</f>
        <v>0</v>
      </c>
      <c r="N3" s="50">
        <f>I3-(2*M3)</f>
        <v>4.9000000000000002E-2</v>
      </c>
      <c r="O3" s="48">
        <v>0.2591</v>
      </c>
      <c r="P3" s="48">
        <v>2.8E-3</v>
      </c>
      <c r="Q3" s="48">
        <v>1</v>
      </c>
      <c r="Z3" s="50">
        <v>0.2</v>
      </c>
      <c r="AA3" s="50">
        <f>AVERAGE(N3,N15,N27)</f>
        <v>4.7333333333333338E-2</v>
      </c>
      <c r="AB3" s="48">
        <v>0.25590000000000002</v>
      </c>
      <c r="AC3" s="48">
        <v>5.0000000000000001E-3</v>
      </c>
      <c r="AD3" s="48">
        <v>1</v>
      </c>
    </row>
    <row r="4" spans="1:30" x14ac:dyDescent="0.3">
      <c r="A4" s="3">
        <v>44739</v>
      </c>
      <c r="B4" s="30">
        <f t="shared" ref="B4:B27" si="0">A4-44735</f>
        <v>4</v>
      </c>
      <c r="C4">
        <v>1</v>
      </c>
      <c r="D4" t="s">
        <v>12</v>
      </c>
      <c r="E4" s="50"/>
      <c r="F4">
        <v>0.05</v>
      </c>
      <c r="G4" s="50"/>
      <c r="H4" s="50"/>
      <c r="I4" s="50"/>
      <c r="J4">
        <v>0</v>
      </c>
      <c r="K4" s="50"/>
      <c r="L4" s="50"/>
      <c r="M4" s="50"/>
      <c r="N4" s="50"/>
      <c r="O4" s="48"/>
      <c r="P4" s="48"/>
      <c r="Q4" s="48"/>
      <c r="Z4" s="50"/>
      <c r="AA4" s="50"/>
      <c r="AB4" s="48"/>
      <c r="AC4" s="48"/>
      <c r="AD4" s="48"/>
    </row>
    <row r="5" spans="1:30" x14ac:dyDescent="0.3">
      <c r="A5" s="3">
        <v>44739</v>
      </c>
      <c r="B5" s="30">
        <f t="shared" si="0"/>
        <v>4</v>
      </c>
      <c r="C5">
        <v>2</v>
      </c>
      <c r="D5" t="s">
        <v>11</v>
      </c>
      <c r="E5" s="50">
        <v>0.4</v>
      </c>
      <c r="F5">
        <v>0.10100000000000001</v>
      </c>
      <c r="G5" s="50">
        <f>AVERAGE(F5:F6)</f>
        <v>0.10200000000000001</v>
      </c>
      <c r="H5" s="50">
        <v>1</v>
      </c>
      <c r="I5" s="50">
        <f>G5*H5</f>
        <v>0.10200000000000001</v>
      </c>
      <c r="J5">
        <v>0</v>
      </c>
      <c r="K5" s="50">
        <f>AVERAGE(J5:J6)</f>
        <v>0</v>
      </c>
      <c r="L5" s="50">
        <v>1</v>
      </c>
      <c r="M5" s="50">
        <f>K5*L5</f>
        <v>0</v>
      </c>
      <c r="N5" s="50">
        <f>I5-(2*M5)</f>
        <v>0.10200000000000001</v>
      </c>
      <c r="O5" s="48"/>
      <c r="P5" s="48"/>
      <c r="Q5" s="48"/>
      <c r="Z5" s="50">
        <v>0.4</v>
      </c>
      <c r="AA5" s="50">
        <f>AVERAGE(N5,N17,N29)</f>
        <v>9.7000000000000017E-2</v>
      </c>
      <c r="AB5" s="48"/>
      <c r="AC5" s="48"/>
      <c r="AD5" s="48"/>
    </row>
    <row r="6" spans="1:30" x14ac:dyDescent="0.3">
      <c r="A6" s="3">
        <v>44739</v>
      </c>
      <c r="B6" s="30">
        <f t="shared" si="0"/>
        <v>4</v>
      </c>
      <c r="C6">
        <v>2</v>
      </c>
      <c r="D6" t="s">
        <v>12</v>
      </c>
      <c r="E6" s="50"/>
      <c r="F6">
        <v>0.10299999999999999</v>
      </c>
      <c r="G6" s="50"/>
      <c r="H6" s="50"/>
      <c r="I6" s="50"/>
      <c r="J6">
        <v>0</v>
      </c>
      <c r="K6" s="50"/>
      <c r="L6" s="50"/>
      <c r="M6" s="50"/>
      <c r="N6" s="50"/>
      <c r="O6" s="48"/>
      <c r="P6" s="48"/>
      <c r="Q6" s="48"/>
      <c r="Z6" s="50"/>
      <c r="AA6" s="50"/>
      <c r="AB6" s="48"/>
      <c r="AC6" s="48"/>
      <c r="AD6" s="48"/>
    </row>
    <row r="7" spans="1:30" x14ac:dyDescent="0.3">
      <c r="A7" s="3">
        <v>44739</v>
      </c>
      <c r="B7" s="30">
        <f t="shared" si="0"/>
        <v>4</v>
      </c>
      <c r="C7">
        <v>3</v>
      </c>
      <c r="D7" t="s">
        <v>11</v>
      </c>
      <c r="E7" s="50">
        <v>0.8</v>
      </c>
      <c r="F7">
        <v>0.20799999999999999</v>
      </c>
      <c r="G7" s="50">
        <f>AVERAGE(F7:F8)</f>
        <v>0.20749999999999999</v>
      </c>
      <c r="H7" s="50">
        <v>1</v>
      </c>
      <c r="I7" s="50">
        <f>G7*H7</f>
        <v>0.20749999999999999</v>
      </c>
      <c r="J7">
        <v>1E-3</v>
      </c>
      <c r="K7" s="50">
        <f>AVERAGE(J7:J8)</f>
        <v>1.5E-3</v>
      </c>
      <c r="L7" s="50">
        <v>1</v>
      </c>
      <c r="M7" s="50">
        <f>K7*L7</f>
        <v>1.5E-3</v>
      </c>
      <c r="N7" s="50">
        <f>I7-(2*M7)</f>
        <v>0.20449999999999999</v>
      </c>
      <c r="O7" s="48"/>
      <c r="P7" s="48"/>
      <c r="Q7" s="48"/>
      <c r="Z7" s="50">
        <v>0.8</v>
      </c>
      <c r="AA7" s="50">
        <f>AVERAGE(N7,N19,N31)</f>
        <v>0.19950000000000001</v>
      </c>
      <c r="AB7" s="48"/>
      <c r="AC7" s="48"/>
      <c r="AD7" s="48"/>
    </row>
    <row r="8" spans="1:30" x14ac:dyDescent="0.3">
      <c r="A8" s="3">
        <v>44739</v>
      </c>
      <c r="B8" s="30">
        <f t="shared" si="0"/>
        <v>4</v>
      </c>
      <c r="C8">
        <v>3</v>
      </c>
      <c r="D8" t="s">
        <v>12</v>
      </c>
      <c r="E8" s="50"/>
      <c r="F8">
        <v>0.20699999999999999</v>
      </c>
      <c r="G8" s="50"/>
      <c r="H8" s="50"/>
      <c r="I8" s="50"/>
      <c r="J8">
        <v>2E-3</v>
      </c>
      <c r="K8" s="50"/>
      <c r="L8" s="50"/>
      <c r="M8" s="50"/>
      <c r="N8" s="50"/>
      <c r="O8" s="48"/>
      <c r="P8" s="48"/>
      <c r="Q8" s="48"/>
      <c r="Z8" s="50"/>
      <c r="AA8" s="50"/>
      <c r="AB8" s="48"/>
      <c r="AC8" s="48"/>
      <c r="AD8" s="48"/>
    </row>
    <row r="9" spans="1:30" x14ac:dyDescent="0.3">
      <c r="A9" s="3">
        <v>44739</v>
      </c>
      <c r="B9" s="30">
        <f t="shared" si="0"/>
        <v>4</v>
      </c>
      <c r="C9">
        <v>4</v>
      </c>
      <c r="D9" t="s">
        <v>11</v>
      </c>
      <c r="E9" s="50">
        <v>1</v>
      </c>
      <c r="F9">
        <v>0.25900000000000001</v>
      </c>
      <c r="G9" s="50">
        <f>AVERAGE(F9:F10)</f>
        <v>0.26050000000000001</v>
      </c>
      <c r="H9" s="50">
        <v>1</v>
      </c>
      <c r="I9" s="50">
        <f>G9*H9</f>
        <v>0.26050000000000001</v>
      </c>
      <c r="J9">
        <v>3.0000000000000001E-3</v>
      </c>
      <c r="K9" s="50">
        <f>AVERAGE(J9:J10)</f>
        <v>3.5000000000000001E-3</v>
      </c>
      <c r="L9" s="50">
        <v>1</v>
      </c>
      <c r="M9" s="50">
        <f>K9*L9</f>
        <v>3.5000000000000001E-3</v>
      </c>
      <c r="N9" s="50">
        <f>I9-(2*M9)</f>
        <v>0.2535</v>
      </c>
      <c r="O9" s="48"/>
      <c r="P9" s="48"/>
      <c r="Q9" s="48"/>
      <c r="Z9" s="50">
        <v>1</v>
      </c>
      <c r="AA9" s="50">
        <f>AVERAGE(N9,N21,N33)</f>
        <v>0.24966666666666668</v>
      </c>
      <c r="AB9" s="48"/>
      <c r="AC9" s="48"/>
      <c r="AD9" s="48"/>
    </row>
    <row r="10" spans="1:30" x14ac:dyDescent="0.3">
      <c r="A10" s="3">
        <v>44739</v>
      </c>
      <c r="B10" s="30">
        <f t="shared" si="0"/>
        <v>4</v>
      </c>
      <c r="C10">
        <v>4</v>
      </c>
      <c r="D10" t="s">
        <v>12</v>
      </c>
      <c r="E10" s="50"/>
      <c r="F10">
        <v>0.26200000000000001</v>
      </c>
      <c r="G10" s="50"/>
      <c r="H10" s="50"/>
      <c r="I10" s="50"/>
      <c r="J10">
        <v>4.0000000000000001E-3</v>
      </c>
      <c r="K10" s="50"/>
      <c r="L10" s="50"/>
      <c r="M10" s="50"/>
      <c r="N10" s="50"/>
      <c r="O10" s="48"/>
      <c r="P10" s="48"/>
      <c r="Q10" s="48"/>
      <c r="Z10" s="50"/>
      <c r="AA10" s="50"/>
      <c r="AB10" s="48"/>
      <c r="AC10" s="48"/>
      <c r="AD10" s="48"/>
    </row>
    <row r="11" spans="1:30" x14ac:dyDescent="0.3">
      <c r="A11" s="3">
        <v>44739</v>
      </c>
      <c r="B11" s="30">
        <f t="shared" si="0"/>
        <v>4</v>
      </c>
      <c r="C11">
        <v>5</v>
      </c>
      <c r="D11" t="s">
        <v>11</v>
      </c>
      <c r="E11" s="50">
        <v>2</v>
      </c>
      <c r="F11">
        <v>0.51800000000000002</v>
      </c>
      <c r="G11" s="50">
        <f>AVERAGE(F11:F12)</f>
        <v>0.51950000000000007</v>
      </c>
      <c r="H11" s="50">
        <v>1</v>
      </c>
      <c r="I11" s="50">
        <f>G11*H11</f>
        <v>0.51950000000000007</v>
      </c>
      <c r="J11">
        <v>1E-3</v>
      </c>
      <c r="K11" s="50">
        <f>AVERAGE(J11:J12)</f>
        <v>1E-3</v>
      </c>
      <c r="L11" s="50">
        <v>1</v>
      </c>
      <c r="M11" s="50">
        <f>K11*L11</f>
        <v>1E-3</v>
      </c>
      <c r="N11" s="50">
        <f>I11-(2*M11)</f>
        <v>0.51750000000000007</v>
      </c>
      <c r="O11" s="48"/>
      <c r="P11" s="48"/>
      <c r="Q11" s="48"/>
      <c r="Z11" s="50">
        <v>2</v>
      </c>
      <c r="AA11" s="50">
        <f>AVERAGE(N11,N23,N35)</f>
        <v>0.50733333333333341</v>
      </c>
      <c r="AB11" s="48"/>
      <c r="AC11" s="48"/>
      <c r="AD11" s="48"/>
    </row>
    <row r="12" spans="1:30" x14ac:dyDescent="0.3">
      <c r="A12" s="3">
        <v>44739</v>
      </c>
      <c r="B12" s="30">
        <f t="shared" si="0"/>
        <v>4</v>
      </c>
      <c r="C12">
        <v>5</v>
      </c>
      <c r="D12" t="s">
        <v>12</v>
      </c>
      <c r="E12" s="50"/>
      <c r="F12">
        <v>0.52100000000000002</v>
      </c>
      <c r="G12" s="50"/>
      <c r="H12" s="50"/>
      <c r="I12" s="50"/>
      <c r="J12">
        <v>1E-3</v>
      </c>
      <c r="K12" s="50"/>
      <c r="L12" s="50"/>
      <c r="M12" s="50"/>
      <c r="N12" s="50"/>
      <c r="O12" s="48"/>
      <c r="P12" s="48"/>
      <c r="Q12" s="48"/>
      <c r="Z12" s="50"/>
      <c r="AA12" s="50"/>
      <c r="AB12" s="48"/>
      <c r="AC12" s="48"/>
      <c r="AD12" s="48"/>
    </row>
    <row r="13" spans="1:30" x14ac:dyDescent="0.3">
      <c r="A13" s="3">
        <v>44739</v>
      </c>
      <c r="B13" s="30">
        <f t="shared" si="0"/>
        <v>4</v>
      </c>
      <c r="C13">
        <v>6</v>
      </c>
      <c r="D13" t="s">
        <v>11</v>
      </c>
      <c r="E13" s="50">
        <v>4</v>
      </c>
      <c r="F13">
        <v>0.52</v>
      </c>
      <c r="G13" s="50">
        <f>AVERAGE(F13:F14)</f>
        <v>0.52049999999999996</v>
      </c>
      <c r="H13" s="50">
        <v>2</v>
      </c>
      <c r="I13" s="50">
        <f>G13*H13</f>
        <v>1.0409999999999999</v>
      </c>
      <c r="J13">
        <v>2E-3</v>
      </c>
      <c r="K13" s="50">
        <f>AVERAGE(J13:J14)</f>
        <v>2E-3</v>
      </c>
      <c r="L13" s="50">
        <v>2</v>
      </c>
      <c r="M13" s="50">
        <f>K13*L13</f>
        <v>4.0000000000000001E-3</v>
      </c>
      <c r="N13" s="50">
        <f>I13-(2*M13)</f>
        <v>1.0329999999999999</v>
      </c>
      <c r="O13" s="48"/>
      <c r="P13" s="48"/>
      <c r="Q13" s="48"/>
      <c r="Z13" s="50">
        <v>4</v>
      </c>
      <c r="AA13" s="50">
        <f>AVERAGE(N13,N25,N37)</f>
        <v>1.0186666666666666</v>
      </c>
      <c r="AB13" s="48"/>
      <c r="AC13" s="48"/>
      <c r="AD13" s="48"/>
    </row>
    <row r="14" spans="1:30" x14ac:dyDescent="0.3">
      <c r="A14" s="3">
        <v>44739</v>
      </c>
      <c r="B14" s="30">
        <f t="shared" si="0"/>
        <v>4</v>
      </c>
      <c r="C14">
        <v>6</v>
      </c>
      <c r="D14" t="s">
        <v>12</v>
      </c>
      <c r="E14" s="50"/>
      <c r="F14">
        <v>0.52100000000000002</v>
      </c>
      <c r="G14" s="50"/>
      <c r="H14" s="50"/>
      <c r="I14" s="50"/>
      <c r="J14">
        <v>2E-3</v>
      </c>
      <c r="K14" s="50"/>
      <c r="L14" s="50"/>
      <c r="M14" s="50"/>
      <c r="N14" s="50"/>
      <c r="O14" s="48"/>
      <c r="P14" s="48"/>
      <c r="Q14" s="48"/>
      <c r="Z14" s="50"/>
      <c r="AA14" s="50"/>
      <c r="AB14" s="48"/>
      <c r="AC14" s="48"/>
      <c r="AD14" s="48"/>
    </row>
    <row r="15" spans="1:30" x14ac:dyDescent="0.3">
      <c r="A15" s="3">
        <v>44741</v>
      </c>
      <c r="B15" s="30">
        <f t="shared" si="0"/>
        <v>6</v>
      </c>
      <c r="C15">
        <v>1</v>
      </c>
      <c r="D15" t="s">
        <v>11</v>
      </c>
      <c r="E15" s="50">
        <v>0.2</v>
      </c>
      <c r="F15">
        <v>4.5999999999999999E-2</v>
      </c>
      <c r="G15" s="50">
        <f>AVERAGE(F15:F16)</f>
        <v>4.5999999999999999E-2</v>
      </c>
      <c r="H15" s="50">
        <v>1</v>
      </c>
      <c r="I15" s="50">
        <f>G15*H15</f>
        <v>4.5999999999999999E-2</v>
      </c>
      <c r="J15">
        <v>0</v>
      </c>
      <c r="K15" s="50">
        <f>AVERAGE(J15:J16)</f>
        <v>0</v>
      </c>
      <c r="L15" s="50">
        <v>1</v>
      </c>
      <c r="M15" s="50">
        <f>K15*L15</f>
        <v>0</v>
      </c>
      <c r="N15" s="50">
        <f>I15-(2*M15)</f>
        <v>4.5999999999999999E-2</v>
      </c>
      <c r="O15" s="51">
        <v>0.25419999999999998</v>
      </c>
      <c r="P15" s="48">
        <v>6.4000000000000003E-3</v>
      </c>
      <c r="Q15" s="48">
        <v>1</v>
      </c>
    </row>
    <row r="16" spans="1:30" x14ac:dyDescent="0.3">
      <c r="A16" s="3">
        <v>44741</v>
      </c>
      <c r="B16" s="30">
        <f t="shared" si="0"/>
        <v>6</v>
      </c>
      <c r="C16">
        <v>1</v>
      </c>
      <c r="D16" t="s">
        <v>12</v>
      </c>
      <c r="E16" s="50"/>
      <c r="F16">
        <v>4.5999999999999999E-2</v>
      </c>
      <c r="G16" s="50"/>
      <c r="H16" s="50"/>
      <c r="I16" s="50"/>
      <c r="J16">
        <v>0</v>
      </c>
      <c r="K16" s="50"/>
      <c r="L16" s="50"/>
      <c r="M16" s="50"/>
      <c r="N16" s="50"/>
      <c r="O16" s="51"/>
      <c r="P16" s="48"/>
      <c r="Q16" s="48"/>
    </row>
    <row r="17" spans="1:19" x14ac:dyDescent="0.3">
      <c r="A17" s="3">
        <v>44741</v>
      </c>
      <c r="B17" s="30">
        <f t="shared" si="0"/>
        <v>6</v>
      </c>
      <c r="C17">
        <v>2</v>
      </c>
      <c r="D17" t="s">
        <v>11</v>
      </c>
      <c r="E17" s="50">
        <v>0.4</v>
      </c>
      <c r="F17">
        <v>9.6000000000000002E-2</v>
      </c>
      <c r="G17" s="50">
        <f>AVERAGE(F17:F18)</f>
        <v>9.6000000000000002E-2</v>
      </c>
      <c r="H17" s="50">
        <v>1</v>
      </c>
      <c r="I17" s="50">
        <f>G17*H17</f>
        <v>9.6000000000000002E-2</v>
      </c>
      <c r="J17">
        <v>0</v>
      </c>
      <c r="K17" s="50">
        <f>AVERAGE(J17:J18)</f>
        <v>0</v>
      </c>
      <c r="L17" s="50">
        <v>1</v>
      </c>
      <c r="M17" s="50">
        <f>K17*L17</f>
        <v>0</v>
      </c>
      <c r="N17" s="50">
        <f>I17-(2*M17)</f>
        <v>9.6000000000000002E-2</v>
      </c>
      <c r="O17" s="51"/>
      <c r="P17" s="48"/>
      <c r="Q17" s="48"/>
    </row>
    <row r="18" spans="1:19" x14ac:dyDescent="0.3">
      <c r="A18" s="3">
        <v>44741</v>
      </c>
      <c r="B18" s="30">
        <f t="shared" si="0"/>
        <v>6</v>
      </c>
      <c r="C18">
        <v>2</v>
      </c>
      <c r="D18" t="s">
        <v>12</v>
      </c>
      <c r="E18" s="50"/>
      <c r="F18">
        <v>9.6000000000000002E-2</v>
      </c>
      <c r="G18" s="50"/>
      <c r="H18" s="50"/>
      <c r="I18" s="50"/>
      <c r="J18">
        <v>0</v>
      </c>
      <c r="K18" s="50"/>
      <c r="L18" s="50"/>
      <c r="M18" s="50"/>
      <c r="N18" s="50"/>
      <c r="O18" s="51"/>
      <c r="P18" s="48"/>
      <c r="Q18" s="48"/>
    </row>
    <row r="19" spans="1:19" x14ac:dyDescent="0.3">
      <c r="A19" s="3">
        <v>44741</v>
      </c>
      <c r="B19" s="30">
        <f t="shared" si="0"/>
        <v>6</v>
      </c>
      <c r="C19">
        <v>3</v>
      </c>
      <c r="D19" t="s">
        <v>11</v>
      </c>
      <c r="E19" s="50">
        <v>0.8</v>
      </c>
      <c r="F19">
        <v>0.19700000000000001</v>
      </c>
      <c r="G19" s="50">
        <f>AVERAGE(F19:F20)</f>
        <v>0.19750000000000001</v>
      </c>
      <c r="H19" s="50">
        <v>1</v>
      </c>
      <c r="I19" s="50">
        <f>G19*H19</f>
        <v>0.19750000000000001</v>
      </c>
      <c r="J19">
        <v>0</v>
      </c>
      <c r="K19" s="50">
        <f>AVERAGE(J19:J20)</f>
        <v>0</v>
      </c>
      <c r="L19" s="50">
        <v>1</v>
      </c>
      <c r="M19" s="50">
        <f>K19*L19</f>
        <v>0</v>
      </c>
      <c r="N19" s="50">
        <f>I19-(2*M19)</f>
        <v>0.19750000000000001</v>
      </c>
      <c r="O19" s="51"/>
      <c r="P19" s="48"/>
      <c r="Q19" s="48"/>
    </row>
    <row r="20" spans="1:19" x14ac:dyDescent="0.3">
      <c r="A20" s="3">
        <v>44741</v>
      </c>
      <c r="B20" s="30">
        <f t="shared" si="0"/>
        <v>6</v>
      </c>
      <c r="C20">
        <v>3</v>
      </c>
      <c r="D20" t="s">
        <v>12</v>
      </c>
      <c r="E20" s="50"/>
      <c r="F20">
        <v>0.19800000000000001</v>
      </c>
      <c r="G20" s="50"/>
      <c r="H20" s="50"/>
      <c r="I20" s="50"/>
      <c r="J20">
        <v>0</v>
      </c>
      <c r="K20" s="50"/>
      <c r="L20" s="50"/>
      <c r="M20" s="50"/>
      <c r="N20" s="50"/>
      <c r="O20" s="51"/>
      <c r="P20" s="48"/>
      <c r="Q20" s="48"/>
    </row>
    <row r="21" spans="1:19" x14ac:dyDescent="0.3">
      <c r="A21" s="3">
        <v>44741</v>
      </c>
      <c r="B21" s="30">
        <f t="shared" si="0"/>
        <v>6</v>
      </c>
      <c r="C21">
        <v>4</v>
      </c>
      <c r="D21" t="s">
        <v>11</v>
      </c>
      <c r="E21" s="50">
        <v>1</v>
      </c>
      <c r="F21">
        <v>0.247</v>
      </c>
      <c r="G21" s="50">
        <f>AVERAGE(F21:F22)</f>
        <v>0.248</v>
      </c>
      <c r="H21" s="50">
        <v>1</v>
      </c>
      <c r="I21" s="50">
        <f>G21*H21</f>
        <v>0.248</v>
      </c>
      <c r="J21">
        <v>1E-3</v>
      </c>
      <c r="K21" s="50">
        <f>AVERAGE(J21:J22)</f>
        <v>1E-3</v>
      </c>
      <c r="L21" s="50">
        <v>1</v>
      </c>
      <c r="M21" s="50">
        <f>K21*L21</f>
        <v>1E-3</v>
      </c>
      <c r="N21" s="50">
        <f>I21-(2*M21)</f>
        <v>0.246</v>
      </c>
      <c r="O21" s="51"/>
      <c r="P21" s="48"/>
      <c r="Q21" s="48"/>
    </row>
    <row r="22" spans="1:19" x14ac:dyDescent="0.3">
      <c r="A22" s="3">
        <v>44741</v>
      </c>
      <c r="B22" s="30">
        <f t="shared" si="0"/>
        <v>6</v>
      </c>
      <c r="C22">
        <v>4</v>
      </c>
      <c r="D22" t="s">
        <v>12</v>
      </c>
      <c r="E22" s="50"/>
      <c r="F22">
        <v>0.249</v>
      </c>
      <c r="G22" s="50"/>
      <c r="H22" s="50"/>
      <c r="I22" s="50"/>
      <c r="J22">
        <v>1E-3</v>
      </c>
      <c r="K22" s="50"/>
      <c r="L22" s="50"/>
      <c r="M22" s="50"/>
      <c r="N22" s="50"/>
      <c r="O22" s="51"/>
      <c r="P22" s="48"/>
      <c r="Q22" s="48"/>
    </row>
    <row r="23" spans="1:19" x14ac:dyDescent="0.3">
      <c r="A23" s="3">
        <v>44741</v>
      </c>
      <c r="B23" s="30">
        <f t="shared" si="0"/>
        <v>6</v>
      </c>
      <c r="C23">
        <v>5</v>
      </c>
      <c r="D23" t="s">
        <v>11</v>
      </c>
      <c r="E23" s="50">
        <v>2</v>
      </c>
      <c r="F23">
        <v>0.501</v>
      </c>
      <c r="G23" s="50">
        <f>AVERAGE(F23:F24)</f>
        <v>0.50150000000000006</v>
      </c>
      <c r="H23" s="50">
        <v>1</v>
      </c>
      <c r="I23" s="50">
        <f>G23*H23</f>
        <v>0.50150000000000006</v>
      </c>
      <c r="J23">
        <v>1E-3</v>
      </c>
      <c r="K23" s="50">
        <f>AVERAGE(J23:J24)</f>
        <v>1E-3</v>
      </c>
      <c r="L23" s="50">
        <v>1</v>
      </c>
      <c r="M23" s="50">
        <f>K23*L23</f>
        <v>1E-3</v>
      </c>
      <c r="N23" s="50">
        <f>I23-(2*M23)</f>
        <v>0.49950000000000006</v>
      </c>
      <c r="O23" s="51"/>
      <c r="P23" s="48"/>
      <c r="Q23" s="48"/>
    </row>
    <row r="24" spans="1:19" x14ac:dyDescent="0.3">
      <c r="A24" s="3">
        <v>44741</v>
      </c>
      <c r="B24" s="30">
        <f t="shared" si="0"/>
        <v>6</v>
      </c>
      <c r="C24">
        <v>5</v>
      </c>
      <c r="D24" t="s">
        <v>12</v>
      </c>
      <c r="E24" s="50"/>
      <c r="F24">
        <v>0.502</v>
      </c>
      <c r="G24" s="50"/>
      <c r="H24" s="50"/>
      <c r="I24" s="50"/>
      <c r="J24">
        <v>1E-3</v>
      </c>
      <c r="K24" s="50"/>
      <c r="L24" s="50"/>
      <c r="M24" s="50"/>
      <c r="N24" s="50"/>
      <c r="O24" s="51"/>
      <c r="P24" s="48"/>
      <c r="Q24" s="48"/>
    </row>
    <row r="25" spans="1:19" x14ac:dyDescent="0.3">
      <c r="A25" s="3">
        <v>44741</v>
      </c>
      <c r="B25" s="30">
        <f t="shared" si="0"/>
        <v>6</v>
      </c>
      <c r="C25">
        <v>6</v>
      </c>
      <c r="D25" t="s">
        <v>11</v>
      </c>
      <c r="E25" s="50">
        <v>4</v>
      </c>
      <c r="F25">
        <v>0.50800000000000001</v>
      </c>
      <c r="G25" s="50">
        <f>AVERAGE(F25:F26)</f>
        <v>0.50800000000000001</v>
      </c>
      <c r="H25" s="50">
        <v>2</v>
      </c>
      <c r="I25" s="50">
        <f>G25*H25</f>
        <v>1.016</v>
      </c>
      <c r="J25">
        <v>1E-3</v>
      </c>
      <c r="K25" s="50">
        <f>AVERAGE(J25:J26)</f>
        <v>1E-3</v>
      </c>
      <c r="L25" s="50">
        <v>2</v>
      </c>
      <c r="M25" s="50">
        <f>K25*L25</f>
        <v>2E-3</v>
      </c>
      <c r="N25" s="50">
        <f>I25-(2*M25)</f>
        <v>1.012</v>
      </c>
      <c r="O25" s="51"/>
      <c r="P25" s="48"/>
      <c r="Q25" s="48"/>
    </row>
    <row r="26" spans="1:19" x14ac:dyDescent="0.3">
      <c r="A26" s="3">
        <v>44741</v>
      </c>
      <c r="B26" s="30">
        <f t="shared" si="0"/>
        <v>6</v>
      </c>
      <c r="C26">
        <v>6</v>
      </c>
      <c r="D26" t="s">
        <v>12</v>
      </c>
      <c r="E26" s="50"/>
      <c r="F26">
        <v>0.50800000000000001</v>
      </c>
      <c r="G26" s="50"/>
      <c r="H26" s="50"/>
      <c r="I26" s="50"/>
      <c r="J26">
        <v>1E-3</v>
      </c>
      <c r="K26" s="50"/>
      <c r="L26" s="50"/>
      <c r="M26" s="50"/>
      <c r="N26" s="50"/>
      <c r="O26" s="51"/>
      <c r="P26" s="48"/>
      <c r="Q26" s="48"/>
    </row>
    <row r="27" spans="1:19" x14ac:dyDescent="0.3">
      <c r="A27" s="3">
        <v>44743</v>
      </c>
      <c r="B27" s="30">
        <f t="shared" si="0"/>
        <v>8</v>
      </c>
      <c r="C27">
        <v>1</v>
      </c>
      <c r="D27" t="s">
        <v>11</v>
      </c>
      <c r="E27" s="50">
        <v>0.2</v>
      </c>
      <c r="F27">
        <v>4.8000000000000001E-2</v>
      </c>
      <c r="G27" s="50">
        <f>AVERAGE(F27:F28)</f>
        <v>4.7E-2</v>
      </c>
      <c r="H27" s="50">
        <v>1</v>
      </c>
      <c r="I27" s="50">
        <f>G27*H27</f>
        <v>4.7E-2</v>
      </c>
      <c r="J27">
        <v>0</v>
      </c>
      <c r="K27" s="50">
        <f>AVERAGE(J27:J28)</f>
        <v>0</v>
      </c>
      <c r="L27" s="50">
        <v>1</v>
      </c>
      <c r="M27" s="50">
        <f>K27*L27</f>
        <v>0</v>
      </c>
      <c r="N27" s="50">
        <f>I27-(2*M27)</f>
        <v>4.7E-2</v>
      </c>
      <c r="O27" s="48">
        <v>0.25440000000000002</v>
      </c>
      <c r="P27" s="48">
        <v>5.7999999999999996E-3</v>
      </c>
      <c r="Q27" s="48">
        <v>1</v>
      </c>
    </row>
    <row r="28" spans="1:19" x14ac:dyDescent="0.3">
      <c r="A28" s="3">
        <v>44743</v>
      </c>
      <c r="B28" s="30">
        <f t="shared" ref="B28:B38" si="1">A28-44735</f>
        <v>8</v>
      </c>
      <c r="C28">
        <v>1</v>
      </c>
      <c r="D28" t="s">
        <v>12</v>
      </c>
      <c r="E28" s="50"/>
      <c r="F28">
        <v>4.5999999999999999E-2</v>
      </c>
      <c r="G28" s="50"/>
      <c r="H28" s="50"/>
      <c r="I28" s="50"/>
      <c r="J28">
        <v>0</v>
      </c>
      <c r="K28" s="50"/>
      <c r="L28" s="50"/>
      <c r="M28" s="50"/>
      <c r="N28" s="50"/>
      <c r="O28" s="48"/>
      <c r="P28" s="48"/>
      <c r="Q28" s="48"/>
    </row>
    <row r="29" spans="1:19" x14ac:dyDescent="0.3">
      <c r="A29" s="3">
        <v>44743</v>
      </c>
      <c r="B29" s="30">
        <f t="shared" si="1"/>
        <v>8</v>
      </c>
      <c r="C29">
        <v>2</v>
      </c>
      <c r="D29" t="s">
        <v>11</v>
      </c>
      <c r="E29" s="50">
        <v>0.4</v>
      </c>
      <c r="F29">
        <v>9.2999999999999999E-2</v>
      </c>
      <c r="G29" s="50">
        <f>AVERAGE(F29:F30)</f>
        <v>9.2999999999999999E-2</v>
      </c>
      <c r="H29" s="50">
        <v>1</v>
      </c>
      <c r="I29" s="50">
        <f>G29*H29</f>
        <v>9.2999999999999999E-2</v>
      </c>
      <c r="J29">
        <v>0</v>
      </c>
      <c r="K29" s="50">
        <f>AVERAGE(J29:J30)</f>
        <v>0</v>
      </c>
      <c r="L29" s="50">
        <v>1</v>
      </c>
      <c r="M29" s="50">
        <f>K29*L29</f>
        <v>0</v>
      </c>
      <c r="N29" s="50">
        <f>I29-(2*M29)</f>
        <v>9.2999999999999999E-2</v>
      </c>
      <c r="O29" s="48"/>
      <c r="P29" s="48"/>
      <c r="Q29" s="48"/>
      <c r="S29" s="30"/>
    </row>
    <row r="30" spans="1:19" x14ac:dyDescent="0.3">
      <c r="A30" s="3">
        <v>44743</v>
      </c>
      <c r="B30" s="30">
        <f t="shared" si="1"/>
        <v>8</v>
      </c>
      <c r="C30">
        <v>2</v>
      </c>
      <c r="D30" t="s">
        <v>12</v>
      </c>
      <c r="E30" s="50"/>
      <c r="F30">
        <v>9.2999999999999999E-2</v>
      </c>
      <c r="G30" s="50"/>
      <c r="H30" s="50"/>
      <c r="I30" s="50"/>
      <c r="J30">
        <v>0</v>
      </c>
      <c r="K30" s="50"/>
      <c r="L30" s="50"/>
      <c r="M30" s="50"/>
      <c r="N30" s="50"/>
      <c r="O30" s="48"/>
      <c r="P30" s="48"/>
      <c r="Q30" s="48"/>
    </row>
    <row r="31" spans="1:19" x14ac:dyDescent="0.3">
      <c r="A31" s="3">
        <v>44743</v>
      </c>
      <c r="B31" s="30">
        <f t="shared" si="1"/>
        <v>8</v>
      </c>
      <c r="C31">
        <v>3</v>
      </c>
      <c r="D31" t="s">
        <v>11</v>
      </c>
      <c r="E31" s="50">
        <v>0.8</v>
      </c>
      <c r="F31">
        <v>0.2</v>
      </c>
      <c r="G31" s="50">
        <f>AVERAGE(F31:F32)</f>
        <v>0.19650000000000001</v>
      </c>
      <c r="H31" s="50">
        <v>1</v>
      </c>
      <c r="I31" s="50">
        <f>G31*H31</f>
        <v>0.19650000000000001</v>
      </c>
      <c r="J31">
        <v>0</v>
      </c>
      <c r="K31" s="50">
        <f>AVERAGE(J31:J32)</f>
        <v>0</v>
      </c>
      <c r="L31" s="50">
        <v>1</v>
      </c>
      <c r="M31" s="50">
        <f>K31*L31</f>
        <v>0</v>
      </c>
      <c r="N31" s="50">
        <f>I31-(2*M31)</f>
        <v>0.19650000000000001</v>
      </c>
      <c r="O31" s="48"/>
      <c r="P31" s="48"/>
      <c r="Q31" s="48"/>
    </row>
    <row r="32" spans="1:19" x14ac:dyDescent="0.3">
      <c r="A32" s="3">
        <v>44743</v>
      </c>
      <c r="B32" s="30">
        <f t="shared" si="1"/>
        <v>8</v>
      </c>
      <c r="C32">
        <v>3</v>
      </c>
      <c r="D32" t="s">
        <v>12</v>
      </c>
      <c r="E32" s="50"/>
      <c r="F32">
        <v>0.193</v>
      </c>
      <c r="G32" s="50"/>
      <c r="H32" s="50"/>
      <c r="I32" s="50"/>
      <c r="J32">
        <v>0</v>
      </c>
      <c r="K32" s="50"/>
      <c r="L32" s="50"/>
      <c r="M32" s="50"/>
      <c r="N32" s="50"/>
      <c r="O32" s="48"/>
      <c r="P32" s="48"/>
      <c r="Q32" s="48"/>
    </row>
    <row r="33" spans="1:17" x14ac:dyDescent="0.3">
      <c r="A33" s="3">
        <v>44743</v>
      </c>
      <c r="B33" s="30">
        <f t="shared" si="1"/>
        <v>8</v>
      </c>
      <c r="C33">
        <v>4</v>
      </c>
      <c r="D33" t="s">
        <v>11</v>
      </c>
      <c r="E33" s="50">
        <v>1</v>
      </c>
      <c r="F33">
        <v>0.25</v>
      </c>
      <c r="G33" s="50">
        <f>AVERAGE(F33:F34)</f>
        <v>0.2525</v>
      </c>
      <c r="H33" s="50">
        <v>1</v>
      </c>
      <c r="I33" s="50">
        <f>G33*H33</f>
        <v>0.2525</v>
      </c>
      <c r="J33">
        <v>2E-3</v>
      </c>
      <c r="K33" s="50">
        <f>AVERAGE(J33:J34)</f>
        <v>1.5E-3</v>
      </c>
      <c r="L33" s="50">
        <v>1</v>
      </c>
      <c r="M33" s="50">
        <f>K33*L33</f>
        <v>1.5E-3</v>
      </c>
      <c r="N33" s="50">
        <f>I33-(2*M33)</f>
        <v>0.2495</v>
      </c>
      <c r="O33" s="48"/>
      <c r="P33" s="48"/>
      <c r="Q33" s="48"/>
    </row>
    <row r="34" spans="1:17" x14ac:dyDescent="0.3">
      <c r="A34" s="3">
        <v>44743</v>
      </c>
      <c r="B34" s="30">
        <f t="shared" si="1"/>
        <v>8</v>
      </c>
      <c r="C34">
        <v>4</v>
      </c>
      <c r="D34" t="s">
        <v>12</v>
      </c>
      <c r="E34" s="50"/>
      <c r="F34">
        <v>0.255</v>
      </c>
      <c r="G34" s="50"/>
      <c r="H34" s="50"/>
      <c r="I34" s="50"/>
      <c r="J34">
        <v>1E-3</v>
      </c>
      <c r="K34" s="50"/>
      <c r="L34" s="50"/>
      <c r="M34" s="50"/>
      <c r="N34" s="50"/>
      <c r="O34" s="48"/>
      <c r="P34" s="48"/>
      <c r="Q34" s="48"/>
    </row>
    <row r="35" spans="1:17" x14ac:dyDescent="0.3">
      <c r="A35" s="3">
        <v>44743</v>
      </c>
      <c r="B35" s="30">
        <f t="shared" si="1"/>
        <v>8</v>
      </c>
      <c r="C35">
        <v>5</v>
      </c>
      <c r="D35" t="s">
        <v>11</v>
      </c>
      <c r="E35" s="50">
        <v>2</v>
      </c>
      <c r="F35">
        <v>0.505</v>
      </c>
      <c r="G35" s="50">
        <f>AVERAGE(F35:F36)</f>
        <v>0.50700000000000001</v>
      </c>
      <c r="H35" s="50">
        <v>1</v>
      </c>
      <c r="I35" s="50">
        <f>G35*H35</f>
        <v>0.50700000000000001</v>
      </c>
      <c r="J35">
        <v>1E-3</v>
      </c>
      <c r="K35" s="50">
        <f>AVERAGE(J35:J36)</f>
        <v>1E-3</v>
      </c>
      <c r="L35" s="50">
        <v>1</v>
      </c>
      <c r="M35" s="50">
        <f>K35*L35</f>
        <v>1E-3</v>
      </c>
      <c r="N35" s="50">
        <f>I35-(2*M35)</f>
        <v>0.505</v>
      </c>
      <c r="O35" s="48"/>
      <c r="P35" s="48"/>
      <c r="Q35" s="48"/>
    </row>
    <row r="36" spans="1:17" x14ac:dyDescent="0.3">
      <c r="A36" s="3">
        <v>44743</v>
      </c>
      <c r="B36" s="30">
        <f t="shared" si="1"/>
        <v>8</v>
      </c>
      <c r="C36">
        <v>5</v>
      </c>
      <c r="D36" t="s">
        <v>12</v>
      </c>
      <c r="E36" s="50"/>
      <c r="F36">
        <v>0.50900000000000001</v>
      </c>
      <c r="G36" s="50"/>
      <c r="H36" s="50"/>
      <c r="I36" s="50"/>
      <c r="J36">
        <v>1E-3</v>
      </c>
      <c r="K36" s="50"/>
      <c r="L36" s="50"/>
      <c r="M36" s="50"/>
      <c r="N36" s="50"/>
      <c r="O36" s="48"/>
      <c r="P36" s="48"/>
      <c r="Q36" s="48"/>
    </row>
    <row r="37" spans="1:17" x14ac:dyDescent="0.3">
      <c r="A37" s="3">
        <v>44743</v>
      </c>
      <c r="B37" s="30">
        <f t="shared" si="1"/>
        <v>8</v>
      </c>
      <c r="C37">
        <v>6</v>
      </c>
      <c r="D37" t="s">
        <v>11</v>
      </c>
      <c r="E37" s="50">
        <v>4</v>
      </c>
      <c r="F37">
        <v>0.503</v>
      </c>
      <c r="G37" s="50">
        <f>AVERAGE(F37:F38)</f>
        <v>0.50750000000000006</v>
      </c>
      <c r="H37" s="50">
        <v>2</v>
      </c>
      <c r="I37" s="50">
        <f>G37*H37</f>
        <v>1.0150000000000001</v>
      </c>
      <c r="J37">
        <v>1E-3</v>
      </c>
      <c r="K37" s="50">
        <f>AVERAGE(J37:J38)</f>
        <v>1E-3</v>
      </c>
      <c r="L37" s="50">
        <v>2</v>
      </c>
      <c r="M37" s="50">
        <f>K37*L37</f>
        <v>2E-3</v>
      </c>
      <c r="N37" s="50">
        <f>I37-(2*M37)</f>
        <v>1.0110000000000001</v>
      </c>
      <c r="O37" s="48"/>
      <c r="P37" s="48"/>
      <c r="Q37" s="48"/>
    </row>
    <row r="38" spans="1:17" x14ac:dyDescent="0.3">
      <c r="A38" s="3">
        <v>44743</v>
      </c>
      <c r="B38" s="30">
        <f t="shared" si="1"/>
        <v>8</v>
      </c>
      <c r="C38">
        <v>6</v>
      </c>
      <c r="D38" t="s">
        <v>12</v>
      </c>
      <c r="E38" s="50"/>
      <c r="F38">
        <v>0.51200000000000001</v>
      </c>
      <c r="G38" s="50"/>
      <c r="H38" s="50"/>
      <c r="I38" s="50"/>
      <c r="J38">
        <v>1E-3</v>
      </c>
      <c r="K38" s="50"/>
      <c r="L38" s="50"/>
      <c r="M38" s="50"/>
      <c r="N38" s="50"/>
      <c r="O38" s="48"/>
      <c r="P38" s="48"/>
      <c r="Q38" s="48"/>
    </row>
  </sheetData>
  <sortState xmlns:xlrd2="http://schemas.microsoft.com/office/spreadsheetml/2017/richdata2" ref="C3:E14">
    <sortCondition ref="C3:C14"/>
  </sortState>
  <mergeCells count="171">
    <mergeCell ref="AB1:AD1"/>
    <mergeCell ref="Z1:AA1"/>
    <mergeCell ref="AB3:AB14"/>
    <mergeCell ref="AC3:AC14"/>
    <mergeCell ref="AD3:AD14"/>
    <mergeCell ref="Z3:Z4"/>
    <mergeCell ref="Z5:Z6"/>
    <mergeCell ref="Z7:Z8"/>
    <mergeCell ref="Z9:Z10"/>
    <mergeCell ref="Z11:Z12"/>
    <mergeCell ref="Z13:Z14"/>
    <mergeCell ref="AA3:AA4"/>
    <mergeCell ref="AA5:AA6"/>
    <mergeCell ref="AA7:AA8"/>
    <mergeCell ref="AA9:AA10"/>
    <mergeCell ref="AA11:AA12"/>
    <mergeCell ref="AA13:AA14"/>
    <mergeCell ref="O27:O38"/>
    <mergeCell ref="P27:P38"/>
    <mergeCell ref="Q27:Q38"/>
    <mergeCell ref="K33:K34"/>
    <mergeCell ref="L33:L34"/>
    <mergeCell ref="M33:M34"/>
    <mergeCell ref="N33:N34"/>
    <mergeCell ref="K35:K36"/>
    <mergeCell ref="L35:L36"/>
    <mergeCell ref="M35:M36"/>
    <mergeCell ref="N35:N36"/>
    <mergeCell ref="K37:K38"/>
    <mergeCell ref="L37:L38"/>
    <mergeCell ref="M37:M38"/>
    <mergeCell ref="N37:N38"/>
    <mergeCell ref="K27:K28"/>
    <mergeCell ref="L27:L28"/>
    <mergeCell ref="M27:M28"/>
    <mergeCell ref="N27:N28"/>
    <mergeCell ref="K29:K30"/>
    <mergeCell ref="L29:L30"/>
    <mergeCell ref="M29:M30"/>
    <mergeCell ref="N29:N30"/>
    <mergeCell ref="K31:K32"/>
    <mergeCell ref="L31:L32"/>
    <mergeCell ref="M31:M32"/>
    <mergeCell ref="N31:N32"/>
    <mergeCell ref="E27:E28"/>
    <mergeCell ref="E29:E30"/>
    <mergeCell ref="E31:E32"/>
    <mergeCell ref="E33:E34"/>
    <mergeCell ref="E35:E36"/>
    <mergeCell ref="E37:E38"/>
    <mergeCell ref="G27:G28"/>
    <mergeCell ref="H27:H28"/>
    <mergeCell ref="I27:I28"/>
    <mergeCell ref="G29:G30"/>
    <mergeCell ref="H29:H30"/>
    <mergeCell ref="I29:I30"/>
    <mergeCell ref="G31:G32"/>
    <mergeCell ref="H31:H32"/>
    <mergeCell ref="I31:I32"/>
    <mergeCell ref="G33:G34"/>
    <mergeCell ref="H33:H34"/>
    <mergeCell ref="I33:I34"/>
    <mergeCell ref="G35:G36"/>
    <mergeCell ref="H35:H36"/>
    <mergeCell ref="I35:I36"/>
    <mergeCell ref="G37:G38"/>
    <mergeCell ref="H37:H38"/>
    <mergeCell ref="I37:I38"/>
    <mergeCell ref="H13:H14"/>
    <mergeCell ref="G11:G12"/>
    <mergeCell ref="O1:Q1"/>
    <mergeCell ref="G3:G4"/>
    <mergeCell ref="G5:G6"/>
    <mergeCell ref="G7:G8"/>
    <mergeCell ref="G9:G10"/>
    <mergeCell ref="K3:K4"/>
    <mergeCell ref="L3:L4"/>
    <mergeCell ref="M3:M4"/>
    <mergeCell ref="K5:K6"/>
    <mergeCell ref="K9:K10"/>
    <mergeCell ref="L9:L10"/>
    <mergeCell ref="M9:M10"/>
    <mergeCell ref="I3:I4"/>
    <mergeCell ref="I5:I6"/>
    <mergeCell ref="I7:I8"/>
    <mergeCell ref="I9:I10"/>
    <mergeCell ref="O3:O14"/>
    <mergeCell ref="P3:P14"/>
    <mergeCell ref="Q3:Q14"/>
    <mergeCell ref="E3:E4"/>
    <mergeCell ref="E5:E6"/>
    <mergeCell ref="E7:E8"/>
    <mergeCell ref="E9:E10"/>
    <mergeCell ref="E11:E12"/>
    <mergeCell ref="E13:E14"/>
    <mergeCell ref="M5:M6"/>
    <mergeCell ref="K7:K8"/>
    <mergeCell ref="L7:L8"/>
    <mergeCell ref="M7:M8"/>
    <mergeCell ref="K11:K12"/>
    <mergeCell ref="L11:L12"/>
    <mergeCell ref="M11:M12"/>
    <mergeCell ref="I11:I12"/>
    <mergeCell ref="I13:I14"/>
    <mergeCell ref="L5:L6"/>
    <mergeCell ref="K13:K14"/>
    <mergeCell ref="L13:L14"/>
    <mergeCell ref="G13:G14"/>
    <mergeCell ref="H3:H4"/>
    <mergeCell ref="H5:H6"/>
    <mergeCell ref="H7:H8"/>
    <mergeCell ref="H9:H10"/>
    <mergeCell ref="H11:H12"/>
    <mergeCell ref="E17:E18"/>
    <mergeCell ref="G17:G18"/>
    <mergeCell ref="H17:H18"/>
    <mergeCell ref="I17:I18"/>
    <mergeCell ref="K17:K18"/>
    <mergeCell ref="L17:L18"/>
    <mergeCell ref="M17:M18"/>
    <mergeCell ref="N17:N18"/>
    <mergeCell ref="E15:E16"/>
    <mergeCell ref="G15:G16"/>
    <mergeCell ref="H15:H16"/>
    <mergeCell ref="I15:I16"/>
    <mergeCell ref="K15:K16"/>
    <mergeCell ref="E21:E22"/>
    <mergeCell ref="G21:G22"/>
    <mergeCell ref="H21:H22"/>
    <mergeCell ref="I21:I22"/>
    <mergeCell ref="K21:K22"/>
    <mergeCell ref="L21:L22"/>
    <mergeCell ref="M21:M22"/>
    <mergeCell ref="N21:N22"/>
    <mergeCell ref="E19:E20"/>
    <mergeCell ref="G19:G20"/>
    <mergeCell ref="H19:H20"/>
    <mergeCell ref="I19:I20"/>
    <mergeCell ref="K19:K20"/>
    <mergeCell ref="E25:E26"/>
    <mergeCell ref="G25:G26"/>
    <mergeCell ref="H25:H26"/>
    <mergeCell ref="I25:I26"/>
    <mergeCell ref="K25:K26"/>
    <mergeCell ref="L25:L26"/>
    <mergeCell ref="M25:M26"/>
    <mergeCell ref="N25:N26"/>
    <mergeCell ref="E23:E24"/>
    <mergeCell ref="G23:G24"/>
    <mergeCell ref="H23:H24"/>
    <mergeCell ref="I23:I24"/>
    <mergeCell ref="K23:K24"/>
    <mergeCell ref="Q15:Q26"/>
    <mergeCell ref="L23:L24"/>
    <mergeCell ref="M23:M24"/>
    <mergeCell ref="N23:N24"/>
    <mergeCell ref="L19:L20"/>
    <mergeCell ref="M19:M20"/>
    <mergeCell ref="N19:N20"/>
    <mergeCell ref="L15:L16"/>
    <mergeCell ref="M15:M16"/>
    <mergeCell ref="N15:N16"/>
    <mergeCell ref="N13:N14"/>
    <mergeCell ref="N3:N4"/>
    <mergeCell ref="N5:N6"/>
    <mergeCell ref="N7:N8"/>
    <mergeCell ref="N9:N10"/>
    <mergeCell ref="N11:N12"/>
    <mergeCell ref="M13:M14"/>
    <mergeCell ref="O15:O26"/>
    <mergeCell ref="P15:P26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9E1A-AB8C-4646-B82D-0EE7A53063C5}">
  <dimension ref="A1:L128"/>
  <sheetViews>
    <sheetView zoomScale="115" zoomScaleNormal="115" workbookViewId="0">
      <selection activeCell="N17" sqref="N17"/>
    </sheetView>
  </sheetViews>
  <sheetFormatPr defaultColWidth="11.5546875" defaultRowHeight="14.4" x14ac:dyDescent="0.3"/>
  <cols>
    <col min="1" max="1" width="12.44140625" bestFit="1" customWidth="1"/>
    <col min="5" max="5" width="20.109375" bestFit="1" customWidth="1"/>
    <col min="8" max="8" width="13.109375" bestFit="1" customWidth="1"/>
    <col min="9" max="9" width="11.5546875" bestFit="1" customWidth="1"/>
  </cols>
  <sheetData>
    <row r="1" spans="1:12" x14ac:dyDescent="0.3">
      <c r="A1" s="23" t="s">
        <v>0</v>
      </c>
      <c r="B1" s="4" t="s">
        <v>1</v>
      </c>
      <c r="C1" s="4" t="s">
        <v>45</v>
      </c>
      <c r="D1" s="4" t="s">
        <v>3</v>
      </c>
      <c r="E1" s="4" t="s">
        <v>57</v>
      </c>
      <c r="F1" s="4" t="s">
        <v>58</v>
      </c>
      <c r="G1" s="4" t="s">
        <v>60</v>
      </c>
      <c r="H1" s="4" t="s">
        <v>48</v>
      </c>
      <c r="I1" s="4" t="s">
        <v>59</v>
      </c>
      <c r="J1" s="43" t="s">
        <v>53</v>
      </c>
      <c r="K1" s="43"/>
      <c r="L1" s="43"/>
    </row>
    <row r="2" spans="1:12" ht="16.2" x14ac:dyDescent="0.3">
      <c r="A2" s="23"/>
      <c r="B2" s="4"/>
      <c r="C2" s="4"/>
      <c r="D2" s="4"/>
      <c r="E2" s="4"/>
      <c r="F2" s="4"/>
      <c r="G2" s="4"/>
      <c r="H2" s="4"/>
      <c r="I2" s="4"/>
      <c r="J2" s="4" t="s">
        <v>54</v>
      </c>
      <c r="K2" s="4" t="s">
        <v>55</v>
      </c>
      <c r="L2" s="4" t="s">
        <v>56</v>
      </c>
    </row>
    <row r="3" spans="1:12" x14ac:dyDescent="0.3">
      <c r="A3" s="3">
        <v>44739</v>
      </c>
      <c r="B3" s="30">
        <f>A3-44735</f>
        <v>4</v>
      </c>
      <c r="C3">
        <v>0</v>
      </c>
      <c r="D3" t="s">
        <v>11</v>
      </c>
      <c r="E3" s="50">
        <v>0</v>
      </c>
      <c r="F3">
        <v>0</v>
      </c>
      <c r="G3" s="48">
        <f>AVERAGE(F3:F5)</f>
        <v>1.3333333333333333E-3</v>
      </c>
      <c r="H3" s="48">
        <v>1</v>
      </c>
      <c r="I3" s="48">
        <f>H3*G3</f>
        <v>1.3333333333333333E-3</v>
      </c>
      <c r="J3" s="52">
        <v>0.53879999999999995</v>
      </c>
      <c r="K3" s="48">
        <v>3.2000000000000002E-3</v>
      </c>
      <c r="L3" s="48">
        <v>0.99960000000000004</v>
      </c>
    </row>
    <row r="4" spans="1:12" x14ac:dyDescent="0.3">
      <c r="A4" s="3">
        <v>44739</v>
      </c>
      <c r="B4" s="30">
        <f t="shared" ref="B4:B38" si="0">A4-44735</f>
        <v>4</v>
      </c>
      <c r="C4">
        <v>0</v>
      </c>
      <c r="D4" t="s">
        <v>12</v>
      </c>
      <c r="E4" s="50"/>
      <c r="F4">
        <v>0</v>
      </c>
      <c r="G4" s="48"/>
      <c r="H4" s="48"/>
      <c r="I4" s="48"/>
      <c r="J4" s="52"/>
      <c r="K4" s="48"/>
      <c r="L4" s="48"/>
    </row>
    <row r="5" spans="1:12" x14ac:dyDescent="0.3">
      <c r="A5" s="3">
        <v>44739</v>
      </c>
      <c r="B5" s="30">
        <f t="shared" si="0"/>
        <v>4</v>
      </c>
      <c r="C5">
        <v>0</v>
      </c>
      <c r="D5" t="s">
        <v>13</v>
      </c>
      <c r="E5" s="50"/>
      <c r="F5">
        <v>4.0000000000000001E-3</v>
      </c>
      <c r="G5" s="48"/>
      <c r="H5" s="48"/>
      <c r="I5" s="48"/>
      <c r="J5" s="52"/>
      <c r="K5" s="48"/>
      <c r="L5" s="48"/>
    </row>
    <row r="6" spans="1:12" x14ac:dyDescent="0.3">
      <c r="A6" s="3">
        <v>44739</v>
      </c>
      <c r="B6" s="30">
        <f t="shared" si="0"/>
        <v>4</v>
      </c>
      <c r="C6">
        <v>1</v>
      </c>
      <c r="D6" t="s">
        <v>11</v>
      </c>
      <c r="E6" s="50">
        <v>0.1</v>
      </c>
      <c r="F6">
        <v>0.05</v>
      </c>
      <c r="G6" s="48">
        <f>AVERAGE(F6:F8)</f>
        <v>4.9666666666666671E-2</v>
      </c>
      <c r="H6" s="48">
        <v>1</v>
      </c>
      <c r="I6" s="48">
        <f>(G6*H6)-$I$3</f>
        <v>4.8333333333333339E-2</v>
      </c>
      <c r="J6" s="52"/>
      <c r="K6" s="48"/>
      <c r="L6" s="48"/>
    </row>
    <row r="7" spans="1:12" x14ac:dyDescent="0.3">
      <c r="A7" s="3">
        <v>44739</v>
      </c>
      <c r="B7" s="30">
        <f t="shared" si="0"/>
        <v>4</v>
      </c>
      <c r="C7">
        <v>1</v>
      </c>
      <c r="D7" t="s">
        <v>12</v>
      </c>
      <c r="E7" s="50"/>
      <c r="F7">
        <v>4.9000000000000002E-2</v>
      </c>
      <c r="G7" s="48"/>
      <c r="H7" s="48"/>
      <c r="I7" s="48"/>
      <c r="J7" s="52"/>
      <c r="K7" s="48"/>
      <c r="L7" s="48"/>
    </row>
    <row r="8" spans="1:12" x14ac:dyDescent="0.3">
      <c r="A8" s="3">
        <v>44739</v>
      </c>
      <c r="B8" s="30">
        <f t="shared" si="0"/>
        <v>4</v>
      </c>
      <c r="C8">
        <v>1</v>
      </c>
      <c r="D8" t="s">
        <v>13</v>
      </c>
      <c r="E8" s="50"/>
      <c r="F8">
        <v>0.05</v>
      </c>
      <c r="G8" s="48"/>
      <c r="H8" s="48"/>
      <c r="I8" s="48"/>
      <c r="J8" s="52"/>
      <c r="K8" s="48"/>
      <c r="L8" s="48"/>
    </row>
    <row r="9" spans="1:12" x14ac:dyDescent="0.3">
      <c r="A9" s="3">
        <v>44739</v>
      </c>
      <c r="B9" s="30">
        <f t="shared" si="0"/>
        <v>4</v>
      </c>
      <c r="C9">
        <v>2</v>
      </c>
      <c r="D9" t="s">
        <v>11</v>
      </c>
      <c r="E9" s="50">
        <v>0.2</v>
      </c>
      <c r="F9">
        <v>0.1</v>
      </c>
      <c r="G9" s="48">
        <f>AVERAGE(F9:F11)</f>
        <v>0.10199999999999999</v>
      </c>
      <c r="H9" s="48">
        <v>1</v>
      </c>
      <c r="I9" s="48">
        <f>(G9*H9)-$I$3</f>
        <v>0.10066666666666665</v>
      </c>
      <c r="J9" s="52"/>
      <c r="K9" s="48"/>
      <c r="L9" s="48"/>
    </row>
    <row r="10" spans="1:12" x14ac:dyDescent="0.3">
      <c r="A10" s="3">
        <v>44739</v>
      </c>
      <c r="B10" s="30">
        <f t="shared" si="0"/>
        <v>4</v>
      </c>
      <c r="C10">
        <v>2</v>
      </c>
      <c r="D10" t="s">
        <v>12</v>
      </c>
      <c r="E10" s="50"/>
      <c r="F10">
        <v>0.10199999999999999</v>
      </c>
      <c r="G10" s="48"/>
      <c r="H10" s="48"/>
      <c r="I10" s="48"/>
      <c r="J10" s="52"/>
      <c r="K10" s="48"/>
      <c r="L10" s="48"/>
    </row>
    <row r="11" spans="1:12" x14ac:dyDescent="0.3">
      <c r="A11" s="3">
        <v>44739</v>
      </c>
      <c r="B11" s="30">
        <f t="shared" si="0"/>
        <v>4</v>
      </c>
      <c r="C11">
        <v>2</v>
      </c>
      <c r="D11" t="s">
        <v>13</v>
      </c>
      <c r="E11" s="50"/>
      <c r="F11">
        <v>0.104</v>
      </c>
      <c r="G11" s="48"/>
      <c r="H11" s="48"/>
      <c r="I11" s="48"/>
      <c r="J11" s="52"/>
      <c r="K11" s="48"/>
      <c r="L11" s="48"/>
    </row>
    <row r="12" spans="1:12" x14ac:dyDescent="0.3">
      <c r="A12" s="3">
        <v>44739</v>
      </c>
      <c r="B12" s="30">
        <f t="shared" si="0"/>
        <v>4</v>
      </c>
      <c r="C12">
        <v>3</v>
      </c>
      <c r="D12" t="s">
        <v>11</v>
      </c>
      <c r="E12" s="50">
        <v>0.5</v>
      </c>
      <c r="F12">
        <v>0.27200000000000002</v>
      </c>
      <c r="G12" s="48">
        <f>AVERAGE(F12:F14)</f>
        <v>0.27466666666666667</v>
      </c>
      <c r="H12" s="48">
        <v>1</v>
      </c>
      <c r="I12" s="48">
        <f>(G12*H12)-$I$3</f>
        <v>0.27333333333333332</v>
      </c>
      <c r="J12" s="52"/>
      <c r="K12" s="48"/>
      <c r="L12" s="48"/>
    </row>
    <row r="13" spans="1:12" x14ac:dyDescent="0.3">
      <c r="A13" s="3">
        <v>44739</v>
      </c>
      <c r="B13" s="30">
        <f t="shared" si="0"/>
        <v>4</v>
      </c>
      <c r="C13">
        <v>3</v>
      </c>
      <c r="D13" t="s">
        <v>12</v>
      </c>
      <c r="E13" s="50"/>
      <c r="F13">
        <v>0.27400000000000002</v>
      </c>
      <c r="G13" s="48"/>
      <c r="H13" s="48"/>
      <c r="I13" s="48"/>
      <c r="J13" s="52"/>
      <c r="K13" s="48"/>
      <c r="L13" s="48"/>
    </row>
    <row r="14" spans="1:12" x14ac:dyDescent="0.3">
      <c r="A14" s="3">
        <v>44739</v>
      </c>
      <c r="B14" s="30">
        <f t="shared" si="0"/>
        <v>4</v>
      </c>
      <c r="C14">
        <v>3</v>
      </c>
      <c r="D14" t="s">
        <v>13</v>
      </c>
      <c r="E14" s="50"/>
      <c r="F14">
        <v>0.27800000000000002</v>
      </c>
      <c r="G14" s="48"/>
      <c r="H14" s="48"/>
      <c r="I14" s="48"/>
      <c r="J14" s="52"/>
      <c r="K14" s="48"/>
      <c r="L14" s="48"/>
    </row>
    <row r="15" spans="1:12" x14ac:dyDescent="0.3">
      <c r="A15" s="3">
        <v>44739</v>
      </c>
      <c r="B15" s="30">
        <f t="shared" si="0"/>
        <v>4</v>
      </c>
      <c r="C15">
        <v>4</v>
      </c>
      <c r="D15" t="s">
        <v>11</v>
      </c>
      <c r="E15" s="50">
        <v>1</v>
      </c>
      <c r="F15">
        <v>0.53300000000000003</v>
      </c>
      <c r="G15" s="48">
        <f>AVERAGE(F15:F17)</f>
        <v>0.54166666666666663</v>
      </c>
      <c r="H15" s="48">
        <v>1</v>
      </c>
      <c r="I15" s="48">
        <f>(G15*H15)-$I$3</f>
        <v>0.54033333333333333</v>
      </c>
      <c r="J15" s="52"/>
      <c r="K15" s="48"/>
      <c r="L15" s="48"/>
    </row>
    <row r="16" spans="1:12" x14ac:dyDescent="0.3">
      <c r="A16" s="3">
        <v>44739</v>
      </c>
      <c r="B16" s="30">
        <f t="shared" si="0"/>
        <v>4</v>
      </c>
      <c r="C16">
        <v>4</v>
      </c>
      <c r="D16" t="s">
        <v>12</v>
      </c>
      <c r="E16" s="50"/>
      <c r="F16">
        <v>0.54400000000000004</v>
      </c>
      <c r="G16" s="48"/>
      <c r="H16" s="48"/>
      <c r="I16" s="48"/>
      <c r="J16" s="52"/>
      <c r="K16" s="48"/>
      <c r="L16" s="48"/>
    </row>
    <row r="17" spans="1:12" x14ac:dyDescent="0.3">
      <c r="A17" s="3">
        <v>44739</v>
      </c>
      <c r="B17" s="30">
        <f t="shared" si="0"/>
        <v>4</v>
      </c>
      <c r="C17">
        <v>4</v>
      </c>
      <c r="D17" t="s">
        <v>13</v>
      </c>
      <c r="E17" s="50"/>
      <c r="F17">
        <v>0.54800000000000004</v>
      </c>
      <c r="G17" s="48"/>
      <c r="H17" s="48"/>
      <c r="I17" s="48"/>
      <c r="J17" s="52"/>
      <c r="K17" s="48"/>
      <c r="L17" s="48"/>
    </row>
    <row r="18" spans="1:12" x14ac:dyDescent="0.3">
      <c r="A18" s="3">
        <v>44739</v>
      </c>
      <c r="B18" s="30">
        <f t="shared" si="0"/>
        <v>4</v>
      </c>
      <c r="C18">
        <v>5</v>
      </c>
      <c r="D18" t="s">
        <v>11</v>
      </c>
      <c r="E18" s="50">
        <v>1.3</v>
      </c>
      <c r="F18">
        <v>0.69199999999999995</v>
      </c>
      <c r="G18" s="48">
        <f>AVERAGE(F18:F20)</f>
        <v>0.69299999999999995</v>
      </c>
      <c r="H18" s="48">
        <v>1</v>
      </c>
      <c r="I18" s="48">
        <f>(G18*H18)-$I$3</f>
        <v>0.69166666666666665</v>
      </c>
      <c r="J18" s="52"/>
      <c r="K18" s="48"/>
      <c r="L18" s="48"/>
    </row>
    <row r="19" spans="1:12" x14ac:dyDescent="0.3">
      <c r="A19" s="3">
        <v>44739</v>
      </c>
      <c r="B19" s="30">
        <f t="shared" si="0"/>
        <v>4</v>
      </c>
      <c r="C19">
        <v>5</v>
      </c>
      <c r="D19" t="s">
        <v>12</v>
      </c>
      <c r="E19" s="50"/>
      <c r="F19">
        <v>0.69299999999999995</v>
      </c>
      <c r="G19" s="48"/>
      <c r="H19" s="48"/>
      <c r="I19" s="48"/>
      <c r="J19" s="52"/>
      <c r="K19" s="48"/>
      <c r="L19" s="48"/>
    </row>
    <row r="20" spans="1:12" x14ac:dyDescent="0.3">
      <c r="A20" s="3">
        <v>44739</v>
      </c>
      <c r="B20" s="30">
        <f t="shared" si="0"/>
        <v>4</v>
      </c>
      <c r="C20">
        <v>5</v>
      </c>
      <c r="D20" t="s">
        <v>13</v>
      </c>
      <c r="E20" s="50"/>
      <c r="F20">
        <v>0.69399999999999995</v>
      </c>
      <c r="G20" s="48"/>
      <c r="H20" s="48"/>
      <c r="I20" s="48"/>
      <c r="J20" s="52"/>
      <c r="K20" s="48"/>
      <c r="L20" s="48"/>
    </row>
    <row r="21" spans="1:12" x14ac:dyDescent="0.3">
      <c r="A21" s="3">
        <v>44741</v>
      </c>
      <c r="B21" s="30">
        <f t="shared" si="0"/>
        <v>6</v>
      </c>
      <c r="C21">
        <v>0</v>
      </c>
      <c r="D21" t="s">
        <v>11</v>
      </c>
      <c r="E21" s="50">
        <v>0</v>
      </c>
      <c r="F21">
        <v>0</v>
      </c>
      <c r="G21" s="48">
        <f>AVERAGE(F21:F23)</f>
        <v>0</v>
      </c>
      <c r="H21" s="48">
        <v>1</v>
      </c>
      <c r="I21" s="48">
        <f>H21*G21</f>
        <v>0</v>
      </c>
      <c r="J21" s="52">
        <v>0.52980000000000005</v>
      </c>
      <c r="K21" s="48">
        <v>8.3000000000000001E-3</v>
      </c>
      <c r="L21" s="48">
        <v>0.99990000000000001</v>
      </c>
    </row>
    <row r="22" spans="1:12" x14ac:dyDescent="0.3">
      <c r="A22" s="3">
        <v>44741</v>
      </c>
      <c r="B22" s="30">
        <f t="shared" si="0"/>
        <v>6</v>
      </c>
      <c r="C22">
        <v>0</v>
      </c>
      <c r="D22" t="s">
        <v>12</v>
      </c>
      <c r="E22" s="50"/>
      <c r="F22">
        <v>0</v>
      </c>
      <c r="G22" s="48"/>
      <c r="H22" s="48"/>
      <c r="I22" s="48"/>
      <c r="J22" s="52"/>
      <c r="K22" s="48"/>
      <c r="L22" s="48"/>
    </row>
    <row r="23" spans="1:12" x14ac:dyDescent="0.3">
      <c r="A23" s="3">
        <v>44741</v>
      </c>
      <c r="B23" s="30">
        <f t="shared" si="0"/>
        <v>6</v>
      </c>
      <c r="C23">
        <v>0</v>
      </c>
      <c r="D23" t="s">
        <v>13</v>
      </c>
      <c r="E23" s="50"/>
      <c r="F23">
        <v>0</v>
      </c>
      <c r="G23" s="48"/>
      <c r="H23" s="48"/>
      <c r="I23" s="48"/>
      <c r="J23" s="52"/>
      <c r="K23" s="48"/>
      <c r="L23" s="48"/>
    </row>
    <row r="24" spans="1:12" x14ac:dyDescent="0.3">
      <c r="A24" s="3">
        <v>44741</v>
      </c>
      <c r="B24" s="30">
        <f t="shared" si="0"/>
        <v>6</v>
      </c>
      <c r="C24">
        <v>1</v>
      </c>
      <c r="D24" t="s">
        <v>11</v>
      </c>
      <c r="E24" s="50">
        <v>0.1</v>
      </c>
      <c r="F24">
        <v>4.1000000000000002E-2</v>
      </c>
      <c r="G24" s="48">
        <f>AVERAGE(F24:F26)</f>
        <v>4.2499999999999996E-2</v>
      </c>
      <c r="H24" s="48">
        <v>1</v>
      </c>
      <c r="I24" s="48">
        <f>(G24*H24)-$I$3</f>
        <v>4.1166666666666664E-2</v>
      </c>
      <c r="J24" s="52"/>
      <c r="K24" s="48"/>
      <c r="L24" s="48"/>
    </row>
    <row r="25" spans="1:12" x14ac:dyDescent="0.3">
      <c r="A25" s="3">
        <v>44741</v>
      </c>
      <c r="B25" s="30">
        <f t="shared" si="0"/>
        <v>6</v>
      </c>
      <c r="C25">
        <v>1</v>
      </c>
      <c r="D25" t="s">
        <v>12</v>
      </c>
      <c r="E25" s="50"/>
      <c r="F25">
        <v>4.3999999999999997E-2</v>
      </c>
      <c r="G25" s="48"/>
      <c r="H25" s="48"/>
      <c r="I25" s="48"/>
      <c r="J25" s="52"/>
      <c r="K25" s="48"/>
      <c r="L25" s="48"/>
    </row>
    <row r="26" spans="1:12" x14ac:dyDescent="0.3">
      <c r="A26" s="3">
        <v>44741</v>
      </c>
      <c r="B26" s="30">
        <f t="shared" si="0"/>
        <v>6</v>
      </c>
      <c r="C26">
        <v>1</v>
      </c>
      <c r="D26" t="s">
        <v>13</v>
      </c>
      <c r="E26" s="50"/>
      <c r="G26" s="48"/>
      <c r="H26" s="48"/>
      <c r="I26" s="48"/>
      <c r="J26" s="52"/>
      <c r="K26" s="48"/>
      <c r="L26" s="48"/>
    </row>
    <row r="27" spans="1:12" x14ac:dyDescent="0.3">
      <c r="A27" s="3">
        <v>44741</v>
      </c>
      <c r="B27" s="30">
        <f t="shared" si="0"/>
        <v>6</v>
      </c>
      <c r="C27">
        <v>2</v>
      </c>
      <c r="D27" t="s">
        <v>11</v>
      </c>
      <c r="E27" s="50">
        <v>0.2</v>
      </c>
      <c r="F27">
        <v>0.10199999999999999</v>
      </c>
      <c r="G27" s="48">
        <f>AVERAGE(F27:F29)</f>
        <v>0.10150000000000001</v>
      </c>
      <c r="H27" s="48">
        <v>1</v>
      </c>
      <c r="I27" s="48">
        <f>(G27*H27)-$I$3</f>
        <v>0.10016666666666667</v>
      </c>
      <c r="J27" s="52"/>
      <c r="K27" s="48"/>
      <c r="L27" s="48"/>
    </row>
    <row r="28" spans="1:12" x14ac:dyDescent="0.3">
      <c r="A28" s="3">
        <v>44741</v>
      </c>
      <c r="B28" s="30">
        <f t="shared" si="0"/>
        <v>6</v>
      </c>
      <c r="C28">
        <v>2</v>
      </c>
      <c r="D28" t="s">
        <v>12</v>
      </c>
      <c r="E28" s="50"/>
      <c r="F28">
        <v>0.10100000000000001</v>
      </c>
      <c r="G28" s="48"/>
      <c r="H28" s="48"/>
      <c r="I28" s="48"/>
      <c r="J28" s="52"/>
      <c r="K28" s="48"/>
      <c r="L28" s="48"/>
    </row>
    <row r="29" spans="1:12" x14ac:dyDescent="0.3">
      <c r="A29" s="3">
        <v>44741</v>
      </c>
      <c r="B29" s="30">
        <f t="shared" si="0"/>
        <v>6</v>
      </c>
      <c r="C29">
        <v>2</v>
      </c>
      <c r="D29" t="s">
        <v>13</v>
      </c>
      <c r="E29" s="50"/>
      <c r="G29" s="48"/>
      <c r="H29" s="48"/>
      <c r="I29" s="48"/>
      <c r="J29" s="52"/>
      <c r="K29" s="48"/>
      <c r="L29" s="48"/>
    </row>
    <row r="30" spans="1:12" x14ac:dyDescent="0.3">
      <c r="A30" s="3">
        <v>44741</v>
      </c>
      <c r="B30" s="30">
        <f t="shared" si="0"/>
        <v>6</v>
      </c>
      <c r="C30">
        <v>3</v>
      </c>
      <c r="D30" t="s">
        <v>11</v>
      </c>
      <c r="E30" s="50">
        <v>0.5</v>
      </c>
      <c r="F30">
        <v>0.26100000000000001</v>
      </c>
      <c r="G30" s="48">
        <f>AVERAGE(F30:F32)</f>
        <v>0.26100000000000001</v>
      </c>
      <c r="H30" s="48">
        <v>1</v>
      </c>
      <c r="I30" s="48">
        <f>(G30*H30)-$I$3</f>
        <v>0.25966666666666666</v>
      </c>
      <c r="J30" s="52"/>
      <c r="K30" s="48"/>
      <c r="L30" s="48"/>
    </row>
    <row r="31" spans="1:12" x14ac:dyDescent="0.3">
      <c r="A31" s="3">
        <v>44741</v>
      </c>
      <c r="B31" s="30">
        <f t="shared" si="0"/>
        <v>6</v>
      </c>
      <c r="C31">
        <v>3</v>
      </c>
      <c r="D31" t="s">
        <v>12</v>
      </c>
      <c r="E31" s="50"/>
      <c r="F31">
        <v>0.26100000000000001</v>
      </c>
      <c r="G31" s="48"/>
      <c r="H31" s="48"/>
      <c r="I31" s="48"/>
      <c r="J31" s="52"/>
      <c r="K31" s="48"/>
      <c r="L31" s="48"/>
    </row>
    <row r="32" spans="1:12" x14ac:dyDescent="0.3">
      <c r="A32" s="3">
        <v>44741</v>
      </c>
      <c r="B32" s="30">
        <f t="shared" si="0"/>
        <v>6</v>
      </c>
      <c r="C32">
        <v>3</v>
      </c>
      <c r="D32" t="s">
        <v>13</v>
      </c>
      <c r="E32" s="50"/>
      <c r="G32" s="48"/>
      <c r="H32" s="48"/>
      <c r="I32" s="48"/>
      <c r="J32" s="52"/>
      <c r="K32" s="48"/>
      <c r="L32" s="48"/>
    </row>
    <row r="33" spans="1:12" x14ac:dyDescent="0.3">
      <c r="A33" s="3">
        <v>44741</v>
      </c>
      <c r="B33" s="30">
        <f t="shared" si="0"/>
        <v>6</v>
      </c>
      <c r="C33">
        <v>4</v>
      </c>
      <c r="D33" t="s">
        <v>11</v>
      </c>
      <c r="E33" s="50">
        <v>1</v>
      </c>
      <c r="F33">
        <v>0.51800000000000002</v>
      </c>
      <c r="G33" s="48">
        <f>AVERAGE(F33:F35)</f>
        <v>0.51950000000000007</v>
      </c>
      <c r="H33" s="48">
        <v>1</v>
      </c>
      <c r="I33" s="48">
        <f>(G33*H33)-$I$3</f>
        <v>0.51816666666666678</v>
      </c>
      <c r="J33" s="52"/>
      <c r="K33" s="48"/>
      <c r="L33" s="48"/>
    </row>
    <row r="34" spans="1:12" x14ac:dyDescent="0.3">
      <c r="A34" s="3">
        <v>44741</v>
      </c>
      <c r="B34" s="30">
        <f t="shared" si="0"/>
        <v>6</v>
      </c>
      <c r="C34">
        <v>4</v>
      </c>
      <c r="D34" t="s">
        <v>12</v>
      </c>
      <c r="E34" s="50"/>
      <c r="F34">
        <v>0.52100000000000002</v>
      </c>
      <c r="G34" s="48"/>
      <c r="H34" s="48"/>
      <c r="I34" s="48"/>
      <c r="J34" s="52"/>
      <c r="K34" s="48"/>
      <c r="L34" s="48"/>
    </row>
    <row r="35" spans="1:12" x14ac:dyDescent="0.3">
      <c r="A35" s="3">
        <v>44741</v>
      </c>
      <c r="B35" s="30">
        <f t="shared" si="0"/>
        <v>6</v>
      </c>
      <c r="C35">
        <v>4</v>
      </c>
      <c r="D35" t="s">
        <v>13</v>
      </c>
      <c r="E35" s="50"/>
      <c r="G35" s="48"/>
      <c r="H35" s="48"/>
      <c r="I35" s="48"/>
      <c r="J35" s="52"/>
      <c r="K35" s="48"/>
      <c r="L35" s="48"/>
    </row>
    <row r="36" spans="1:12" x14ac:dyDescent="0.3">
      <c r="A36" s="3">
        <v>44741</v>
      </c>
      <c r="B36" s="30">
        <f t="shared" si="0"/>
        <v>6</v>
      </c>
      <c r="C36">
        <v>5</v>
      </c>
      <c r="D36" t="s">
        <v>11</v>
      </c>
      <c r="E36" s="50">
        <v>1.3</v>
      </c>
      <c r="F36">
        <v>0.68</v>
      </c>
      <c r="G36" s="48">
        <f>AVERAGE(F36:F38)</f>
        <v>0.68300000000000005</v>
      </c>
      <c r="H36" s="48">
        <v>1</v>
      </c>
      <c r="I36" s="48">
        <f>(G36*H36)-$I$3</f>
        <v>0.68166666666666675</v>
      </c>
      <c r="J36" s="52"/>
      <c r="K36" s="48"/>
      <c r="L36" s="48"/>
    </row>
    <row r="37" spans="1:12" x14ac:dyDescent="0.3">
      <c r="A37" s="3">
        <v>44741</v>
      </c>
      <c r="B37" s="30">
        <f t="shared" si="0"/>
        <v>6</v>
      </c>
      <c r="C37">
        <v>5</v>
      </c>
      <c r="D37" t="s">
        <v>12</v>
      </c>
      <c r="E37" s="50"/>
      <c r="F37">
        <v>0.68600000000000005</v>
      </c>
      <c r="G37" s="48"/>
      <c r="H37" s="48"/>
      <c r="I37" s="48"/>
      <c r="J37" s="52"/>
      <c r="K37" s="48"/>
      <c r="L37" s="48"/>
    </row>
    <row r="38" spans="1:12" x14ac:dyDescent="0.3">
      <c r="A38" s="3">
        <v>44741</v>
      </c>
      <c r="B38" s="30">
        <f t="shared" si="0"/>
        <v>6</v>
      </c>
      <c r="C38">
        <v>5</v>
      </c>
      <c r="D38" t="s">
        <v>13</v>
      </c>
      <c r="E38" s="50"/>
      <c r="G38" s="48"/>
      <c r="H38" s="48"/>
      <c r="I38" s="48"/>
      <c r="J38" s="52"/>
      <c r="K38" s="48"/>
      <c r="L38" s="48"/>
    </row>
    <row r="39" spans="1:12" x14ac:dyDescent="0.3">
      <c r="A39" s="3">
        <v>44743</v>
      </c>
      <c r="B39" s="30">
        <f>A39-44735</f>
        <v>8</v>
      </c>
      <c r="C39">
        <v>0</v>
      </c>
      <c r="D39" t="s">
        <v>11</v>
      </c>
      <c r="E39" s="50">
        <v>0</v>
      </c>
      <c r="F39">
        <v>2E-3</v>
      </c>
      <c r="G39" s="48">
        <f>AVERAGE(F39:F41)</f>
        <v>2E-3</v>
      </c>
      <c r="H39" s="48">
        <v>1</v>
      </c>
      <c r="I39" s="48">
        <f>H39*G39</f>
        <v>2E-3</v>
      </c>
      <c r="J39" s="52">
        <v>0.48399999999999999</v>
      </c>
      <c r="K39" s="48">
        <v>3.5000000000000001E-3</v>
      </c>
      <c r="L39" s="48">
        <v>0.99960000000000004</v>
      </c>
    </row>
    <row r="40" spans="1:12" x14ac:dyDescent="0.3">
      <c r="A40" s="3">
        <v>44743</v>
      </c>
      <c r="B40" s="30">
        <f t="shared" ref="B40:B57" si="1">A40-44735</f>
        <v>8</v>
      </c>
      <c r="C40">
        <v>0</v>
      </c>
      <c r="D40" t="s">
        <v>12</v>
      </c>
      <c r="E40" s="50"/>
      <c r="F40">
        <v>2E-3</v>
      </c>
      <c r="G40" s="48"/>
      <c r="H40" s="48"/>
      <c r="I40" s="48"/>
      <c r="J40" s="52"/>
      <c r="K40" s="48"/>
      <c r="L40" s="48"/>
    </row>
    <row r="41" spans="1:12" x14ac:dyDescent="0.3">
      <c r="A41" s="3">
        <v>44743</v>
      </c>
      <c r="B41" s="30">
        <f t="shared" si="1"/>
        <v>8</v>
      </c>
      <c r="C41">
        <v>0</v>
      </c>
      <c r="D41" t="s">
        <v>13</v>
      </c>
      <c r="E41" s="50"/>
      <c r="G41" s="48"/>
      <c r="H41" s="48"/>
      <c r="I41" s="48"/>
      <c r="J41" s="52"/>
      <c r="K41" s="48"/>
      <c r="L41" s="48"/>
    </row>
    <row r="42" spans="1:12" x14ac:dyDescent="0.3">
      <c r="A42" s="3">
        <v>44743</v>
      </c>
      <c r="B42" s="30">
        <f t="shared" si="1"/>
        <v>8</v>
      </c>
      <c r="C42">
        <v>1</v>
      </c>
      <c r="D42" t="s">
        <v>11</v>
      </c>
      <c r="E42" s="50">
        <v>0.1</v>
      </c>
      <c r="F42">
        <v>0.04</v>
      </c>
      <c r="G42" s="48">
        <f>AVERAGE(F42:F44)</f>
        <v>4.0500000000000001E-2</v>
      </c>
      <c r="H42" s="48">
        <v>1</v>
      </c>
      <c r="I42" s="48">
        <f>(G42*H42)-$I$3</f>
        <v>3.9166666666666669E-2</v>
      </c>
      <c r="J42" s="52"/>
      <c r="K42" s="48"/>
      <c r="L42" s="48"/>
    </row>
    <row r="43" spans="1:12" x14ac:dyDescent="0.3">
      <c r="A43" s="3">
        <v>44743</v>
      </c>
      <c r="B43" s="30">
        <f t="shared" si="1"/>
        <v>8</v>
      </c>
      <c r="C43">
        <v>1</v>
      </c>
      <c r="D43" t="s">
        <v>12</v>
      </c>
      <c r="E43" s="50"/>
      <c r="F43">
        <v>4.1000000000000002E-2</v>
      </c>
      <c r="G43" s="48"/>
      <c r="H43" s="48"/>
      <c r="I43" s="48"/>
      <c r="J43" s="52"/>
      <c r="K43" s="48"/>
      <c r="L43" s="48"/>
    </row>
    <row r="44" spans="1:12" x14ac:dyDescent="0.3">
      <c r="A44" s="3">
        <v>44743</v>
      </c>
      <c r="B44" s="30">
        <f t="shared" si="1"/>
        <v>8</v>
      </c>
      <c r="C44">
        <v>1</v>
      </c>
      <c r="D44" t="s">
        <v>13</v>
      </c>
      <c r="E44" s="50"/>
      <c r="G44" s="48"/>
      <c r="H44" s="48"/>
      <c r="I44" s="48"/>
      <c r="J44" s="52"/>
      <c r="K44" s="48"/>
      <c r="L44" s="48"/>
    </row>
    <row r="45" spans="1:12" x14ac:dyDescent="0.3">
      <c r="A45" s="3">
        <v>44743</v>
      </c>
      <c r="B45" s="30">
        <f t="shared" si="1"/>
        <v>8</v>
      </c>
      <c r="C45">
        <v>2</v>
      </c>
      <c r="D45" t="s">
        <v>11</v>
      </c>
      <c r="E45" s="50">
        <v>0.2</v>
      </c>
      <c r="F45">
        <v>9.4E-2</v>
      </c>
      <c r="G45" s="48">
        <f>AVERAGE(F45:F47)</f>
        <v>9.5500000000000002E-2</v>
      </c>
      <c r="H45" s="48">
        <v>1</v>
      </c>
      <c r="I45" s="48">
        <f>(G45*H45)-$I$3</f>
        <v>9.4166666666666662E-2</v>
      </c>
      <c r="J45" s="52"/>
      <c r="K45" s="48"/>
      <c r="L45" s="48"/>
    </row>
    <row r="46" spans="1:12" x14ac:dyDescent="0.3">
      <c r="A46" s="3">
        <v>44743</v>
      </c>
      <c r="B46" s="30">
        <f t="shared" si="1"/>
        <v>8</v>
      </c>
      <c r="C46">
        <v>2</v>
      </c>
      <c r="D46" t="s">
        <v>12</v>
      </c>
      <c r="E46" s="50"/>
      <c r="F46">
        <v>9.7000000000000003E-2</v>
      </c>
      <c r="G46" s="48"/>
      <c r="H46" s="48"/>
      <c r="I46" s="48"/>
      <c r="J46" s="52"/>
      <c r="K46" s="48"/>
      <c r="L46" s="48"/>
    </row>
    <row r="47" spans="1:12" x14ac:dyDescent="0.3">
      <c r="A47" s="3">
        <v>44743</v>
      </c>
      <c r="B47" s="30">
        <f t="shared" si="1"/>
        <v>8</v>
      </c>
      <c r="C47">
        <v>2</v>
      </c>
      <c r="D47" t="s">
        <v>13</v>
      </c>
      <c r="E47" s="50"/>
      <c r="G47" s="48"/>
      <c r="H47" s="48"/>
      <c r="I47" s="48"/>
      <c r="J47" s="52"/>
      <c r="K47" s="48"/>
      <c r="L47" s="48"/>
    </row>
    <row r="48" spans="1:12" x14ac:dyDescent="0.3">
      <c r="A48" s="3">
        <v>44743</v>
      </c>
      <c r="B48" s="30">
        <f t="shared" si="1"/>
        <v>8</v>
      </c>
      <c r="C48">
        <v>3</v>
      </c>
      <c r="D48" t="s">
        <v>11</v>
      </c>
      <c r="E48" s="50">
        <v>0.5</v>
      </c>
      <c r="F48">
        <v>0.24399999999999999</v>
      </c>
      <c r="G48" s="48">
        <f>AVERAGE(F48:F50)</f>
        <v>0.246</v>
      </c>
      <c r="H48" s="48">
        <v>1</v>
      </c>
      <c r="I48" s="48">
        <f>(G48*H48)-$I$3</f>
        <v>0.24466666666666667</v>
      </c>
      <c r="J48" s="52"/>
      <c r="K48" s="48"/>
      <c r="L48" s="48"/>
    </row>
    <row r="49" spans="1:12" x14ac:dyDescent="0.3">
      <c r="A49" s="3">
        <v>44743</v>
      </c>
      <c r="B49" s="30">
        <f t="shared" si="1"/>
        <v>8</v>
      </c>
      <c r="C49">
        <v>3</v>
      </c>
      <c r="D49" t="s">
        <v>12</v>
      </c>
      <c r="E49" s="50"/>
      <c r="F49">
        <v>0.248</v>
      </c>
      <c r="G49" s="48"/>
      <c r="H49" s="48"/>
      <c r="I49" s="48"/>
      <c r="J49" s="52"/>
      <c r="K49" s="48"/>
      <c r="L49" s="48"/>
    </row>
    <row r="50" spans="1:12" x14ac:dyDescent="0.3">
      <c r="A50" s="3">
        <v>44743</v>
      </c>
      <c r="B50" s="30">
        <f t="shared" si="1"/>
        <v>8</v>
      </c>
      <c r="C50">
        <v>3</v>
      </c>
      <c r="D50" t="s">
        <v>13</v>
      </c>
      <c r="E50" s="50"/>
      <c r="G50" s="48"/>
      <c r="H50" s="48"/>
      <c r="I50" s="48"/>
      <c r="J50" s="52"/>
      <c r="K50" s="48"/>
      <c r="L50" s="48"/>
    </row>
    <row r="51" spans="1:12" x14ac:dyDescent="0.3">
      <c r="A51" s="3">
        <v>44743</v>
      </c>
      <c r="B51" s="30">
        <f t="shared" si="1"/>
        <v>8</v>
      </c>
      <c r="C51">
        <v>4</v>
      </c>
      <c r="D51" t="s">
        <v>11</v>
      </c>
      <c r="E51" s="50">
        <v>1</v>
      </c>
      <c r="F51">
        <v>0.48899999999999999</v>
      </c>
      <c r="G51" s="48">
        <f>AVERAGE(F51:F53)</f>
        <v>0.48499999999999999</v>
      </c>
      <c r="H51" s="48">
        <v>1</v>
      </c>
      <c r="I51" s="48">
        <f>(G51*H51)-$I$3</f>
        <v>0.48366666666666663</v>
      </c>
      <c r="J51" s="52"/>
      <c r="K51" s="48"/>
      <c r="L51" s="48"/>
    </row>
    <row r="52" spans="1:12" x14ac:dyDescent="0.3">
      <c r="A52" s="3">
        <v>44743</v>
      </c>
      <c r="B52" s="30">
        <f t="shared" si="1"/>
        <v>8</v>
      </c>
      <c r="C52">
        <v>4</v>
      </c>
      <c r="D52" t="s">
        <v>12</v>
      </c>
      <c r="E52" s="50"/>
      <c r="F52">
        <v>0.48099999999999998</v>
      </c>
      <c r="G52" s="48"/>
      <c r="H52" s="48"/>
      <c r="I52" s="48"/>
      <c r="J52" s="52"/>
      <c r="K52" s="48"/>
      <c r="L52" s="48"/>
    </row>
    <row r="53" spans="1:12" x14ac:dyDescent="0.3">
      <c r="A53" s="3">
        <v>44743</v>
      </c>
      <c r="B53" s="30">
        <f t="shared" si="1"/>
        <v>8</v>
      </c>
      <c r="C53">
        <v>4</v>
      </c>
      <c r="D53" t="s">
        <v>13</v>
      </c>
      <c r="E53" s="50"/>
      <c r="G53" s="48"/>
      <c r="H53" s="48"/>
      <c r="I53" s="48"/>
      <c r="J53" s="52"/>
      <c r="K53" s="48"/>
      <c r="L53" s="48"/>
    </row>
    <row r="54" spans="1:12" x14ac:dyDescent="0.3">
      <c r="A54" s="3">
        <v>44743</v>
      </c>
      <c r="B54" s="30">
        <f t="shared" si="1"/>
        <v>8</v>
      </c>
      <c r="C54">
        <v>5</v>
      </c>
      <c r="D54" t="s">
        <v>11</v>
      </c>
      <c r="E54" s="50">
        <v>1.3</v>
      </c>
      <c r="F54">
        <v>0.622</v>
      </c>
      <c r="G54" s="48">
        <f>AVERAGE(F54:F56)</f>
        <v>0.62250000000000005</v>
      </c>
      <c r="H54" s="48">
        <v>1</v>
      </c>
      <c r="I54" s="48">
        <f>(G54*H54)-$I$3</f>
        <v>0.62116666666666676</v>
      </c>
      <c r="J54" s="52"/>
      <c r="K54" s="48"/>
      <c r="L54" s="48"/>
    </row>
    <row r="55" spans="1:12" x14ac:dyDescent="0.3">
      <c r="A55" s="3">
        <v>44743</v>
      </c>
      <c r="B55" s="30">
        <f t="shared" si="1"/>
        <v>8</v>
      </c>
      <c r="C55">
        <v>5</v>
      </c>
      <c r="D55" t="s">
        <v>12</v>
      </c>
      <c r="E55" s="50"/>
      <c r="F55">
        <v>0.623</v>
      </c>
      <c r="G55" s="48"/>
      <c r="H55" s="48"/>
      <c r="I55" s="48"/>
      <c r="J55" s="52"/>
      <c r="K55" s="48"/>
      <c r="L55" s="48"/>
    </row>
    <row r="56" spans="1:12" x14ac:dyDescent="0.3">
      <c r="A56" s="3">
        <v>44743</v>
      </c>
      <c r="B56" s="30">
        <f t="shared" si="1"/>
        <v>8</v>
      </c>
      <c r="C56">
        <v>5</v>
      </c>
      <c r="D56" t="s">
        <v>13</v>
      </c>
      <c r="E56" s="50"/>
      <c r="G56" s="48"/>
      <c r="H56" s="48"/>
      <c r="I56" s="48"/>
      <c r="J56" s="52"/>
      <c r="K56" s="48"/>
      <c r="L56" s="48"/>
    </row>
    <row r="57" spans="1:12" x14ac:dyDescent="0.3">
      <c r="A57" s="3">
        <v>44746</v>
      </c>
      <c r="B57" s="30">
        <f t="shared" si="1"/>
        <v>11</v>
      </c>
      <c r="C57">
        <v>0</v>
      </c>
      <c r="D57" t="s">
        <v>11</v>
      </c>
      <c r="E57" s="50">
        <v>0</v>
      </c>
      <c r="F57">
        <v>1E-3</v>
      </c>
      <c r="G57" s="48">
        <f>AVERAGE(F57:F59)</f>
        <v>1E-3</v>
      </c>
      <c r="H57" s="48">
        <v>1</v>
      </c>
      <c r="I57" s="48">
        <f>H57*G57</f>
        <v>1E-3</v>
      </c>
      <c r="J57" s="48">
        <v>0.52649999999999997</v>
      </c>
      <c r="K57" s="48">
        <v>1.04E-2</v>
      </c>
      <c r="L57" s="48">
        <v>0.99980000000000002</v>
      </c>
    </row>
    <row r="58" spans="1:12" x14ac:dyDescent="0.3">
      <c r="A58" s="3">
        <v>44746</v>
      </c>
      <c r="B58" s="30">
        <f t="shared" ref="B58:B75" si="2">A58-44735</f>
        <v>11</v>
      </c>
      <c r="C58">
        <v>0</v>
      </c>
      <c r="D58" t="s">
        <v>12</v>
      </c>
      <c r="E58" s="50"/>
      <c r="F58">
        <v>1E-3</v>
      </c>
      <c r="G58" s="48"/>
      <c r="H58" s="48"/>
      <c r="I58" s="48"/>
      <c r="J58" s="48"/>
      <c r="K58" s="48"/>
      <c r="L58" s="48"/>
    </row>
    <row r="59" spans="1:12" x14ac:dyDescent="0.3">
      <c r="A59" s="3">
        <v>44746</v>
      </c>
      <c r="B59" s="30">
        <f t="shared" si="2"/>
        <v>11</v>
      </c>
      <c r="C59">
        <v>0</v>
      </c>
      <c r="D59" t="s">
        <v>13</v>
      </c>
      <c r="E59" s="50"/>
      <c r="G59" s="48"/>
      <c r="H59" s="48"/>
      <c r="I59" s="48"/>
      <c r="J59" s="48"/>
      <c r="K59" s="48"/>
      <c r="L59" s="48"/>
    </row>
    <row r="60" spans="1:12" x14ac:dyDescent="0.3">
      <c r="A60" s="3">
        <v>44746</v>
      </c>
      <c r="B60" s="30">
        <f t="shared" si="2"/>
        <v>11</v>
      </c>
      <c r="C60">
        <v>1</v>
      </c>
      <c r="D60" t="s">
        <v>11</v>
      </c>
      <c r="E60" s="50">
        <v>0.1</v>
      </c>
      <c r="F60">
        <v>4.2999999999999997E-2</v>
      </c>
      <c r="G60" s="48">
        <f>AVERAGE(F60:F62)</f>
        <v>4.3499999999999997E-2</v>
      </c>
      <c r="H60" s="48">
        <v>1</v>
      </c>
      <c r="I60" s="48">
        <f>(G60*H60)-$I$3</f>
        <v>4.2166666666666665E-2</v>
      </c>
      <c r="J60" s="48"/>
      <c r="K60" s="48"/>
      <c r="L60" s="48"/>
    </row>
    <row r="61" spans="1:12" x14ac:dyDescent="0.3">
      <c r="A61" s="3">
        <v>44746</v>
      </c>
      <c r="B61" s="30">
        <f t="shared" si="2"/>
        <v>11</v>
      </c>
      <c r="C61">
        <v>1</v>
      </c>
      <c r="D61" t="s">
        <v>12</v>
      </c>
      <c r="E61" s="50"/>
      <c r="F61">
        <v>4.3999999999999997E-2</v>
      </c>
      <c r="G61" s="48"/>
      <c r="H61" s="48"/>
      <c r="I61" s="48"/>
      <c r="J61" s="48"/>
      <c r="K61" s="48"/>
      <c r="L61" s="48"/>
    </row>
    <row r="62" spans="1:12" x14ac:dyDescent="0.3">
      <c r="A62" s="3">
        <v>44746</v>
      </c>
      <c r="B62" s="30">
        <f t="shared" si="2"/>
        <v>11</v>
      </c>
      <c r="C62">
        <v>1</v>
      </c>
      <c r="D62" t="s">
        <v>13</v>
      </c>
      <c r="E62" s="50"/>
      <c r="G62" s="48"/>
      <c r="H62" s="48"/>
      <c r="I62" s="48"/>
      <c r="J62" s="48"/>
      <c r="K62" s="48"/>
      <c r="L62" s="48"/>
    </row>
    <row r="63" spans="1:12" x14ac:dyDescent="0.3">
      <c r="A63" s="3">
        <v>44746</v>
      </c>
      <c r="B63" s="30">
        <f t="shared" si="2"/>
        <v>11</v>
      </c>
      <c r="C63">
        <v>2</v>
      </c>
      <c r="D63" t="s">
        <v>11</v>
      </c>
      <c r="E63" s="50">
        <v>0.2</v>
      </c>
      <c r="F63">
        <v>9.5000000000000001E-2</v>
      </c>
      <c r="G63" s="48">
        <f>AVERAGE(F63:F65)</f>
        <v>9.35E-2</v>
      </c>
      <c r="H63" s="48">
        <v>1</v>
      </c>
      <c r="I63" s="48">
        <f>(G63*H63)-$I$3</f>
        <v>9.2166666666666661E-2</v>
      </c>
      <c r="J63" s="48"/>
      <c r="K63" s="48"/>
      <c r="L63" s="48"/>
    </row>
    <row r="64" spans="1:12" x14ac:dyDescent="0.3">
      <c r="A64" s="3">
        <v>44746</v>
      </c>
      <c r="B64" s="30">
        <f t="shared" si="2"/>
        <v>11</v>
      </c>
      <c r="C64">
        <v>2</v>
      </c>
      <c r="D64" t="s">
        <v>12</v>
      </c>
      <c r="E64" s="50"/>
      <c r="F64">
        <v>9.1999999999999998E-2</v>
      </c>
      <c r="G64" s="48"/>
      <c r="H64" s="48"/>
      <c r="I64" s="48"/>
      <c r="J64" s="48"/>
      <c r="K64" s="48"/>
      <c r="L64" s="48"/>
    </row>
    <row r="65" spans="1:12" x14ac:dyDescent="0.3">
      <c r="A65" s="3">
        <v>44746</v>
      </c>
      <c r="B65" s="30">
        <f t="shared" si="2"/>
        <v>11</v>
      </c>
      <c r="C65">
        <v>2</v>
      </c>
      <c r="D65" t="s">
        <v>13</v>
      </c>
      <c r="E65" s="50"/>
      <c r="G65" s="48"/>
      <c r="H65" s="48"/>
      <c r="I65" s="48"/>
      <c r="J65" s="48"/>
      <c r="K65" s="48"/>
      <c r="L65" s="48"/>
    </row>
    <row r="66" spans="1:12" x14ac:dyDescent="0.3">
      <c r="A66" s="3">
        <v>44746</v>
      </c>
      <c r="B66" s="30">
        <f t="shared" si="2"/>
        <v>11</v>
      </c>
      <c r="C66">
        <v>3</v>
      </c>
      <c r="D66" t="s">
        <v>11</v>
      </c>
      <c r="E66" s="50">
        <v>0.5</v>
      </c>
      <c r="F66">
        <v>0.255</v>
      </c>
      <c r="G66" s="48">
        <f>AVERAGE(F66:F68)</f>
        <v>0.25650000000000001</v>
      </c>
      <c r="H66" s="48">
        <v>1</v>
      </c>
      <c r="I66" s="48">
        <f>(G66*H66)-$I$3</f>
        <v>0.25516666666666665</v>
      </c>
      <c r="J66" s="48"/>
      <c r="K66" s="48"/>
      <c r="L66" s="48"/>
    </row>
    <row r="67" spans="1:12" x14ac:dyDescent="0.3">
      <c r="A67" s="3">
        <v>44746</v>
      </c>
      <c r="B67" s="30">
        <f t="shared" si="2"/>
        <v>11</v>
      </c>
      <c r="C67">
        <v>3</v>
      </c>
      <c r="D67" t="s">
        <v>12</v>
      </c>
      <c r="E67" s="50"/>
      <c r="F67">
        <v>0.25800000000000001</v>
      </c>
      <c r="G67" s="48"/>
      <c r="H67" s="48"/>
      <c r="I67" s="48"/>
      <c r="J67" s="48"/>
      <c r="K67" s="48"/>
      <c r="L67" s="48"/>
    </row>
    <row r="68" spans="1:12" x14ac:dyDescent="0.3">
      <c r="A68" s="3">
        <v>44746</v>
      </c>
      <c r="B68" s="30">
        <f t="shared" si="2"/>
        <v>11</v>
      </c>
      <c r="C68">
        <v>3</v>
      </c>
      <c r="D68" t="s">
        <v>13</v>
      </c>
      <c r="E68" s="50"/>
      <c r="G68" s="48"/>
      <c r="H68" s="48"/>
      <c r="I68" s="48"/>
      <c r="J68" s="48"/>
      <c r="K68" s="48"/>
      <c r="L68" s="48"/>
    </row>
    <row r="69" spans="1:12" x14ac:dyDescent="0.3">
      <c r="A69" s="3">
        <v>44746</v>
      </c>
      <c r="B69" s="30">
        <f t="shared" si="2"/>
        <v>11</v>
      </c>
      <c r="C69">
        <v>4</v>
      </c>
      <c r="D69" t="s">
        <v>11</v>
      </c>
      <c r="E69" s="50">
        <v>1</v>
      </c>
      <c r="F69">
        <v>0.52400000000000002</v>
      </c>
      <c r="G69" s="48">
        <f>AVERAGE(F69:F71)</f>
        <v>0.52200000000000002</v>
      </c>
      <c r="H69" s="48">
        <v>1</v>
      </c>
      <c r="I69" s="48">
        <f>(G69*H69)-$I$3</f>
        <v>0.52066666666666672</v>
      </c>
      <c r="J69" s="48"/>
      <c r="K69" s="48"/>
      <c r="L69" s="48"/>
    </row>
    <row r="70" spans="1:12" x14ac:dyDescent="0.3">
      <c r="A70" s="3">
        <v>44746</v>
      </c>
      <c r="B70" s="30">
        <f t="shared" si="2"/>
        <v>11</v>
      </c>
      <c r="C70">
        <v>4</v>
      </c>
      <c r="D70" t="s">
        <v>12</v>
      </c>
      <c r="E70" s="50"/>
      <c r="F70">
        <v>0.52</v>
      </c>
      <c r="G70" s="48"/>
      <c r="H70" s="48"/>
      <c r="I70" s="48"/>
      <c r="J70" s="48"/>
      <c r="K70" s="48"/>
      <c r="L70" s="48"/>
    </row>
    <row r="71" spans="1:12" x14ac:dyDescent="0.3">
      <c r="A71" s="3">
        <v>44746</v>
      </c>
      <c r="B71" s="30">
        <f t="shared" si="2"/>
        <v>11</v>
      </c>
      <c r="C71">
        <v>4</v>
      </c>
      <c r="D71" t="s">
        <v>13</v>
      </c>
      <c r="E71" s="50"/>
      <c r="G71" s="48"/>
      <c r="H71" s="48"/>
      <c r="I71" s="48"/>
      <c r="J71" s="48"/>
      <c r="K71" s="48"/>
      <c r="L71" s="48"/>
    </row>
    <row r="72" spans="1:12" x14ac:dyDescent="0.3">
      <c r="A72" s="3">
        <v>44746</v>
      </c>
      <c r="B72" s="30">
        <f t="shared" si="2"/>
        <v>11</v>
      </c>
      <c r="C72">
        <v>5</v>
      </c>
      <c r="D72" t="s">
        <v>11</v>
      </c>
      <c r="E72" s="50">
        <v>1.3</v>
      </c>
      <c r="F72">
        <v>0.67500000000000004</v>
      </c>
      <c r="G72" s="48">
        <f>AVERAGE(F72:F74)</f>
        <v>0.67149999999999999</v>
      </c>
      <c r="H72" s="48">
        <v>1</v>
      </c>
      <c r="I72" s="48">
        <f>(G72*H72)-$I$3</f>
        <v>0.67016666666666669</v>
      </c>
      <c r="J72" s="48"/>
      <c r="K72" s="48"/>
      <c r="L72" s="48"/>
    </row>
    <row r="73" spans="1:12" x14ac:dyDescent="0.3">
      <c r="A73" s="3">
        <v>44746</v>
      </c>
      <c r="B73" s="30">
        <f t="shared" si="2"/>
        <v>11</v>
      </c>
      <c r="C73">
        <v>5</v>
      </c>
      <c r="D73" t="s">
        <v>12</v>
      </c>
      <c r="E73" s="50"/>
      <c r="F73">
        <v>0.66800000000000004</v>
      </c>
      <c r="G73" s="48"/>
      <c r="H73" s="48"/>
      <c r="I73" s="48"/>
      <c r="J73" s="48"/>
      <c r="K73" s="48"/>
      <c r="L73" s="48"/>
    </row>
    <row r="74" spans="1:12" x14ac:dyDescent="0.3">
      <c r="A74" s="3">
        <v>44746</v>
      </c>
      <c r="B74" s="30">
        <f t="shared" si="2"/>
        <v>11</v>
      </c>
      <c r="C74">
        <v>5</v>
      </c>
      <c r="D74" t="s">
        <v>13</v>
      </c>
      <c r="E74" s="50"/>
      <c r="G74" s="48"/>
      <c r="H74" s="48"/>
      <c r="I74" s="48"/>
      <c r="J74" s="48"/>
      <c r="K74" s="48"/>
      <c r="L74" s="48"/>
    </row>
    <row r="75" spans="1:12" x14ac:dyDescent="0.3">
      <c r="A75" s="3">
        <v>44748</v>
      </c>
      <c r="B75" s="30">
        <f t="shared" si="2"/>
        <v>13</v>
      </c>
      <c r="C75">
        <v>0</v>
      </c>
      <c r="D75" t="s">
        <v>11</v>
      </c>
      <c r="E75" s="50">
        <v>0</v>
      </c>
      <c r="F75">
        <v>1E-3</v>
      </c>
      <c r="G75" s="48">
        <f>AVERAGE(F75:F77)</f>
        <v>1E-3</v>
      </c>
      <c r="H75" s="48">
        <v>1</v>
      </c>
      <c r="I75" s="48">
        <f>H75*G75</f>
        <v>1E-3</v>
      </c>
      <c r="J75" s="48">
        <v>0.53559999999999997</v>
      </c>
      <c r="K75" s="48">
        <v>9.1000000000000004E-3</v>
      </c>
      <c r="L75" s="48">
        <v>0.99909999999999999</v>
      </c>
    </row>
    <row r="76" spans="1:12" x14ac:dyDescent="0.3">
      <c r="A76" s="3">
        <v>44748</v>
      </c>
      <c r="B76" s="30">
        <f t="shared" ref="B76:B93" si="3">A76-44735</f>
        <v>13</v>
      </c>
      <c r="C76">
        <v>0</v>
      </c>
      <c r="D76" t="s">
        <v>12</v>
      </c>
      <c r="E76" s="50"/>
      <c r="F76">
        <v>1E-3</v>
      </c>
      <c r="G76" s="48"/>
      <c r="H76" s="48"/>
      <c r="I76" s="48"/>
      <c r="J76" s="48"/>
      <c r="K76" s="48"/>
      <c r="L76" s="48"/>
    </row>
    <row r="77" spans="1:12" x14ac:dyDescent="0.3">
      <c r="A77" s="3">
        <v>44748</v>
      </c>
      <c r="B77" s="30">
        <f t="shared" si="3"/>
        <v>13</v>
      </c>
      <c r="C77">
        <v>0</v>
      </c>
      <c r="D77" t="s">
        <v>13</v>
      </c>
      <c r="E77" s="50"/>
      <c r="G77" s="48"/>
      <c r="H77" s="48"/>
      <c r="I77" s="48"/>
      <c r="J77" s="48"/>
      <c r="K77" s="48"/>
      <c r="L77" s="48"/>
    </row>
    <row r="78" spans="1:12" x14ac:dyDescent="0.3">
      <c r="A78" s="3">
        <v>44748</v>
      </c>
      <c r="B78" s="30">
        <f t="shared" si="3"/>
        <v>13</v>
      </c>
      <c r="C78">
        <v>1</v>
      </c>
      <c r="D78" t="s">
        <v>11</v>
      </c>
      <c r="E78" s="50">
        <v>0.1</v>
      </c>
      <c r="F78">
        <v>5.0999999999999997E-2</v>
      </c>
      <c r="G78" s="48">
        <f>AVERAGE(F78:F80)</f>
        <v>5.2499999999999998E-2</v>
      </c>
      <c r="H78" s="48">
        <v>1</v>
      </c>
      <c r="I78" s="48">
        <f>(G78*H78)-$I$3</f>
        <v>5.1166666666666666E-2</v>
      </c>
      <c r="J78" s="48"/>
      <c r="K78" s="48"/>
      <c r="L78" s="48"/>
    </row>
    <row r="79" spans="1:12" x14ac:dyDescent="0.3">
      <c r="A79" s="3">
        <v>44748</v>
      </c>
      <c r="B79" s="30">
        <f t="shared" si="3"/>
        <v>13</v>
      </c>
      <c r="C79">
        <v>1</v>
      </c>
      <c r="D79" t="s">
        <v>12</v>
      </c>
      <c r="E79" s="50"/>
      <c r="F79">
        <v>5.3999999999999999E-2</v>
      </c>
      <c r="G79" s="48"/>
      <c r="H79" s="48"/>
      <c r="I79" s="48"/>
      <c r="J79" s="48"/>
      <c r="K79" s="48"/>
      <c r="L79" s="48"/>
    </row>
    <row r="80" spans="1:12" x14ac:dyDescent="0.3">
      <c r="A80" s="3">
        <v>44748</v>
      </c>
      <c r="B80" s="30">
        <f t="shared" si="3"/>
        <v>13</v>
      </c>
      <c r="C80">
        <v>1</v>
      </c>
      <c r="D80" t="s">
        <v>13</v>
      </c>
      <c r="E80" s="50"/>
      <c r="G80" s="48"/>
      <c r="H80" s="48"/>
      <c r="I80" s="48"/>
      <c r="J80" s="48"/>
      <c r="K80" s="48"/>
      <c r="L80" s="48"/>
    </row>
    <row r="81" spans="1:12" x14ac:dyDescent="0.3">
      <c r="A81" s="3">
        <v>44748</v>
      </c>
      <c r="B81" s="30">
        <f t="shared" si="3"/>
        <v>13</v>
      </c>
      <c r="C81">
        <v>2</v>
      </c>
      <c r="D81" t="s">
        <v>11</v>
      </c>
      <c r="E81" s="50">
        <v>0.2</v>
      </c>
      <c r="F81">
        <v>0.10199999999999999</v>
      </c>
      <c r="G81" s="48">
        <f>AVERAGE(F81:F83)</f>
        <v>0.10199999999999999</v>
      </c>
      <c r="H81" s="48">
        <v>1</v>
      </c>
      <c r="I81" s="48">
        <f>(G81*H81)-$I$3</f>
        <v>0.10066666666666665</v>
      </c>
      <c r="J81" s="48"/>
      <c r="K81" s="48"/>
      <c r="L81" s="48"/>
    </row>
    <row r="82" spans="1:12" x14ac:dyDescent="0.3">
      <c r="A82" s="3">
        <v>44748</v>
      </c>
      <c r="B82" s="30">
        <f t="shared" si="3"/>
        <v>13</v>
      </c>
      <c r="C82">
        <v>2</v>
      </c>
      <c r="D82" t="s">
        <v>12</v>
      </c>
      <c r="E82" s="50"/>
      <c r="F82">
        <v>0.10199999999999999</v>
      </c>
      <c r="G82" s="48"/>
      <c r="H82" s="48"/>
      <c r="I82" s="48"/>
      <c r="J82" s="48"/>
      <c r="K82" s="48"/>
      <c r="L82" s="48"/>
    </row>
    <row r="83" spans="1:12" x14ac:dyDescent="0.3">
      <c r="A83" s="3">
        <v>44748</v>
      </c>
      <c r="B83" s="30">
        <f t="shared" si="3"/>
        <v>13</v>
      </c>
      <c r="C83">
        <v>2</v>
      </c>
      <c r="D83" t="s">
        <v>13</v>
      </c>
      <c r="E83" s="50"/>
      <c r="G83" s="48"/>
      <c r="H83" s="48"/>
      <c r="I83" s="48"/>
      <c r="J83" s="48"/>
      <c r="K83" s="48"/>
      <c r="L83" s="48"/>
    </row>
    <row r="84" spans="1:12" x14ac:dyDescent="0.3">
      <c r="A84" s="3">
        <v>44748</v>
      </c>
      <c r="B84" s="30">
        <f t="shared" si="3"/>
        <v>13</v>
      </c>
      <c r="C84">
        <v>3</v>
      </c>
      <c r="D84" t="s">
        <v>11</v>
      </c>
      <c r="E84" s="50">
        <v>0.5</v>
      </c>
      <c r="F84">
        <v>0.247</v>
      </c>
      <c r="G84" s="48">
        <f>AVERAGE(F84:F86)</f>
        <v>0.246</v>
      </c>
      <c r="H84" s="48">
        <v>1</v>
      </c>
      <c r="I84" s="48">
        <f>(G84*H84)-$I$3</f>
        <v>0.24466666666666667</v>
      </c>
      <c r="J84" s="48"/>
      <c r="K84" s="48"/>
      <c r="L84" s="48"/>
    </row>
    <row r="85" spans="1:12" x14ac:dyDescent="0.3">
      <c r="A85" s="3">
        <v>44748</v>
      </c>
      <c r="B85" s="30">
        <f t="shared" si="3"/>
        <v>13</v>
      </c>
      <c r="C85">
        <v>3</v>
      </c>
      <c r="D85" t="s">
        <v>12</v>
      </c>
      <c r="E85" s="50"/>
      <c r="F85">
        <v>0.245</v>
      </c>
      <c r="G85" s="48"/>
      <c r="H85" s="48"/>
      <c r="I85" s="48"/>
      <c r="J85" s="48"/>
      <c r="K85" s="48"/>
      <c r="L85" s="48"/>
    </row>
    <row r="86" spans="1:12" x14ac:dyDescent="0.3">
      <c r="A86" s="3">
        <v>44748</v>
      </c>
      <c r="B86" s="30">
        <f t="shared" si="3"/>
        <v>13</v>
      </c>
      <c r="C86">
        <v>3</v>
      </c>
      <c r="D86" t="s">
        <v>13</v>
      </c>
      <c r="E86" s="50"/>
      <c r="G86" s="48"/>
      <c r="H86" s="48"/>
      <c r="I86" s="48"/>
      <c r="J86" s="48"/>
      <c r="K86" s="48"/>
      <c r="L86" s="48"/>
    </row>
    <row r="87" spans="1:12" x14ac:dyDescent="0.3">
      <c r="A87" s="3">
        <v>44748</v>
      </c>
      <c r="B87" s="30">
        <f t="shared" si="3"/>
        <v>13</v>
      </c>
      <c r="C87">
        <v>4</v>
      </c>
      <c r="D87" t="s">
        <v>11</v>
      </c>
      <c r="E87" s="50">
        <v>1</v>
      </c>
      <c r="F87">
        <v>0.53</v>
      </c>
      <c r="G87" s="48">
        <f>AVERAGE(F87:F89)</f>
        <v>0.52849999999999997</v>
      </c>
      <c r="H87" s="48">
        <v>1</v>
      </c>
      <c r="I87" s="48">
        <f>(G87*H87)-$I$3</f>
        <v>0.52716666666666667</v>
      </c>
      <c r="J87" s="48"/>
      <c r="K87" s="48"/>
      <c r="L87" s="48"/>
    </row>
    <row r="88" spans="1:12" x14ac:dyDescent="0.3">
      <c r="A88" s="3">
        <v>44748</v>
      </c>
      <c r="B88" s="30">
        <f t="shared" si="3"/>
        <v>13</v>
      </c>
      <c r="C88">
        <v>4</v>
      </c>
      <c r="D88" t="s">
        <v>12</v>
      </c>
      <c r="E88" s="50"/>
      <c r="F88">
        <v>0.52700000000000002</v>
      </c>
      <c r="G88" s="48"/>
      <c r="H88" s="48"/>
      <c r="I88" s="48"/>
      <c r="J88" s="48"/>
      <c r="K88" s="48"/>
      <c r="L88" s="48"/>
    </row>
    <row r="89" spans="1:12" x14ac:dyDescent="0.3">
      <c r="A89" s="3">
        <v>44748</v>
      </c>
      <c r="B89" s="30">
        <f t="shared" si="3"/>
        <v>13</v>
      </c>
      <c r="C89">
        <v>4</v>
      </c>
      <c r="D89" t="s">
        <v>13</v>
      </c>
      <c r="E89" s="50"/>
      <c r="G89" s="48"/>
      <c r="H89" s="48"/>
      <c r="I89" s="48"/>
      <c r="J89" s="48"/>
      <c r="K89" s="48"/>
      <c r="L89" s="48"/>
    </row>
    <row r="90" spans="1:12" x14ac:dyDescent="0.3">
      <c r="A90" s="3">
        <v>44748</v>
      </c>
      <c r="B90" s="30">
        <f t="shared" si="3"/>
        <v>13</v>
      </c>
      <c r="C90">
        <v>5</v>
      </c>
      <c r="D90" t="s">
        <v>11</v>
      </c>
      <c r="E90" s="50">
        <v>1.3</v>
      </c>
      <c r="F90">
        <v>0.69</v>
      </c>
      <c r="G90" s="48">
        <f>AVERAGE(F90:F92)</f>
        <v>0.69249999999999989</v>
      </c>
      <c r="H90" s="48">
        <v>1</v>
      </c>
      <c r="I90" s="48">
        <f>(G90*H90)-$I$3</f>
        <v>0.6911666666666666</v>
      </c>
      <c r="J90" s="48"/>
      <c r="K90" s="48"/>
      <c r="L90" s="48"/>
    </row>
    <row r="91" spans="1:12" x14ac:dyDescent="0.3">
      <c r="A91" s="3">
        <v>44748</v>
      </c>
      <c r="B91" s="30">
        <f t="shared" si="3"/>
        <v>13</v>
      </c>
      <c r="C91">
        <v>5</v>
      </c>
      <c r="D91" t="s">
        <v>12</v>
      </c>
      <c r="E91" s="50"/>
      <c r="F91">
        <v>0.69499999999999995</v>
      </c>
      <c r="G91" s="48"/>
      <c r="H91" s="48"/>
      <c r="I91" s="48"/>
      <c r="J91" s="48"/>
      <c r="K91" s="48"/>
      <c r="L91" s="48"/>
    </row>
    <row r="92" spans="1:12" x14ac:dyDescent="0.3">
      <c r="A92" s="3">
        <v>44748</v>
      </c>
      <c r="B92" s="30">
        <f t="shared" si="3"/>
        <v>13</v>
      </c>
      <c r="C92">
        <v>5</v>
      </c>
      <c r="D92" t="s">
        <v>13</v>
      </c>
      <c r="E92" s="50"/>
      <c r="G92" s="48"/>
      <c r="H92" s="48"/>
      <c r="I92" s="48"/>
      <c r="J92" s="48"/>
      <c r="K92" s="48"/>
      <c r="L92" s="48"/>
    </row>
    <row r="93" spans="1:12" x14ac:dyDescent="0.3">
      <c r="A93" s="3">
        <v>44750</v>
      </c>
      <c r="B93" s="30">
        <f t="shared" si="3"/>
        <v>15</v>
      </c>
      <c r="C93">
        <v>0</v>
      </c>
      <c r="D93" t="s">
        <v>11</v>
      </c>
      <c r="E93" s="50">
        <v>0</v>
      </c>
      <c r="F93">
        <v>1E-3</v>
      </c>
      <c r="G93" s="48">
        <f>AVERAGE(F93:F95)</f>
        <v>1E-3</v>
      </c>
      <c r="H93" s="48">
        <v>1</v>
      </c>
      <c r="I93" s="48">
        <f>H93*G93</f>
        <v>1E-3</v>
      </c>
      <c r="J93" s="48">
        <v>0.5524</v>
      </c>
      <c r="K93" s="48">
        <v>2.7000000000000001E-3</v>
      </c>
      <c r="L93" s="48">
        <v>0.99970000000000003</v>
      </c>
    </row>
    <row r="94" spans="1:12" x14ac:dyDescent="0.3">
      <c r="A94" s="3">
        <v>44750</v>
      </c>
      <c r="B94" s="30">
        <f t="shared" ref="B94:B111" si="4">A94-44735</f>
        <v>15</v>
      </c>
      <c r="C94">
        <v>0</v>
      </c>
      <c r="D94" t="s">
        <v>12</v>
      </c>
      <c r="E94" s="50"/>
      <c r="F94">
        <v>1E-3</v>
      </c>
      <c r="G94" s="48"/>
      <c r="H94" s="48"/>
      <c r="I94" s="48"/>
      <c r="J94" s="48"/>
      <c r="K94" s="48"/>
      <c r="L94" s="48"/>
    </row>
    <row r="95" spans="1:12" x14ac:dyDescent="0.3">
      <c r="A95" s="3">
        <v>44750</v>
      </c>
      <c r="B95" s="30">
        <f t="shared" si="4"/>
        <v>15</v>
      </c>
      <c r="C95">
        <v>0</v>
      </c>
      <c r="D95" t="s">
        <v>13</v>
      </c>
      <c r="E95" s="50"/>
      <c r="G95" s="48"/>
      <c r="H95" s="48"/>
      <c r="I95" s="48"/>
      <c r="J95" s="48"/>
      <c r="K95" s="48"/>
      <c r="L95" s="48"/>
    </row>
    <row r="96" spans="1:12" x14ac:dyDescent="0.3">
      <c r="A96" s="3">
        <v>44750</v>
      </c>
      <c r="B96" s="30">
        <f t="shared" si="4"/>
        <v>15</v>
      </c>
      <c r="C96">
        <v>1</v>
      </c>
      <c r="D96" t="s">
        <v>11</v>
      </c>
      <c r="E96" s="50">
        <v>0.1</v>
      </c>
      <c r="F96">
        <v>5.2999999999999999E-2</v>
      </c>
      <c r="G96" s="48">
        <f>AVERAGE(F96:F98)</f>
        <v>5.3499999999999999E-2</v>
      </c>
      <c r="H96" s="48">
        <v>1</v>
      </c>
      <c r="I96" s="48">
        <f>(G96*H96)-$I$3</f>
        <v>5.2166666666666667E-2</v>
      </c>
      <c r="J96" s="48"/>
      <c r="K96" s="48"/>
      <c r="L96" s="48"/>
    </row>
    <row r="97" spans="1:12" x14ac:dyDescent="0.3">
      <c r="A97" s="3">
        <v>44750</v>
      </c>
      <c r="B97" s="30">
        <f t="shared" si="4"/>
        <v>15</v>
      </c>
      <c r="C97">
        <v>1</v>
      </c>
      <c r="D97" t="s">
        <v>12</v>
      </c>
      <c r="E97" s="50"/>
      <c r="F97">
        <v>5.3999999999999999E-2</v>
      </c>
      <c r="G97" s="48"/>
      <c r="H97" s="48"/>
      <c r="I97" s="48"/>
      <c r="J97" s="48"/>
      <c r="K97" s="48"/>
      <c r="L97" s="48"/>
    </row>
    <row r="98" spans="1:12" x14ac:dyDescent="0.3">
      <c r="A98" s="3">
        <v>44750</v>
      </c>
      <c r="B98" s="30">
        <f t="shared" si="4"/>
        <v>15</v>
      </c>
      <c r="C98">
        <v>1</v>
      </c>
      <c r="D98" t="s">
        <v>13</v>
      </c>
      <c r="E98" s="50"/>
      <c r="G98" s="48"/>
      <c r="H98" s="48"/>
      <c r="I98" s="48"/>
      <c r="J98" s="48"/>
      <c r="K98" s="48"/>
      <c r="L98" s="48"/>
    </row>
    <row r="99" spans="1:12" x14ac:dyDescent="0.3">
      <c r="A99" s="3">
        <v>44750</v>
      </c>
      <c r="B99" s="30">
        <f t="shared" si="4"/>
        <v>15</v>
      </c>
      <c r="C99">
        <v>2</v>
      </c>
      <c r="D99" t="s">
        <v>11</v>
      </c>
      <c r="E99" s="50">
        <v>0.2</v>
      </c>
      <c r="F99">
        <v>0.107</v>
      </c>
      <c r="G99" s="48">
        <f>AVERAGE(F99:F101)</f>
        <v>0.1065</v>
      </c>
      <c r="H99" s="48">
        <v>1</v>
      </c>
      <c r="I99" s="48">
        <f>(G99*H99)-$I$3</f>
        <v>0.10516666666666666</v>
      </c>
      <c r="J99" s="48"/>
      <c r="K99" s="48"/>
      <c r="L99" s="48"/>
    </row>
    <row r="100" spans="1:12" x14ac:dyDescent="0.3">
      <c r="A100" s="3">
        <v>44750</v>
      </c>
      <c r="B100" s="30">
        <f t="shared" si="4"/>
        <v>15</v>
      </c>
      <c r="C100">
        <v>2</v>
      </c>
      <c r="D100" t="s">
        <v>12</v>
      </c>
      <c r="E100" s="50"/>
      <c r="F100">
        <v>0.106</v>
      </c>
      <c r="G100" s="48"/>
      <c r="H100" s="48"/>
      <c r="I100" s="48"/>
      <c r="J100" s="48"/>
      <c r="K100" s="48"/>
      <c r="L100" s="48"/>
    </row>
    <row r="101" spans="1:12" x14ac:dyDescent="0.3">
      <c r="A101" s="3">
        <v>44750</v>
      </c>
      <c r="B101" s="30">
        <f t="shared" si="4"/>
        <v>15</v>
      </c>
      <c r="C101">
        <v>2</v>
      </c>
      <c r="D101" t="s">
        <v>13</v>
      </c>
      <c r="E101" s="50"/>
      <c r="G101" s="48"/>
      <c r="H101" s="48"/>
      <c r="I101" s="48"/>
      <c r="J101" s="48"/>
      <c r="K101" s="48"/>
      <c r="L101" s="48"/>
    </row>
    <row r="102" spans="1:12" x14ac:dyDescent="0.3">
      <c r="A102" s="3">
        <v>44750</v>
      </c>
      <c r="B102" s="30">
        <f t="shared" si="4"/>
        <v>15</v>
      </c>
      <c r="C102">
        <v>3</v>
      </c>
      <c r="D102" t="s">
        <v>11</v>
      </c>
      <c r="E102" s="50">
        <v>0.5</v>
      </c>
      <c r="F102">
        <v>0.27200000000000002</v>
      </c>
      <c r="G102" s="48">
        <f>AVERAGE(F102:F104)</f>
        <v>0.27300000000000002</v>
      </c>
      <c r="H102" s="48">
        <v>1</v>
      </c>
      <c r="I102" s="48">
        <f>(G102*H102)-$I$3</f>
        <v>0.27166666666666667</v>
      </c>
      <c r="J102" s="48"/>
      <c r="K102" s="48"/>
      <c r="L102" s="48"/>
    </row>
    <row r="103" spans="1:12" x14ac:dyDescent="0.3">
      <c r="A103" s="3">
        <v>44750</v>
      </c>
      <c r="B103" s="30">
        <f t="shared" si="4"/>
        <v>15</v>
      </c>
      <c r="C103">
        <v>3</v>
      </c>
      <c r="D103" t="s">
        <v>12</v>
      </c>
      <c r="E103" s="50"/>
      <c r="F103">
        <v>0.27400000000000002</v>
      </c>
      <c r="G103" s="48"/>
      <c r="H103" s="48"/>
      <c r="I103" s="48"/>
      <c r="J103" s="48"/>
      <c r="K103" s="48"/>
      <c r="L103" s="48"/>
    </row>
    <row r="104" spans="1:12" x14ac:dyDescent="0.3">
      <c r="A104" s="3">
        <v>44750</v>
      </c>
      <c r="B104" s="30">
        <f t="shared" si="4"/>
        <v>15</v>
      </c>
      <c r="C104">
        <v>3</v>
      </c>
      <c r="D104" t="s">
        <v>13</v>
      </c>
      <c r="E104" s="50"/>
      <c r="G104" s="48"/>
      <c r="H104" s="48"/>
      <c r="I104" s="48"/>
      <c r="J104" s="48"/>
      <c r="K104" s="48"/>
      <c r="L104" s="48"/>
    </row>
    <row r="105" spans="1:12" x14ac:dyDescent="0.3">
      <c r="A105" s="3">
        <v>44750</v>
      </c>
      <c r="B105" s="30">
        <f t="shared" si="4"/>
        <v>15</v>
      </c>
      <c r="C105">
        <v>4</v>
      </c>
      <c r="D105" t="s">
        <v>11</v>
      </c>
      <c r="E105" s="50">
        <v>1</v>
      </c>
      <c r="F105">
        <v>0.52300000000000002</v>
      </c>
      <c r="G105" s="48">
        <f>AVERAGE(F105:F107)</f>
        <v>0.52400000000000002</v>
      </c>
      <c r="H105" s="48">
        <v>1</v>
      </c>
      <c r="I105" s="48">
        <f>(G105*H105)-$I$3</f>
        <v>0.52266666666666672</v>
      </c>
      <c r="J105" s="48"/>
      <c r="K105" s="48"/>
      <c r="L105" s="48"/>
    </row>
    <row r="106" spans="1:12" x14ac:dyDescent="0.3">
      <c r="A106" s="3">
        <v>44750</v>
      </c>
      <c r="B106" s="30">
        <f t="shared" si="4"/>
        <v>15</v>
      </c>
      <c r="C106">
        <v>4</v>
      </c>
      <c r="D106" t="s">
        <v>12</v>
      </c>
      <c r="E106" s="50"/>
      <c r="F106">
        <v>0.52500000000000002</v>
      </c>
      <c r="G106" s="48"/>
      <c r="H106" s="48"/>
      <c r="I106" s="48"/>
      <c r="J106" s="48"/>
      <c r="K106" s="48"/>
      <c r="L106" s="48"/>
    </row>
    <row r="107" spans="1:12" x14ac:dyDescent="0.3">
      <c r="A107" s="3">
        <v>44750</v>
      </c>
      <c r="B107" s="30">
        <f t="shared" si="4"/>
        <v>15</v>
      </c>
      <c r="C107">
        <v>4</v>
      </c>
      <c r="D107" t="s">
        <v>13</v>
      </c>
      <c r="E107" s="50"/>
      <c r="G107" s="48"/>
      <c r="H107" s="48"/>
      <c r="I107" s="48"/>
      <c r="J107" s="48"/>
      <c r="K107" s="48"/>
      <c r="L107" s="48"/>
    </row>
    <row r="108" spans="1:12" x14ac:dyDescent="0.3">
      <c r="A108" s="3">
        <v>44750</v>
      </c>
      <c r="B108" s="30">
        <f t="shared" si="4"/>
        <v>15</v>
      </c>
      <c r="C108">
        <v>5</v>
      </c>
      <c r="D108" t="s">
        <v>11</v>
      </c>
      <c r="E108" s="50">
        <v>1.3</v>
      </c>
      <c r="F108">
        <v>0.67800000000000005</v>
      </c>
      <c r="G108" s="48">
        <f>AVERAGE(F108:F110)</f>
        <v>0.68250000000000011</v>
      </c>
      <c r="H108" s="48">
        <v>1</v>
      </c>
      <c r="I108" s="48">
        <f>(G108*H108)-$I$3</f>
        <v>0.68116666666666681</v>
      </c>
      <c r="J108" s="48"/>
      <c r="K108" s="48"/>
      <c r="L108" s="48"/>
    </row>
    <row r="109" spans="1:12" x14ac:dyDescent="0.3">
      <c r="A109" s="3">
        <v>44750</v>
      </c>
      <c r="B109" s="30">
        <f t="shared" si="4"/>
        <v>15</v>
      </c>
      <c r="C109">
        <v>5</v>
      </c>
      <c r="D109" t="s">
        <v>12</v>
      </c>
      <c r="E109" s="50"/>
      <c r="F109">
        <v>0.68700000000000006</v>
      </c>
      <c r="G109" s="48"/>
      <c r="H109" s="48"/>
      <c r="I109" s="48"/>
      <c r="J109" s="48"/>
      <c r="K109" s="48"/>
      <c r="L109" s="48"/>
    </row>
    <row r="110" spans="1:12" x14ac:dyDescent="0.3">
      <c r="A110" s="3">
        <v>44750</v>
      </c>
      <c r="B110" s="30">
        <f t="shared" si="4"/>
        <v>15</v>
      </c>
      <c r="C110">
        <v>5</v>
      </c>
      <c r="D110" t="s">
        <v>13</v>
      </c>
      <c r="E110" s="50"/>
      <c r="G110" s="48"/>
      <c r="H110" s="48"/>
      <c r="I110" s="48"/>
      <c r="J110" s="48"/>
      <c r="K110" s="48"/>
      <c r="L110" s="48"/>
    </row>
    <row r="111" spans="1:12" x14ac:dyDescent="0.3">
      <c r="A111" s="3">
        <v>44753</v>
      </c>
      <c r="B111" s="30">
        <f t="shared" si="4"/>
        <v>18</v>
      </c>
      <c r="C111">
        <v>0</v>
      </c>
      <c r="D111" t="s">
        <v>11</v>
      </c>
      <c r="E111" s="50">
        <v>0</v>
      </c>
      <c r="F111">
        <v>0</v>
      </c>
      <c r="G111" s="48">
        <f>AVERAGE(F111:F113)</f>
        <v>0</v>
      </c>
      <c r="H111" s="48">
        <v>1</v>
      </c>
      <c r="I111" s="48">
        <f>H111*G111</f>
        <v>0</v>
      </c>
      <c r="J111" s="48">
        <v>0.52190000000000003</v>
      </c>
      <c r="K111" s="48">
        <v>2.5000000000000001E-3</v>
      </c>
      <c r="L111" s="48">
        <v>0.99990000000000001</v>
      </c>
    </row>
    <row r="112" spans="1:12" x14ac:dyDescent="0.3">
      <c r="A112" s="3">
        <v>44753</v>
      </c>
      <c r="B112" s="30">
        <f t="shared" ref="B112:B128" si="5">A112-44735</f>
        <v>18</v>
      </c>
      <c r="C112">
        <v>0</v>
      </c>
      <c r="D112" t="s">
        <v>12</v>
      </c>
      <c r="E112" s="50"/>
      <c r="G112" s="48"/>
      <c r="H112" s="48"/>
      <c r="I112" s="48"/>
      <c r="J112" s="48"/>
      <c r="K112" s="48"/>
      <c r="L112" s="48"/>
    </row>
    <row r="113" spans="1:12" x14ac:dyDescent="0.3">
      <c r="A113" s="3">
        <v>44753</v>
      </c>
      <c r="B113" s="30">
        <f t="shared" si="5"/>
        <v>18</v>
      </c>
      <c r="C113">
        <v>0</v>
      </c>
      <c r="D113" t="s">
        <v>13</v>
      </c>
      <c r="E113" s="50"/>
      <c r="G113" s="48"/>
      <c r="H113" s="48"/>
      <c r="I113" s="48"/>
      <c r="J113" s="48"/>
      <c r="K113" s="48"/>
      <c r="L113" s="48"/>
    </row>
    <row r="114" spans="1:12" x14ac:dyDescent="0.3">
      <c r="A114" s="3">
        <v>44753</v>
      </c>
      <c r="B114" s="30">
        <f t="shared" si="5"/>
        <v>18</v>
      </c>
      <c r="C114">
        <v>1</v>
      </c>
      <c r="D114" t="s">
        <v>11</v>
      </c>
      <c r="E114" s="50">
        <v>0.1</v>
      </c>
      <c r="F114">
        <v>5.5E-2</v>
      </c>
      <c r="G114" s="48">
        <f>AVERAGE(F114:F116)</f>
        <v>5.5E-2</v>
      </c>
      <c r="H114" s="48">
        <v>1</v>
      </c>
      <c r="I114" s="48">
        <f>(G114*H114)-$I$3</f>
        <v>5.3666666666666668E-2</v>
      </c>
      <c r="J114" s="48"/>
      <c r="K114" s="48"/>
      <c r="L114" s="48"/>
    </row>
    <row r="115" spans="1:12" x14ac:dyDescent="0.3">
      <c r="A115" s="3">
        <v>44753</v>
      </c>
      <c r="B115" s="30">
        <f t="shared" si="5"/>
        <v>18</v>
      </c>
      <c r="C115">
        <v>1</v>
      </c>
      <c r="D115" t="s">
        <v>12</v>
      </c>
      <c r="E115" s="50"/>
      <c r="G115" s="48"/>
      <c r="H115" s="48"/>
      <c r="I115" s="48"/>
      <c r="J115" s="48"/>
      <c r="K115" s="48"/>
      <c r="L115" s="48"/>
    </row>
    <row r="116" spans="1:12" x14ac:dyDescent="0.3">
      <c r="A116" s="3">
        <v>44753</v>
      </c>
      <c r="B116" s="30">
        <f t="shared" si="5"/>
        <v>18</v>
      </c>
      <c r="C116">
        <v>1</v>
      </c>
      <c r="D116" t="s">
        <v>13</v>
      </c>
      <c r="E116" s="50"/>
      <c r="G116" s="48"/>
      <c r="H116" s="48"/>
      <c r="I116" s="48"/>
      <c r="J116" s="48"/>
      <c r="K116" s="48"/>
      <c r="L116" s="48"/>
    </row>
    <row r="117" spans="1:12" x14ac:dyDescent="0.3">
      <c r="A117" s="3">
        <v>44753</v>
      </c>
      <c r="B117" s="30">
        <f t="shared" si="5"/>
        <v>18</v>
      </c>
      <c r="C117">
        <v>2</v>
      </c>
      <c r="D117" t="s">
        <v>11</v>
      </c>
      <c r="E117" s="50">
        <v>0.2</v>
      </c>
      <c r="F117">
        <v>0.107</v>
      </c>
      <c r="G117" s="48">
        <f>AVERAGE(F117:F119)</f>
        <v>0.107</v>
      </c>
      <c r="H117" s="48">
        <v>1</v>
      </c>
      <c r="I117" s="48">
        <f>(G117*H117)-$I$3</f>
        <v>0.10566666666666666</v>
      </c>
      <c r="J117" s="48"/>
      <c r="K117" s="48"/>
      <c r="L117" s="48"/>
    </row>
    <row r="118" spans="1:12" x14ac:dyDescent="0.3">
      <c r="A118" s="3">
        <v>44753</v>
      </c>
      <c r="B118" s="30">
        <f t="shared" si="5"/>
        <v>18</v>
      </c>
      <c r="C118">
        <v>2</v>
      </c>
      <c r="D118" t="s">
        <v>12</v>
      </c>
      <c r="E118" s="50"/>
      <c r="G118" s="48"/>
      <c r="H118" s="48"/>
      <c r="I118" s="48"/>
      <c r="J118" s="48"/>
      <c r="K118" s="48"/>
      <c r="L118" s="48"/>
    </row>
    <row r="119" spans="1:12" x14ac:dyDescent="0.3">
      <c r="A119" s="3">
        <v>44753</v>
      </c>
      <c r="B119" s="30">
        <f t="shared" si="5"/>
        <v>18</v>
      </c>
      <c r="C119">
        <v>2</v>
      </c>
      <c r="D119" t="s">
        <v>13</v>
      </c>
      <c r="E119" s="50"/>
      <c r="G119" s="48"/>
      <c r="H119" s="48"/>
      <c r="I119" s="48"/>
      <c r="J119" s="48"/>
      <c r="K119" s="48"/>
      <c r="L119" s="48"/>
    </row>
    <row r="120" spans="1:12" x14ac:dyDescent="0.3">
      <c r="A120" s="3">
        <v>44753</v>
      </c>
      <c r="B120" s="30">
        <f t="shared" si="5"/>
        <v>18</v>
      </c>
      <c r="C120">
        <v>3</v>
      </c>
      <c r="D120" t="s">
        <v>11</v>
      </c>
      <c r="E120" s="50">
        <v>0.5</v>
      </c>
      <c r="F120">
        <v>0.26900000000000002</v>
      </c>
      <c r="G120" s="48">
        <f>AVERAGE(F120:F122)</f>
        <v>0.26900000000000002</v>
      </c>
      <c r="H120" s="48">
        <v>1</v>
      </c>
      <c r="I120" s="48">
        <f>(G120*H120)-$I$3</f>
        <v>0.26766666666666666</v>
      </c>
      <c r="J120" s="48"/>
      <c r="K120" s="48"/>
      <c r="L120" s="48"/>
    </row>
    <row r="121" spans="1:12" x14ac:dyDescent="0.3">
      <c r="A121" s="3">
        <v>44753</v>
      </c>
      <c r="B121" s="30">
        <f t="shared" si="5"/>
        <v>18</v>
      </c>
      <c r="C121">
        <v>3</v>
      </c>
      <c r="D121" t="s">
        <v>12</v>
      </c>
      <c r="E121" s="50"/>
      <c r="G121" s="48"/>
      <c r="H121" s="48"/>
      <c r="I121" s="48"/>
      <c r="J121" s="48"/>
      <c r="K121" s="48"/>
      <c r="L121" s="48"/>
    </row>
    <row r="122" spans="1:12" x14ac:dyDescent="0.3">
      <c r="A122" s="3">
        <v>44753</v>
      </c>
      <c r="B122" s="30">
        <f t="shared" si="5"/>
        <v>18</v>
      </c>
      <c r="C122">
        <v>3</v>
      </c>
      <c r="D122" t="s">
        <v>13</v>
      </c>
      <c r="E122" s="50"/>
      <c r="G122" s="48"/>
      <c r="H122" s="48"/>
      <c r="I122" s="48"/>
      <c r="J122" s="48"/>
      <c r="K122" s="48"/>
      <c r="L122" s="48"/>
    </row>
    <row r="123" spans="1:12" x14ac:dyDescent="0.3">
      <c r="A123" s="3">
        <v>44753</v>
      </c>
      <c r="B123" s="30">
        <f t="shared" si="5"/>
        <v>18</v>
      </c>
      <c r="C123">
        <v>4</v>
      </c>
      <c r="D123" t="s">
        <v>11</v>
      </c>
      <c r="E123" s="50">
        <v>1</v>
      </c>
      <c r="F123">
        <v>0.52300000000000002</v>
      </c>
      <c r="G123" s="48">
        <f>AVERAGE(F123:F125)</f>
        <v>0.52300000000000002</v>
      </c>
      <c r="H123" s="48">
        <v>1</v>
      </c>
      <c r="I123" s="48">
        <f>(G123*H123)-$I$3</f>
        <v>0.52166666666666672</v>
      </c>
      <c r="J123" s="48"/>
      <c r="K123" s="48"/>
      <c r="L123" s="48"/>
    </row>
    <row r="124" spans="1:12" x14ac:dyDescent="0.3">
      <c r="A124" s="3">
        <v>44753</v>
      </c>
      <c r="B124" s="30">
        <f t="shared" si="5"/>
        <v>18</v>
      </c>
      <c r="C124">
        <v>4</v>
      </c>
      <c r="D124" t="s">
        <v>12</v>
      </c>
      <c r="E124" s="50"/>
      <c r="G124" s="48"/>
      <c r="H124" s="48"/>
      <c r="I124" s="48"/>
      <c r="J124" s="48"/>
      <c r="K124" s="48"/>
      <c r="L124" s="48"/>
    </row>
    <row r="125" spans="1:12" x14ac:dyDescent="0.3">
      <c r="A125" s="3">
        <v>44753</v>
      </c>
      <c r="B125" s="30">
        <f t="shared" si="5"/>
        <v>18</v>
      </c>
      <c r="C125">
        <v>4</v>
      </c>
      <c r="D125" t="s">
        <v>13</v>
      </c>
      <c r="E125" s="50"/>
      <c r="G125" s="48"/>
      <c r="H125" s="48"/>
      <c r="I125" s="48"/>
      <c r="J125" s="48"/>
      <c r="K125" s="48"/>
      <c r="L125" s="48"/>
    </row>
    <row r="126" spans="1:12" x14ac:dyDescent="0.3">
      <c r="A126" s="3">
        <v>44753</v>
      </c>
      <c r="B126" s="30">
        <f t="shared" si="5"/>
        <v>18</v>
      </c>
      <c r="C126">
        <v>5</v>
      </c>
      <c r="D126" t="s">
        <v>11</v>
      </c>
      <c r="E126" s="50">
        <v>1.3</v>
      </c>
      <c r="F126">
        <v>0.68300000000000005</v>
      </c>
      <c r="G126" s="48">
        <f>AVERAGE(F126:F128)</f>
        <v>0.68300000000000005</v>
      </c>
      <c r="H126" s="48">
        <v>1</v>
      </c>
      <c r="I126" s="48">
        <f>(G126*H126)-$I$3</f>
        <v>0.68166666666666675</v>
      </c>
      <c r="J126" s="48"/>
      <c r="K126" s="48"/>
      <c r="L126" s="48"/>
    </row>
    <row r="127" spans="1:12" x14ac:dyDescent="0.3">
      <c r="A127" s="3">
        <v>44753</v>
      </c>
      <c r="B127" s="30">
        <f t="shared" si="5"/>
        <v>18</v>
      </c>
      <c r="C127">
        <v>5</v>
      </c>
      <c r="D127" t="s">
        <v>12</v>
      </c>
      <c r="E127" s="50"/>
      <c r="G127" s="48"/>
      <c r="H127" s="48"/>
      <c r="I127" s="48"/>
      <c r="J127" s="48"/>
      <c r="K127" s="48"/>
      <c r="L127" s="48"/>
    </row>
    <row r="128" spans="1:12" x14ac:dyDescent="0.3">
      <c r="A128" s="3">
        <v>44753</v>
      </c>
      <c r="B128" s="30">
        <f t="shared" si="5"/>
        <v>18</v>
      </c>
      <c r="C128">
        <v>5</v>
      </c>
      <c r="D128" t="s">
        <v>13</v>
      </c>
      <c r="E128" s="50"/>
      <c r="G128" s="48"/>
      <c r="H128" s="48"/>
      <c r="I128" s="48"/>
      <c r="J128" s="48"/>
      <c r="K128" s="48"/>
      <c r="L128" s="48"/>
    </row>
  </sheetData>
  <sortState xmlns:xlrd2="http://schemas.microsoft.com/office/spreadsheetml/2017/richdata2" ref="C3:E20">
    <sortCondition ref="C3:C20"/>
  </sortState>
  <mergeCells count="190">
    <mergeCell ref="I111:I113"/>
    <mergeCell ref="J111:J128"/>
    <mergeCell ref="K111:K128"/>
    <mergeCell ref="L111:L128"/>
    <mergeCell ref="E114:E116"/>
    <mergeCell ref="G114:G116"/>
    <mergeCell ref="H114:H116"/>
    <mergeCell ref="I114:I116"/>
    <mergeCell ref="E117:E119"/>
    <mergeCell ref="G117:G119"/>
    <mergeCell ref="H117:H119"/>
    <mergeCell ref="I117:I119"/>
    <mergeCell ref="E120:E122"/>
    <mergeCell ref="G120:G122"/>
    <mergeCell ref="H120:H122"/>
    <mergeCell ref="I120:I122"/>
    <mergeCell ref="E123:E125"/>
    <mergeCell ref="G123:G125"/>
    <mergeCell ref="H123:H125"/>
    <mergeCell ref="I123:I125"/>
    <mergeCell ref="E126:E128"/>
    <mergeCell ref="G126:G128"/>
    <mergeCell ref="H126:H128"/>
    <mergeCell ref="I126:I128"/>
    <mergeCell ref="E111:E113"/>
    <mergeCell ref="G111:G113"/>
    <mergeCell ref="H111:H113"/>
    <mergeCell ref="L93:L110"/>
    <mergeCell ref="E96:E98"/>
    <mergeCell ref="G96:G98"/>
    <mergeCell ref="H96:H98"/>
    <mergeCell ref="I96:I98"/>
    <mergeCell ref="E99:E101"/>
    <mergeCell ref="G99:G101"/>
    <mergeCell ref="H99:H101"/>
    <mergeCell ref="I99:I101"/>
    <mergeCell ref="E102:E104"/>
    <mergeCell ref="G102:G104"/>
    <mergeCell ref="H102:H104"/>
    <mergeCell ref="I102:I104"/>
    <mergeCell ref="E105:E107"/>
    <mergeCell ref="G105:G107"/>
    <mergeCell ref="H105:H107"/>
    <mergeCell ref="I105:I107"/>
    <mergeCell ref="E108:E110"/>
    <mergeCell ref="G108:G110"/>
    <mergeCell ref="H108:H110"/>
    <mergeCell ref="I108:I110"/>
    <mergeCell ref="I75:I77"/>
    <mergeCell ref="J75:J92"/>
    <mergeCell ref="K75:K92"/>
    <mergeCell ref="E93:E95"/>
    <mergeCell ref="G93:G95"/>
    <mergeCell ref="H93:H95"/>
    <mergeCell ref="I93:I95"/>
    <mergeCell ref="J93:J110"/>
    <mergeCell ref="K93:K110"/>
    <mergeCell ref="L75:L92"/>
    <mergeCell ref="E78:E80"/>
    <mergeCell ref="G78:G80"/>
    <mergeCell ref="H78:H80"/>
    <mergeCell ref="I78:I80"/>
    <mergeCell ref="E81:E83"/>
    <mergeCell ref="G81:G83"/>
    <mergeCell ref="H81:H83"/>
    <mergeCell ref="I81:I83"/>
    <mergeCell ref="E84:E86"/>
    <mergeCell ref="G84:G86"/>
    <mergeCell ref="H84:H86"/>
    <mergeCell ref="I84:I86"/>
    <mergeCell ref="E87:E89"/>
    <mergeCell ref="G87:G89"/>
    <mergeCell ref="H87:H89"/>
    <mergeCell ref="I87:I89"/>
    <mergeCell ref="E90:E92"/>
    <mergeCell ref="G90:G92"/>
    <mergeCell ref="H90:H92"/>
    <mergeCell ref="I90:I92"/>
    <mergeCell ref="E75:E77"/>
    <mergeCell ref="G75:G77"/>
    <mergeCell ref="H75:H77"/>
    <mergeCell ref="J57:J74"/>
    <mergeCell ref="K57:K74"/>
    <mergeCell ref="L57:L74"/>
    <mergeCell ref="E69:E71"/>
    <mergeCell ref="G69:G71"/>
    <mergeCell ref="H69:H71"/>
    <mergeCell ref="I69:I71"/>
    <mergeCell ref="E72:E74"/>
    <mergeCell ref="G72:G74"/>
    <mergeCell ref="H72:H74"/>
    <mergeCell ref="I72:I74"/>
    <mergeCell ref="E63:E65"/>
    <mergeCell ref="G63:G65"/>
    <mergeCell ref="H63:H65"/>
    <mergeCell ref="I63:I65"/>
    <mergeCell ref="E66:E68"/>
    <mergeCell ref="G66:G68"/>
    <mergeCell ref="H66:H68"/>
    <mergeCell ref="I66:I68"/>
    <mergeCell ref="E57:E59"/>
    <mergeCell ref="G57:G59"/>
    <mergeCell ref="H57:H59"/>
    <mergeCell ref="I57:I59"/>
    <mergeCell ref="E60:E62"/>
    <mergeCell ref="G60:G62"/>
    <mergeCell ref="H60:H62"/>
    <mergeCell ref="I60:I62"/>
    <mergeCell ref="K39:K56"/>
    <mergeCell ref="L39:L56"/>
    <mergeCell ref="E42:E44"/>
    <mergeCell ref="G42:G44"/>
    <mergeCell ref="H42:H44"/>
    <mergeCell ref="I42:I44"/>
    <mergeCell ref="E45:E47"/>
    <mergeCell ref="G45:G47"/>
    <mergeCell ref="H45:H47"/>
    <mergeCell ref="I45:I47"/>
    <mergeCell ref="E48:E50"/>
    <mergeCell ref="G48:G50"/>
    <mergeCell ref="H48:H50"/>
    <mergeCell ref="I48:I50"/>
    <mergeCell ref="E51:E53"/>
    <mergeCell ref="G51:G53"/>
    <mergeCell ref="E39:E41"/>
    <mergeCell ref="G39:G41"/>
    <mergeCell ref="H39:H41"/>
    <mergeCell ref="I39:I41"/>
    <mergeCell ref="J39:J56"/>
    <mergeCell ref="H51:H53"/>
    <mergeCell ref="I51:I53"/>
    <mergeCell ref="E54:E56"/>
    <mergeCell ref="G54:G56"/>
    <mergeCell ref="H54:H56"/>
    <mergeCell ref="I54:I56"/>
    <mergeCell ref="G15:G17"/>
    <mergeCell ref="I15:I17"/>
    <mergeCell ref="J3:J20"/>
    <mergeCell ref="E18:E20"/>
    <mergeCell ref="E3:E5"/>
    <mergeCell ref="E6:E8"/>
    <mergeCell ref="E9:E11"/>
    <mergeCell ref="E12:E14"/>
    <mergeCell ref="E15:E17"/>
    <mergeCell ref="E21:E23"/>
    <mergeCell ref="G21:G23"/>
    <mergeCell ref="H21:H23"/>
    <mergeCell ref="I21:I23"/>
    <mergeCell ref="J21:J38"/>
    <mergeCell ref="H33:H35"/>
    <mergeCell ref="I33:I35"/>
    <mergeCell ref="E36:E38"/>
    <mergeCell ref="G36:G38"/>
    <mergeCell ref="K3:K20"/>
    <mergeCell ref="L3:L20"/>
    <mergeCell ref="H18:H20"/>
    <mergeCell ref="I18:I20"/>
    <mergeCell ref="J1:L1"/>
    <mergeCell ref="G3:G5"/>
    <mergeCell ref="G6:G8"/>
    <mergeCell ref="G9:G11"/>
    <mergeCell ref="G12:G14"/>
    <mergeCell ref="G18:G20"/>
    <mergeCell ref="H3:H5"/>
    <mergeCell ref="I3:I5"/>
    <mergeCell ref="H6:H8"/>
    <mergeCell ref="I6:I8"/>
    <mergeCell ref="H9:H11"/>
    <mergeCell ref="I9:I11"/>
    <mergeCell ref="H12:H14"/>
    <mergeCell ref="I12:I14"/>
    <mergeCell ref="H15:H17"/>
    <mergeCell ref="H36:H38"/>
    <mergeCell ref="I36:I38"/>
    <mergeCell ref="K21:K38"/>
    <mergeCell ref="L21:L38"/>
    <mergeCell ref="E24:E26"/>
    <mergeCell ref="G24:G26"/>
    <mergeCell ref="H24:H26"/>
    <mergeCell ref="I24:I26"/>
    <mergeCell ref="E27:E29"/>
    <mergeCell ref="G27:G29"/>
    <mergeCell ref="H27:H29"/>
    <mergeCell ref="I27:I29"/>
    <mergeCell ref="E30:E32"/>
    <mergeCell ref="G30:G32"/>
    <mergeCell ref="H30:H32"/>
    <mergeCell ref="I30:I32"/>
    <mergeCell ref="E33:E35"/>
    <mergeCell ref="G33:G3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F280-50BC-4434-9653-5756E2954F31}">
  <sheetPr>
    <pageSetUpPr fitToPage="1"/>
  </sheetPr>
  <dimension ref="A1"/>
  <sheetViews>
    <sheetView tabSelected="1" zoomScale="55" zoomScaleNormal="55" workbookViewId="0">
      <selection activeCell="Y19" sqref="Y19"/>
    </sheetView>
  </sheetViews>
  <sheetFormatPr defaultColWidth="11.5546875" defaultRowHeight="14.4" x14ac:dyDescent="0.3"/>
  <sheetData/>
  <pageMargins left="0.7" right="0.7" top="0.75" bottom="0.75" header="0.3" footer="0.3"/>
  <pageSetup paperSize="9" scale="54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83A9-03AE-4D3F-ABE4-8F8217968213}">
  <dimension ref="A1:P113"/>
  <sheetViews>
    <sheetView workbookViewId="0">
      <selection activeCell="F35" sqref="F35"/>
    </sheetView>
  </sheetViews>
  <sheetFormatPr defaultColWidth="11.5546875" defaultRowHeight="14.4" x14ac:dyDescent="0.3"/>
  <cols>
    <col min="5" max="5" width="13.44140625" bestFit="1" customWidth="1"/>
    <col min="13" max="14" width="10.88671875" customWidth="1"/>
  </cols>
  <sheetData>
    <row r="1" spans="1:16" ht="33.6" customHeight="1" x14ac:dyDescent="0.3">
      <c r="A1" s="25" t="s">
        <v>21</v>
      </c>
      <c r="B1" s="25" t="s">
        <v>0</v>
      </c>
      <c r="C1" s="25" t="s">
        <v>1</v>
      </c>
      <c r="D1" s="25" t="s">
        <v>9</v>
      </c>
      <c r="E1" s="25" t="s">
        <v>2</v>
      </c>
      <c r="F1" s="25" t="s">
        <v>3</v>
      </c>
      <c r="G1" s="39" t="s">
        <v>6</v>
      </c>
      <c r="H1" s="39"/>
      <c r="I1" s="39" t="s">
        <v>4</v>
      </c>
      <c r="J1" s="39"/>
      <c r="K1" s="39" t="s">
        <v>5</v>
      </c>
      <c r="L1" s="39"/>
      <c r="M1" s="39" t="s">
        <v>7</v>
      </c>
      <c r="N1" s="39"/>
      <c r="O1" s="39" t="s">
        <v>8</v>
      </c>
      <c r="P1" s="39"/>
    </row>
    <row r="2" spans="1:16" x14ac:dyDescent="0.3">
      <c r="A2" s="25"/>
      <c r="B2" s="25"/>
      <c r="C2" s="25"/>
      <c r="D2" s="25"/>
      <c r="E2" s="25"/>
      <c r="F2" s="25"/>
      <c r="G2" s="2" t="s">
        <v>60</v>
      </c>
      <c r="H2" s="2" t="s">
        <v>63</v>
      </c>
      <c r="I2" s="2" t="s">
        <v>60</v>
      </c>
      <c r="J2" s="2" t="s">
        <v>63</v>
      </c>
      <c r="K2" s="2" t="s">
        <v>60</v>
      </c>
      <c r="L2" s="2" t="s">
        <v>63</v>
      </c>
      <c r="M2" s="2" t="s">
        <v>60</v>
      </c>
      <c r="N2" s="2" t="s">
        <v>63</v>
      </c>
      <c r="O2" s="2" t="s">
        <v>60</v>
      </c>
      <c r="P2" s="2" t="s">
        <v>63</v>
      </c>
    </row>
    <row r="3" spans="1:16" x14ac:dyDescent="0.3">
      <c r="A3" t="str">
        <f>'Growth Parameters'!A2</f>
        <v>UQLight04</v>
      </c>
      <c r="B3" s="3">
        <f>'Growth Parameters'!B2</f>
        <v>44735</v>
      </c>
      <c r="C3">
        <f>'Growth Parameters'!C2</f>
        <v>0</v>
      </c>
      <c r="D3" t="str">
        <f>'Growth Parameters'!D2</f>
        <v>Acclimatisation 1</v>
      </c>
      <c r="E3" t="str">
        <f>'Growth Parameters'!E2</f>
        <v>-</v>
      </c>
      <c r="F3" t="str">
        <f>'Growth Parameters'!F2</f>
        <v>A</v>
      </c>
      <c r="G3">
        <f>AVERAGE('Growth Parameters'!G2:G5)</f>
        <v>3.8325000000000005</v>
      </c>
      <c r="H3">
        <f>STDEV('Growth Parameters'!G2:G5)</f>
        <v>0.29398922882763362</v>
      </c>
      <c r="I3">
        <f>AVERAGE('Growth Parameters'!H2:H5)</f>
        <v>1.9975E-2</v>
      </c>
      <c r="J3">
        <f>STDEV('Growth Parameters'!H2:H5)</f>
        <v>4.2177205534111263E-3</v>
      </c>
      <c r="K3" t="e">
        <f>AVERAGE('Growth Parameters'!I2:I5)</f>
        <v>#DIV/0!</v>
      </c>
      <c r="L3" t="e">
        <f>STDEV('Growth Parameters'!I2:I5)</f>
        <v>#DIV/0!</v>
      </c>
      <c r="M3">
        <f>AVERAGE('Growth Parameters'!J2:J5)</f>
        <v>196.23931130086902</v>
      </c>
      <c r="N3">
        <f>STDEV('Growth Parameters'!J2:J5)</f>
        <v>28.473539730110328</v>
      </c>
      <c r="O3" t="e">
        <f>AVERAGE('Growth Parameters'!K2:K5)</f>
        <v>#DIV/0!</v>
      </c>
      <c r="P3" t="e">
        <f>STDEV('Growth Parameters'!K2:K5)</f>
        <v>#DIV/0!</v>
      </c>
    </row>
    <row r="4" spans="1:16" x14ac:dyDescent="0.3">
      <c r="A4" t="str">
        <f>'Growth Parameters'!A6</f>
        <v>UQLight04</v>
      </c>
      <c r="B4" s="3">
        <f>'Growth Parameters'!B6</f>
        <v>44739</v>
      </c>
      <c r="C4">
        <f>'Growth Parameters'!C6</f>
        <v>4</v>
      </c>
      <c r="D4" t="str">
        <f>'Growth Parameters'!D6</f>
        <v>Acclimatisation 2</v>
      </c>
      <c r="E4" t="str">
        <f>'Growth Parameters'!E6</f>
        <v>-</v>
      </c>
      <c r="F4" t="str">
        <f>'Growth Parameters'!F6</f>
        <v>A</v>
      </c>
      <c r="G4">
        <f>AVERAGE('Growth Parameters'!G6:G9)</f>
        <v>5.6814999999999998</v>
      </c>
      <c r="H4">
        <f>STDEV('Growth Parameters'!G6:G9)</f>
        <v>0.39396488845242705</v>
      </c>
      <c r="I4">
        <f>AVERAGE('Growth Parameters'!H6:H9)</f>
        <v>4.2550000000000004E-2</v>
      </c>
      <c r="J4">
        <f>STDEV('Growth Parameters'!H6:H9)</f>
        <v>6.7830671528446244E-3</v>
      </c>
      <c r="K4" t="e">
        <f>AVERAGE('Growth Parameters'!I6:I9)</f>
        <v>#DIV/0!</v>
      </c>
      <c r="L4" t="e">
        <f>STDEV('Growth Parameters'!I6:I9)</f>
        <v>#DIV/0!</v>
      </c>
      <c r="M4">
        <f>AVERAGE('Growth Parameters'!J6:J9)</f>
        <v>136.78885720201794</v>
      </c>
      <c r="N4">
        <f>STDEV('Growth Parameters'!J6:J9)</f>
        <v>28.575256726026076</v>
      </c>
      <c r="O4">
        <f>AVERAGE('Growth Parameters'!K6:K9)</f>
        <v>18.635302689757573</v>
      </c>
      <c r="P4">
        <f>STDEV('Growth Parameters'!K6:K9)</f>
        <v>4.3697378483588105</v>
      </c>
    </row>
    <row r="5" spans="1:16" x14ac:dyDescent="0.3">
      <c r="A5" t="str">
        <f>'Growth Parameters'!A10</f>
        <v>UQLight04</v>
      </c>
      <c r="B5" s="3">
        <f>'Growth Parameters'!B10</f>
        <v>44741</v>
      </c>
      <c r="C5">
        <f>'Growth Parameters'!C10</f>
        <v>6</v>
      </c>
      <c r="D5" t="str">
        <f>'Growth Parameters'!D10</f>
        <v>Colonisation</v>
      </c>
      <c r="E5" t="str">
        <f>'Growth Parameters'!E10</f>
        <v>High Light</v>
      </c>
      <c r="F5" t="str">
        <f>'Growth Parameters'!F10</f>
        <v>A</v>
      </c>
      <c r="G5">
        <f>AVERAGE('Growth Parameters'!G10:G13)</f>
        <v>7.0022499999999992</v>
      </c>
      <c r="H5">
        <f>STDEV('Growth Parameters'!G10:G13)</f>
        <v>0.92558643572602706</v>
      </c>
      <c r="I5">
        <f>AVERAGE('Growth Parameters'!H10:H13)</f>
        <v>6.4424999999999996E-2</v>
      </c>
      <c r="J5">
        <f>STDEV('Growth Parameters'!H10:H13)</f>
        <v>5.099918299999194E-3</v>
      </c>
      <c r="K5" t="e">
        <f>AVERAGE('Growth Parameters'!I10:I13)</f>
        <v>#DIV/0!</v>
      </c>
      <c r="L5" t="e">
        <f>STDEV('Growth Parameters'!I10:I13)</f>
        <v>#DIV/0!</v>
      </c>
      <c r="M5">
        <f>AVERAGE('Growth Parameters'!J10:J13)</f>
        <v>108.35354016558344</v>
      </c>
      <c r="N5">
        <f>STDEV('Growth Parameters'!J10:J13)</f>
        <v>5.9498653080565438</v>
      </c>
      <c r="O5">
        <f>AVERAGE('Growth Parameters'!K10:K13)</f>
        <v>20.624040961940434</v>
      </c>
      <c r="P5">
        <f>STDEV('Growth Parameters'!K10:K13)</f>
        <v>3.9475702083720376</v>
      </c>
    </row>
    <row r="6" spans="1:16" x14ac:dyDescent="0.3">
      <c r="A6" t="str">
        <f>'Growth Parameters'!A14</f>
        <v>UQLight04</v>
      </c>
      <c r="B6" s="3">
        <f>'Growth Parameters'!B14</f>
        <v>44741</v>
      </c>
      <c r="C6">
        <f>'Growth Parameters'!C14</f>
        <v>6</v>
      </c>
      <c r="D6" t="str">
        <f>'Growth Parameters'!D14</f>
        <v>Colonisation</v>
      </c>
      <c r="E6" t="str">
        <f>'Growth Parameters'!E14</f>
        <v>Medium Light</v>
      </c>
      <c r="F6" t="str">
        <f>'Growth Parameters'!F14</f>
        <v>A</v>
      </c>
      <c r="G6">
        <f>AVERAGE('Growth Parameters'!G14:G17)</f>
        <v>7.7407500000000002</v>
      </c>
      <c r="H6">
        <f>STDEV('Growth Parameters'!G14:G17)</f>
        <v>1.9229443353011171</v>
      </c>
      <c r="I6">
        <f>AVERAGE('Growth Parameters'!H14:H17)</f>
        <v>7.292499999999999E-2</v>
      </c>
      <c r="J6">
        <f>STDEV('Growth Parameters'!H14:H17)</f>
        <v>5.7846780377130763E-3</v>
      </c>
      <c r="K6" t="e">
        <f>AVERAGE('Growth Parameters'!I14:I17)</f>
        <v>#DIV/0!</v>
      </c>
      <c r="L6" t="e">
        <f>STDEV('Growth Parameters'!I14:I17)</f>
        <v>#DIV/0!</v>
      </c>
      <c r="M6">
        <f>AVERAGE('Growth Parameters'!J14:J17)</f>
        <v>108.10355259569523</v>
      </c>
      <c r="N6">
        <f>STDEV('Growth Parameters'!J14:J17)</f>
        <v>34.654687567141167</v>
      </c>
      <c r="O6">
        <f>AVERAGE('Growth Parameters'!K14:K17)</f>
        <v>26.8181208122583</v>
      </c>
      <c r="P6">
        <f>STDEV('Growth Parameters'!K14:K17)</f>
        <v>4.0031079580918689</v>
      </c>
    </row>
    <row r="7" spans="1:16" x14ac:dyDescent="0.3">
      <c r="A7" t="str">
        <f>'Growth Parameters'!A18</f>
        <v>UQLight04</v>
      </c>
      <c r="B7" s="3">
        <f>'Growth Parameters'!B18</f>
        <v>44741</v>
      </c>
      <c r="C7">
        <f>'Growth Parameters'!C18</f>
        <v>6</v>
      </c>
      <c r="D7" t="str">
        <f>'Growth Parameters'!D18</f>
        <v>Colonisation</v>
      </c>
      <c r="E7" t="str">
        <f>'Growth Parameters'!E18</f>
        <v>Low Light</v>
      </c>
      <c r="F7" t="str">
        <f>'Growth Parameters'!F18</f>
        <v>A</v>
      </c>
      <c r="G7">
        <f>AVERAGE('Growth Parameters'!G18:G21)</f>
        <v>7.5724999999999998</v>
      </c>
      <c r="H7">
        <f>STDEV('Growth Parameters'!G18:G21)</f>
        <v>1.063090620157412</v>
      </c>
      <c r="I7">
        <f>AVERAGE('Growth Parameters'!H18:H21)</f>
        <v>6.9025000000000003E-2</v>
      </c>
      <c r="J7">
        <f>STDEV('Growth Parameters'!H18:H21)</f>
        <v>1.0340011283036977E-2</v>
      </c>
      <c r="K7" t="e">
        <f>AVERAGE('Growth Parameters'!I18:I21)</f>
        <v>#DIV/0!</v>
      </c>
      <c r="L7" t="e">
        <f>STDEV('Growth Parameters'!I18:I21)</f>
        <v>#DIV/0!</v>
      </c>
      <c r="M7">
        <f>AVERAGE('Growth Parameters'!J18:J21)</f>
        <v>110.97111392503646</v>
      </c>
      <c r="N7">
        <f>STDEV('Growth Parameters'!J18:J21)</f>
        <v>17.715573238543502</v>
      </c>
      <c r="O7">
        <f>AVERAGE('Growth Parameters'!K18:K21)</f>
        <v>23.728569466022297</v>
      </c>
      <c r="P7">
        <f>STDEV('Growth Parameters'!K18:K21)</f>
        <v>8.0179566673921716</v>
      </c>
    </row>
    <row r="8" spans="1:16" x14ac:dyDescent="0.3">
      <c r="A8" t="str">
        <f>'Growth Parameters'!A22</f>
        <v>UQLight04</v>
      </c>
      <c r="B8" s="3">
        <f>'Growth Parameters'!B22</f>
        <v>44741</v>
      </c>
      <c r="C8">
        <f>'Growth Parameters'!C22</f>
        <v>6</v>
      </c>
      <c r="D8" t="str">
        <f>'Growth Parameters'!D22</f>
        <v>Colonisation</v>
      </c>
      <c r="E8" t="str">
        <f>'Growth Parameters'!E22</f>
        <v>Darkness</v>
      </c>
      <c r="F8" t="str">
        <f>'Growth Parameters'!F22</f>
        <v>A</v>
      </c>
      <c r="G8">
        <f>AVERAGE('Growth Parameters'!G22:G25)</f>
        <v>6.7490000000000006</v>
      </c>
      <c r="H8">
        <f>STDEV('Growth Parameters'!G22:G25)</f>
        <v>1.2179482747637536</v>
      </c>
      <c r="I8">
        <f>AVERAGE('Growth Parameters'!H22:H25)</f>
        <v>5.6799999999999996E-2</v>
      </c>
      <c r="J8">
        <f>STDEV('Growth Parameters'!H22:H25)</f>
        <v>9.2184597411932179E-3</v>
      </c>
      <c r="K8" t="e">
        <f>AVERAGE('Growth Parameters'!I22:I25)</f>
        <v>#DIV/0!</v>
      </c>
      <c r="L8" t="e">
        <f>STDEV('Growth Parameters'!I22:I25)</f>
        <v>#DIV/0!</v>
      </c>
      <c r="M8">
        <f>AVERAGE('Growth Parameters'!J22:J25)</f>
        <v>119.04236878193021</v>
      </c>
      <c r="N8">
        <f>STDEV('Growth Parameters'!J22:J25)</f>
        <v>10.854992604908681</v>
      </c>
      <c r="O8">
        <f>AVERAGE('Growth Parameters'!K22:K25)</f>
        <v>13.956937441311791</v>
      </c>
      <c r="P8">
        <f>STDEV('Growth Parameters'!K22:K25)</f>
        <v>8.0157969507577995</v>
      </c>
    </row>
    <row r="9" spans="1:16" x14ac:dyDescent="0.3">
      <c r="A9" t="str">
        <f>'Growth Parameters'!A26</f>
        <v>UQLight04</v>
      </c>
      <c r="B9" s="3">
        <f>'Growth Parameters'!B26</f>
        <v>44743</v>
      </c>
      <c r="C9">
        <f>'Growth Parameters'!C26</f>
        <v>8</v>
      </c>
      <c r="D9" t="str">
        <f>'Growth Parameters'!D26</f>
        <v>Growth</v>
      </c>
      <c r="E9" t="str">
        <f>'Growth Parameters'!E26</f>
        <v>High Light</v>
      </c>
      <c r="F9" t="str">
        <f>'Growth Parameters'!F26</f>
        <v>A</v>
      </c>
      <c r="G9">
        <f>AVERAGE('Growth Parameters'!G26:G29)</f>
        <v>11.960750000000001</v>
      </c>
      <c r="H9">
        <f>STDEV('Growth Parameters'!G26:G29)</f>
        <v>1.6263065260480996</v>
      </c>
      <c r="I9">
        <f>AVERAGE('Growth Parameters'!H26:H29)</f>
        <v>9.7700000000000009E-2</v>
      </c>
      <c r="J9">
        <f>STDEV('Growth Parameters'!H26:H29)</f>
        <v>4.6475800154489018E-3</v>
      </c>
      <c r="K9" t="e">
        <f>AVERAGE('Growth Parameters'!I26:I29)</f>
        <v>#DIV/0!</v>
      </c>
      <c r="L9" t="e">
        <f>STDEV('Growth Parameters'!I26:I29)</f>
        <v>#DIV/0!</v>
      </c>
      <c r="M9">
        <f>AVERAGE('Growth Parameters'!J26:J29)</f>
        <v>122.05582032806232</v>
      </c>
      <c r="N9">
        <f>STDEV('Growth Parameters'!J26:J29)</f>
        <v>11.915815170242475</v>
      </c>
      <c r="O9">
        <f>AVERAGE('Growth Parameters'!K26:K29)</f>
        <v>20.893608984743651</v>
      </c>
      <c r="P9">
        <f>STDEV('Growth Parameters'!K26:K29)</f>
        <v>4.854399982510035</v>
      </c>
    </row>
    <row r="10" spans="1:16" x14ac:dyDescent="0.3">
      <c r="A10" t="str">
        <f>'Growth Parameters'!A30</f>
        <v>UQLight04</v>
      </c>
      <c r="B10" s="3">
        <f>'Growth Parameters'!B30</f>
        <v>44743</v>
      </c>
      <c r="C10">
        <f>'Growth Parameters'!C30</f>
        <v>8</v>
      </c>
      <c r="D10" t="str">
        <f>'Growth Parameters'!D30</f>
        <v>Growth</v>
      </c>
      <c r="E10" t="str">
        <f>'Growth Parameters'!E30</f>
        <v>Medium Light</v>
      </c>
      <c r="F10" t="str">
        <f>'Growth Parameters'!F30</f>
        <v>A</v>
      </c>
      <c r="G10">
        <f>AVERAGE('Growth Parameters'!G30:G33)</f>
        <v>11.462250000000001</v>
      </c>
      <c r="H10">
        <f>STDEV('Growth Parameters'!G30:G33)</f>
        <v>2.267821770627783</v>
      </c>
      <c r="I10">
        <f>AVERAGE('Growth Parameters'!H30:H33)</f>
        <v>9.5200000000000007E-2</v>
      </c>
      <c r="J10">
        <f>STDEV('Growth Parameters'!H30:H33)</f>
        <v>1.1200892821556617E-2</v>
      </c>
      <c r="K10" t="e">
        <f>AVERAGE('Growth Parameters'!I30:I33)</f>
        <v>#DIV/0!</v>
      </c>
      <c r="L10" t="e">
        <f>STDEV('Growth Parameters'!I30:I33)</f>
        <v>#DIV/0!</v>
      </c>
      <c r="M10">
        <f>AVERAGE('Growth Parameters'!J30:J33)</f>
        <v>119.74228882728207</v>
      </c>
      <c r="N10">
        <f>STDEV('Growth Parameters'!J30:J33)</f>
        <v>11.391500725419228</v>
      </c>
      <c r="O10">
        <f>AVERAGE('Growth Parameters'!K30:K33)</f>
        <v>13.202907347284889</v>
      </c>
      <c r="P10">
        <f>STDEV('Growth Parameters'!K30:K33)</f>
        <v>4.0857592403632834</v>
      </c>
    </row>
    <row r="11" spans="1:16" x14ac:dyDescent="0.3">
      <c r="A11" t="str">
        <f>'Growth Parameters'!A34</f>
        <v>UQLight04</v>
      </c>
      <c r="B11" s="3">
        <f>'Growth Parameters'!B34</f>
        <v>44743</v>
      </c>
      <c r="C11">
        <f>'Growth Parameters'!C34</f>
        <v>8</v>
      </c>
      <c r="D11" t="str">
        <f>'Growth Parameters'!D34</f>
        <v>Growth</v>
      </c>
      <c r="E11" t="str">
        <f>'Growth Parameters'!E34</f>
        <v>Low Light</v>
      </c>
      <c r="F11" t="str">
        <f>'Growth Parameters'!F34</f>
        <v>A</v>
      </c>
      <c r="G11">
        <f>AVERAGE('Growth Parameters'!G34:G37)</f>
        <v>11.136749999999999</v>
      </c>
      <c r="H11">
        <f>STDEV('Growth Parameters'!G34:G37)</f>
        <v>1.7899622668276216</v>
      </c>
      <c r="I11">
        <f>AVERAGE('Growth Parameters'!H34:H37)</f>
        <v>9.2374999999999999E-2</v>
      </c>
      <c r="J11">
        <f>STDEV('Growth Parameters'!H34:H37)</f>
        <v>6.8830104847612573E-3</v>
      </c>
      <c r="K11" t="e">
        <f>AVERAGE('Growth Parameters'!I34:I37)</f>
        <v>#DIV/0!</v>
      </c>
      <c r="L11" t="e">
        <f>STDEV('Growth Parameters'!I34:I37)</f>
        <v>#DIV/0!</v>
      </c>
      <c r="M11">
        <f>AVERAGE('Growth Parameters'!J34:J37)</f>
        <v>120.0455801585361</v>
      </c>
      <c r="N11">
        <f>STDEV('Growth Parameters'!J34:J37)</f>
        <v>12.490766204488761</v>
      </c>
      <c r="O11">
        <f>AVERAGE('Growth Parameters'!K34:K37)</f>
        <v>14.920885009559557</v>
      </c>
      <c r="P11">
        <f>STDEV('Growth Parameters'!K34:K37)</f>
        <v>4.7468975688691621</v>
      </c>
    </row>
    <row r="12" spans="1:16" x14ac:dyDescent="0.3">
      <c r="A12" t="str">
        <f>'Growth Parameters'!A38</f>
        <v>UQLight04</v>
      </c>
      <c r="B12" s="3">
        <f>'Growth Parameters'!B38</f>
        <v>44743</v>
      </c>
      <c r="C12">
        <f>'Growth Parameters'!C38</f>
        <v>8</v>
      </c>
      <c r="D12" t="str">
        <f>'Growth Parameters'!D38</f>
        <v>Growth</v>
      </c>
      <c r="E12" t="str">
        <f>'Growth Parameters'!E38</f>
        <v>Darkness</v>
      </c>
      <c r="F12" t="str">
        <f>'Growth Parameters'!F38</f>
        <v>A</v>
      </c>
      <c r="G12">
        <f>AVERAGE('Growth Parameters'!G38:G41)</f>
        <v>6.7297500000000001</v>
      </c>
      <c r="H12">
        <f>STDEV('Growth Parameters'!G38:G41)</f>
        <v>0.78052306179894526</v>
      </c>
      <c r="I12">
        <f>AVERAGE('Growth Parameters'!H38:H41)</f>
        <v>6.3049999999999995E-2</v>
      </c>
      <c r="J12">
        <f>STDEV('Growth Parameters'!H38:H41)</f>
        <v>1.1192110316349353E-2</v>
      </c>
      <c r="K12" t="e">
        <f>AVERAGE('Growth Parameters'!I38:I41)</f>
        <v>#DIV/0!</v>
      </c>
      <c r="L12" t="e">
        <f>STDEV('Growth Parameters'!I38:I41)</f>
        <v>#DIV/0!</v>
      </c>
      <c r="M12">
        <f>AVERAGE('Growth Parameters'!J38:J41)</f>
        <v>107.9241580139871</v>
      </c>
      <c r="N12">
        <f>STDEV('Growth Parameters'!J38:J41)</f>
        <v>9.7480149095815527</v>
      </c>
      <c r="O12">
        <f>AVERAGE('Growth Parameters'!K38:K41)</f>
        <v>5.0385073010998136</v>
      </c>
      <c r="P12">
        <f>STDEV('Growth Parameters'!K38:K41)</f>
        <v>5.5634672571084591</v>
      </c>
    </row>
    <row r="13" spans="1:16" x14ac:dyDescent="0.3">
      <c r="A13" t="str">
        <f>'Growth Parameters'!A42</f>
        <v>UQLight04</v>
      </c>
      <c r="B13" s="3">
        <f>'Growth Parameters'!B42</f>
        <v>44746</v>
      </c>
      <c r="C13">
        <f>'Growth Parameters'!C42</f>
        <v>11</v>
      </c>
      <c r="D13" t="str">
        <f>'Growth Parameters'!D42</f>
        <v>Growth</v>
      </c>
      <c r="E13" t="str">
        <f>'Growth Parameters'!E42</f>
        <v>High Light</v>
      </c>
      <c r="F13" t="str">
        <f>'Growth Parameters'!F42</f>
        <v>A</v>
      </c>
      <c r="G13">
        <f>AVERAGE('Growth Parameters'!G42:G45)</f>
        <v>15.166</v>
      </c>
      <c r="H13">
        <f>STDEV('Growth Parameters'!G42:G45)</f>
        <v>1.7562668741775365</v>
      </c>
      <c r="I13">
        <f>AVERAGE('Growth Parameters'!H42:H45)</f>
        <v>0.12997499999999998</v>
      </c>
      <c r="J13">
        <f>STDEV('Growth Parameters'!H42:H45)</f>
        <v>1.079147039718561E-2</v>
      </c>
      <c r="K13" t="e">
        <f>AVERAGE('Growth Parameters'!I42:I45)</f>
        <v>#DIV/0!</v>
      </c>
      <c r="L13" t="e">
        <f>STDEV('Growth Parameters'!I42:I45)</f>
        <v>#DIV/0!</v>
      </c>
      <c r="M13">
        <f>AVERAGE('Growth Parameters'!J42:J45)</f>
        <v>117.01725465937513</v>
      </c>
      <c r="N13">
        <f>STDEV('Growth Parameters'!J42:J45)</f>
        <v>13.58212864704457</v>
      </c>
      <c r="O13">
        <f>AVERAGE('Growth Parameters'!K42:K45)</f>
        <v>9.4559392982220327</v>
      </c>
      <c r="P13">
        <f>STDEV('Growth Parameters'!K42:K45)</f>
        <v>3.5686083783442912</v>
      </c>
    </row>
    <row r="14" spans="1:16" x14ac:dyDescent="0.3">
      <c r="A14" t="str">
        <f>'Growth Parameters'!A46</f>
        <v>UQLight04</v>
      </c>
      <c r="B14" s="3">
        <f>'Growth Parameters'!B46</f>
        <v>44746</v>
      </c>
      <c r="C14">
        <f>'Growth Parameters'!C46</f>
        <v>11</v>
      </c>
      <c r="D14" t="str">
        <f>'Growth Parameters'!D46</f>
        <v>Growth</v>
      </c>
      <c r="E14" t="str">
        <f>'Growth Parameters'!E46</f>
        <v>Medium Light</v>
      </c>
      <c r="F14" t="str">
        <f>'Growth Parameters'!F46</f>
        <v>A</v>
      </c>
      <c r="G14">
        <f>AVERAGE('Growth Parameters'!G46:G49)</f>
        <v>17.80275</v>
      </c>
      <c r="H14">
        <f>STDEV('Growth Parameters'!G46:G49)</f>
        <v>3.4706344640905944</v>
      </c>
      <c r="I14">
        <f>AVERAGE('Growth Parameters'!H46:H49)</f>
        <v>0.16297500000000001</v>
      </c>
      <c r="J14">
        <f>STDEV('Growth Parameters'!H46:H49)</f>
        <v>2.3019756007974145E-2</v>
      </c>
      <c r="K14" t="e">
        <f>AVERAGE('Growth Parameters'!I46:I49)</f>
        <v>#DIV/0!</v>
      </c>
      <c r="L14" t="e">
        <f>STDEV('Growth Parameters'!I46:I49)</f>
        <v>#DIV/0!</v>
      </c>
      <c r="M14">
        <f>AVERAGE('Growth Parameters'!J46:J49)</f>
        <v>108.69500995003129</v>
      </c>
      <c r="N14">
        <f>STDEV('Growth Parameters'!J46:J49)</f>
        <v>7.0463626556512633</v>
      </c>
      <c r="O14">
        <f>AVERAGE('Growth Parameters'!K46:K49)</f>
        <v>17.835321398271077</v>
      </c>
      <c r="P14">
        <f>STDEV('Growth Parameters'!K46:K49)</f>
        <v>7.695549877202172</v>
      </c>
    </row>
    <row r="15" spans="1:16" x14ac:dyDescent="0.3">
      <c r="A15" t="str">
        <f>'Growth Parameters'!A50</f>
        <v>UQLight04</v>
      </c>
      <c r="B15" s="3">
        <f>'Growth Parameters'!B50</f>
        <v>44746</v>
      </c>
      <c r="C15">
        <f>'Growth Parameters'!C50</f>
        <v>11</v>
      </c>
      <c r="D15" t="str">
        <f>'Growth Parameters'!D50</f>
        <v>Growth</v>
      </c>
      <c r="E15" t="str">
        <f>'Growth Parameters'!E50</f>
        <v>Low Light</v>
      </c>
      <c r="F15" t="str">
        <f>'Growth Parameters'!F50</f>
        <v>A</v>
      </c>
      <c r="G15">
        <f>AVERAGE('Growth Parameters'!G50:G53)</f>
        <v>16.052</v>
      </c>
      <c r="H15">
        <f>STDEV('Growth Parameters'!G50:G53)</f>
        <v>2.9706613180681991</v>
      </c>
      <c r="I15">
        <f>AVERAGE('Growth Parameters'!H50:H53)</f>
        <v>0.140125</v>
      </c>
      <c r="J15">
        <f>STDEV('Growth Parameters'!H50:H53)</f>
        <v>1.6681801461472912E-2</v>
      </c>
      <c r="K15" t="e">
        <f>AVERAGE('Growth Parameters'!I50:I53)</f>
        <v>#DIV/0!</v>
      </c>
      <c r="L15" t="e">
        <f>STDEV('Growth Parameters'!I50:I53)</f>
        <v>#DIV/0!</v>
      </c>
      <c r="M15">
        <f>AVERAGE('Growth Parameters'!J50:J53)</f>
        <v>114.21378199694549</v>
      </c>
      <c r="N15">
        <f>STDEV('Growth Parameters'!J50:J53)</f>
        <v>14.660534777656871</v>
      </c>
      <c r="O15">
        <f>AVERAGE('Growth Parameters'!K50:K53)</f>
        <v>13.777001845898486</v>
      </c>
      <c r="P15">
        <f>STDEV('Growth Parameters'!K50:K53)</f>
        <v>6.1491802359245016</v>
      </c>
    </row>
    <row r="16" spans="1:16" x14ac:dyDescent="0.3">
      <c r="A16" t="str">
        <f>'Growth Parameters'!A54</f>
        <v>UQLight04</v>
      </c>
      <c r="B16" s="3">
        <f>'Growth Parameters'!B54</f>
        <v>44746</v>
      </c>
      <c r="C16">
        <f>'Growth Parameters'!C54</f>
        <v>11</v>
      </c>
      <c r="D16" t="str">
        <f>'Growth Parameters'!D54</f>
        <v>Growth</v>
      </c>
      <c r="E16" t="str">
        <f>'Growth Parameters'!E54</f>
        <v>Darkness</v>
      </c>
      <c r="F16" t="str">
        <f>'Growth Parameters'!F54</f>
        <v>A</v>
      </c>
      <c r="G16">
        <f>AVERAGE('Growth Parameters'!G54:G57)</f>
        <v>7.04575</v>
      </c>
      <c r="H16">
        <f>STDEV('Growth Parameters'!G54:G57)</f>
        <v>0.86222401381543423</v>
      </c>
      <c r="I16">
        <f>AVERAGE('Growth Parameters'!H54:H57)</f>
        <v>6.8500000000000005E-2</v>
      </c>
      <c r="J16">
        <f>STDEV('Growth Parameters'!H54:H57)</f>
        <v>9.9310959448927361E-3</v>
      </c>
      <c r="K16" t="e">
        <f>AVERAGE('Growth Parameters'!I54:I57)</f>
        <v>#DIV/0!</v>
      </c>
      <c r="L16" t="e">
        <f>STDEV('Growth Parameters'!I54:I57)</f>
        <v>#DIV/0!</v>
      </c>
      <c r="M16">
        <f>AVERAGE('Growth Parameters'!J54:J57)</f>
        <v>103.36812561797416</v>
      </c>
      <c r="N16">
        <f>STDEV('Growth Parameters'!J54:J57)</f>
        <v>8.2459761778200136</v>
      </c>
      <c r="O16">
        <f>AVERAGE('Growth Parameters'!K54:K57)</f>
        <v>2.9349121745788591</v>
      </c>
      <c r="P16">
        <f>STDEV('Growth Parameters'!K54:K57)</f>
        <v>3.0154219084261156</v>
      </c>
    </row>
    <row r="17" spans="1:16" x14ac:dyDescent="0.3">
      <c r="A17" t="str">
        <f>'Growth Parameters'!A58</f>
        <v>UQLight04</v>
      </c>
      <c r="B17" s="3">
        <f>'Growth Parameters'!B58</f>
        <v>44748</v>
      </c>
      <c r="C17">
        <f>'Growth Parameters'!C58</f>
        <v>13</v>
      </c>
      <c r="D17" t="str">
        <f>'Growth Parameters'!D58</f>
        <v>Growth</v>
      </c>
      <c r="E17" t="str">
        <f>'Growth Parameters'!E58</f>
        <v>High Light</v>
      </c>
      <c r="F17" t="str">
        <f>'Growth Parameters'!F58</f>
        <v>A</v>
      </c>
      <c r="G17">
        <f>AVERAGE('Growth Parameters'!G58:G61)</f>
        <v>18.02075</v>
      </c>
      <c r="H17">
        <f>STDEV('Growth Parameters'!G58:G61)</f>
        <v>2.0998011612214009</v>
      </c>
      <c r="I17">
        <f>AVERAGE('Growth Parameters'!H58:H61)</f>
        <v>0.16247500000000001</v>
      </c>
      <c r="J17">
        <f>STDEV('Growth Parameters'!H58:H61)</f>
        <v>1.7777771701387845E-2</v>
      </c>
      <c r="K17" t="e">
        <f>AVERAGE('Growth Parameters'!I58:I61)</f>
        <v>#DIV/0!</v>
      </c>
      <c r="L17" t="e">
        <f>STDEV('Growth Parameters'!I58:I61)</f>
        <v>#DIV/0!</v>
      </c>
      <c r="M17">
        <f>AVERAGE('Growth Parameters'!J58:J61)</f>
        <v>111.20074491184401</v>
      </c>
      <c r="N17">
        <f>STDEV('Growth Parameters'!J58:J61)</f>
        <v>9.7200260029465113</v>
      </c>
      <c r="O17">
        <f>AVERAGE('Growth Parameters'!K58:K61)</f>
        <v>11.065240107760829</v>
      </c>
      <c r="P17">
        <f>STDEV('Growth Parameters'!K58:K61)</f>
        <v>9.5377501033954282</v>
      </c>
    </row>
    <row r="18" spans="1:16" x14ac:dyDescent="0.3">
      <c r="A18" t="str">
        <f>'Growth Parameters'!A62</f>
        <v>UQLight04</v>
      </c>
      <c r="B18" s="3">
        <f>'Growth Parameters'!B62</f>
        <v>44748</v>
      </c>
      <c r="C18">
        <f>'Growth Parameters'!C62</f>
        <v>13</v>
      </c>
      <c r="D18" t="str">
        <f>'Growth Parameters'!D62</f>
        <v>Growth</v>
      </c>
      <c r="E18" t="str">
        <f>'Growth Parameters'!E62</f>
        <v>Medium Light</v>
      </c>
      <c r="F18" t="str">
        <f>'Growth Parameters'!F62</f>
        <v>A</v>
      </c>
      <c r="G18">
        <f>AVERAGE('Growth Parameters'!G62:G65)</f>
        <v>19.234000000000002</v>
      </c>
      <c r="H18">
        <f>STDEV('Growth Parameters'!G62:G65)</f>
        <v>2.2111999758803655</v>
      </c>
      <c r="I18">
        <f>AVERAGE('Growth Parameters'!H62:H65)</f>
        <v>0.174175</v>
      </c>
      <c r="J18">
        <f>STDEV('Growth Parameters'!H62:H65)</f>
        <v>1.3784864888710372E-2</v>
      </c>
      <c r="K18" t="e">
        <f>AVERAGE('Growth Parameters'!I62:I65)</f>
        <v>#DIV/0!</v>
      </c>
      <c r="L18" t="e">
        <f>STDEV('Growth Parameters'!I62:I65)</f>
        <v>#DIV/0!</v>
      </c>
      <c r="M18">
        <f>AVERAGE('Growth Parameters'!J62:J65)</f>
        <v>110.37659632752268</v>
      </c>
      <c r="N18">
        <f>STDEV('Growth Parameters'!J62:J65)</f>
        <v>8.1350613596528198</v>
      </c>
      <c r="O18">
        <f>AVERAGE('Growth Parameters'!K62:K65)</f>
        <v>3.5769190267474262</v>
      </c>
      <c r="P18">
        <f>STDEV('Growth Parameters'!K62:K65)</f>
        <v>8.0643880142328648</v>
      </c>
    </row>
    <row r="19" spans="1:16" x14ac:dyDescent="0.3">
      <c r="A19" t="str">
        <f>'Growth Parameters'!A66</f>
        <v>UQLight04</v>
      </c>
      <c r="B19" s="3">
        <f>'Growth Parameters'!B66</f>
        <v>44748</v>
      </c>
      <c r="C19">
        <f>'Growth Parameters'!C66</f>
        <v>13</v>
      </c>
      <c r="D19" t="str">
        <f>'Growth Parameters'!D66</f>
        <v>Growth</v>
      </c>
      <c r="E19" t="str">
        <f>'Growth Parameters'!E66</f>
        <v>Low Light</v>
      </c>
      <c r="F19" t="str">
        <f>'Growth Parameters'!F66</f>
        <v>A</v>
      </c>
      <c r="G19">
        <f>AVERAGE('Growth Parameters'!G66:G69)</f>
        <v>15.067250000000001</v>
      </c>
      <c r="H19">
        <f>STDEV('Growth Parameters'!G66:G69)</f>
        <v>1.5448698704637442</v>
      </c>
      <c r="I19">
        <f>AVERAGE('Growth Parameters'!H66:H69)</f>
        <v>0.14434999999999998</v>
      </c>
      <c r="J19">
        <f>STDEV('Growth Parameters'!H66:H69)</f>
        <v>1.1818206293680951E-2</v>
      </c>
      <c r="K19" t="e">
        <f>AVERAGE('Growth Parameters'!I66:I69)</f>
        <v>#DIV/0!</v>
      </c>
      <c r="L19" t="e">
        <f>STDEV('Growth Parameters'!I66:I69)</f>
        <v>#DIV/0!</v>
      </c>
      <c r="M19">
        <f>AVERAGE('Growth Parameters'!J66:J69)</f>
        <v>104.3549729061251</v>
      </c>
      <c r="N19">
        <f>STDEV('Growth Parameters'!J66:J69)</f>
        <v>5.5092121538889458</v>
      </c>
      <c r="O19">
        <f>AVERAGE('Growth Parameters'!K66:K69)</f>
        <v>1.6301770441636538</v>
      </c>
      <c r="P19">
        <f>STDEV('Growth Parameters'!K66:K69)</f>
        <v>9.3000524952235182</v>
      </c>
    </row>
    <row r="20" spans="1:16" x14ac:dyDescent="0.3">
      <c r="A20" t="str">
        <f>'Growth Parameters'!A70</f>
        <v>UQLight04</v>
      </c>
      <c r="B20" s="3">
        <f>'Growth Parameters'!B70</f>
        <v>44748</v>
      </c>
      <c r="C20">
        <f>'Growth Parameters'!C70</f>
        <v>13</v>
      </c>
      <c r="D20" t="str">
        <f>'Growth Parameters'!D70</f>
        <v>Growth</v>
      </c>
      <c r="E20" t="str">
        <f>'Growth Parameters'!E70</f>
        <v>Darkness</v>
      </c>
      <c r="F20" t="str">
        <f>'Growth Parameters'!F70</f>
        <v>A</v>
      </c>
      <c r="G20">
        <f>AVERAGE('Growth Parameters'!G70:G73)</f>
        <v>6.3029999999999999</v>
      </c>
      <c r="H20">
        <f>STDEV('Growth Parameters'!G70:G73)</f>
        <v>0.90217182398920093</v>
      </c>
      <c r="I20">
        <f>AVERAGE('Growth Parameters'!H70:H73)</f>
        <v>6.2799999999999995E-2</v>
      </c>
      <c r="J20">
        <f>STDEV('Growth Parameters'!H70:H73)</f>
        <v>1.2550962778475073E-2</v>
      </c>
      <c r="K20" t="e">
        <f>AVERAGE('Growth Parameters'!I70:I73)</f>
        <v>#DIV/0!</v>
      </c>
      <c r="L20" t="e">
        <f>STDEV('Growth Parameters'!I70:I73)</f>
        <v>#DIV/0!</v>
      </c>
      <c r="M20">
        <f>AVERAGE('Growth Parameters'!J70:J73)</f>
        <v>101.4206036274206</v>
      </c>
      <c r="N20">
        <f>STDEV('Growth Parameters'!J70:J73)</f>
        <v>10.256513425536102</v>
      </c>
      <c r="O20">
        <f>AVERAGE('Growth Parameters'!K70:K73)</f>
        <v>-4.663795030698763</v>
      </c>
      <c r="P20">
        <f>STDEV('Growth Parameters'!K70:K73)</f>
        <v>8.8007011748938151</v>
      </c>
    </row>
    <row r="21" spans="1:16" x14ac:dyDescent="0.3">
      <c r="A21" t="str">
        <f>'Growth Parameters'!A74</f>
        <v>UQLight04</v>
      </c>
      <c r="B21" s="3">
        <f>'Growth Parameters'!B74</f>
        <v>44750</v>
      </c>
      <c r="C21">
        <f>'Growth Parameters'!C74</f>
        <v>15</v>
      </c>
      <c r="D21" t="str">
        <f>'Growth Parameters'!D74</f>
        <v>Growth</v>
      </c>
      <c r="E21" t="str">
        <f>'Growth Parameters'!E74</f>
        <v>High Light</v>
      </c>
      <c r="F21" t="str">
        <f>'Growth Parameters'!F74</f>
        <v>A</v>
      </c>
      <c r="G21">
        <f>AVERAGE('Growth Parameters'!G74:G77)</f>
        <v>19.298500000000001</v>
      </c>
      <c r="H21">
        <f>STDEV('Growth Parameters'!G74:G77)</f>
        <v>3.652865404948106</v>
      </c>
      <c r="I21">
        <f>AVERAGE('Growth Parameters'!H74:H77)</f>
        <v>0.15565000000000001</v>
      </c>
      <c r="J21">
        <f>STDEV('Growth Parameters'!H74:H77)</f>
        <v>1.8569957817219887E-2</v>
      </c>
      <c r="K21" t="e">
        <f>AVERAGE('Growth Parameters'!I74:I77)</f>
        <v>#DIV/0!</v>
      </c>
      <c r="L21" t="e">
        <f>STDEV('Growth Parameters'!I74:I77)</f>
        <v>#DIV/0!</v>
      </c>
      <c r="M21">
        <f>AVERAGE('Growth Parameters'!J74:J77)</f>
        <v>123.25971670079272</v>
      </c>
      <c r="N21">
        <f>STDEV('Growth Parameters'!J74:J77)</f>
        <v>9.5935017504852844</v>
      </c>
      <c r="O21">
        <f>AVERAGE('Growth Parameters'!K74:K77)</f>
        <v>-2.189909076660344</v>
      </c>
      <c r="P21">
        <f>STDEV('Growth Parameters'!K74:K77)</f>
        <v>4.1189444045720656</v>
      </c>
    </row>
    <row r="22" spans="1:16" x14ac:dyDescent="0.3">
      <c r="A22" t="str">
        <f>'Growth Parameters'!A78</f>
        <v>UQLight04</v>
      </c>
      <c r="B22" s="3">
        <f>'Growth Parameters'!B78</f>
        <v>44750</v>
      </c>
      <c r="C22">
        <f>'Growth Parameters'!C78</f>
        <v>15</v>
      </c>
      <c r="D22" t="str">
        <f>'Growth Parameters'!D78</f>
        <v>Growth</v>
      </c>
      <c r="E22" t="str">
        <f>'Growth Parameters'!E78</f>
        <v>Medium Light</v>
      </c>
      <c r="F22" t="str">
        <f>'Growth Parameters'!F78</f>
        <v>A</v>
      </c>
      <c r="G22">
        <f>AVERAGE('Growth Parameters'!G78:G81)</f>
        <v>15.403250000000002</v>
      </c>
      <c r="H22">
        <f>STDEV('Growth Parameters'!G78:G81)</f>
        <v>2.4361665754486688</v>
      </c>
      <c r="I22">
        <f>AVERAGE('Growth Parameters'!H78:H81)</f>
        <v>0.155225</v>
      </c>
      <c r="J22">
        <f>STDEV('Growth Parameters'!H78:H81)</f>
        <v>1.7738352986302486E-2</v>
      </c>
      <c r="K22" t="e">
        <f>AVERAGE('Growth Parameters'!I78:I81)</f>
        <v>#DIV/0!</v>
      </c>
      <c r="L22" t="e">
        <f>STDEV('Growth Parameters'!I78:I81)</f>
        <v>#DIV/0!</v>
      </c>
      <c r="M22">
        <f>AVERAGE('Growth Parameters'!J78:J81)</f>
        <v>99.026196990906087</v>
      </c>
      <c r="N22">
        <f>STDEV('Growth Parameters'!J78:J81)</f>
        <v>7.3753569281901479</v>
      </c>
      <c r="O22">
        <f>AVERAGE('Growth Parameters'!K78:K81)</f>
        <v>-5.8826840014525867</v>
      </c>
      <c r="P22">
        <f>STDEV('Growth Parameters'!K78:K81)</f>
        <v>6.6392963457483534</v>
      </c>
    </row>
    <row r="23" spans="1:16" x14ac:dyDescent="0.3">
      <c r="A23" t="str">
        <f>'Growth Parameters'!A82</f>
        <v>UQLight04</v>
      </c>
      <c r="B23" s="3">
        <f>'Growth Parameters'!B82</f>
        <v>44750</v>
      </c>
      <c r="C23">
        <f>'Growth Parameters'!C82</f>
        <v>15</v>
      </c>
      <c r="D23" t="str">
        <f>'Growth Parameters'!D82</f>
        <v>Growth</v>
      </c>
      <c r="E23" t="str">
        <f>'Growth Parameters'!E82</f>
        <v>Low Light</v>
      </c>
      <c r="F23" t="str">
        <f>'Growth Parameters'!F82</f>
        <v>A</v>
      </c>
      <c r="G23">
        <f>AVERAGE('Growth Parameters'!G82:G85)</f>
        <v>13.05</v>
      </c>
      <c r="H23">
        <f>STDEV('Growth Parameters'!G82:G85)</f>
        <v>1.7621458509442396</v>
      </c>
      <c r="I23">
        <f>AVERAGE('Growth Parameters'!H82:H85)</f>
        <v>0.1353</v>
      </c>
      <c r="J23">
        <f>STDEV('Growth Parameters'!H82:H85)</f>
        <v>1.0840971666168433E-2</v>
      </c>
      <c r="K23" t="e">
        <f>AVERAGE('Growth Parameters'!I82:I85)</f>
        <v>#DIV/0!</v>
      </c>
      <c r="L23" t="e">
        <f>STDEV('Growth Parameters'!I82:I85)</f>
        <v>#DIV/0!</v>
      </c>
      <c r="M23">
        <f>AVERAGE('Growth Parameters'!J82:J85)</f>
        <v>96.160163851765773</v>
      </c>
      <c r="N23">
        <f>STDEV('Growth Parameters'!J82:J85)</f>
        <v>5.8867098463494631</v>
      </c>
      <c r="O23">
        <f>AVERAGE('Growth Parameters'!K82:K85)</f>
        <v>-3.2275519490254085</v>
      </c>
      <c r="P23">
        <f>STDEV('Growth Parameters'!K82:K85)</f>
        <v>7.1813687228881387</v>
      </c>
    </row>
    <row r="24" spans="1:16" x14ac:dyDescent="0.3">
      <c r="A24" t="str">
        <f>'Growth Parameters'!A86</f>
        <v>UQLight04</v>
      </c>
      <c r="B24" s="3">
        <f>'Growth Parameters'!B86</f>
        <v>44750</v>
      </c>
      <c r="C24">
        <f>'Growth Parameters'!C86</f>
        <v>15</v>
      </c>
      <c r="D24" t="str">
        <f>'Growth Parameters'!D86</f>
        <v>Growth</v>
      </c>
      <c r="E24" t="str">
        <f>'Growth Parameters'!E86</f>
        <v>Darkness</v>
      </c>
      <c r="F24" t="str">
        <f>'Growth Parameters'!F86</f>
        <v>A</v>
      </c>
      <c r="G24">
        <f>AVERAGE('Growth Parameters'!G86:G89)</f>
        <v>5.9359999999999999</v>
      </c>
      <c r="H24">
        <f>STDEV('Growth Parameters'!G86:G89)</f>
        <v>0.983668982263179</v>
      </c>
      <c r="I24">
        <f>AVERAGE('Growth Parameters'!H86:H89)</f>
        <v>6.1675000000000001E-2</v>
      </c>
      <c r="J24">
        <f>STDEV('Growth Parameters'!H86:H89)</f>
        <v>1.3496264915400381E-2</v>
      </c>
      <c r="K24" t="e">
        <f>AVERAGE('Growth Parameters'!I86:I89)</f>
        <v>#DIV/0!</v>
      </c>
      <c r="L24" t="e">
        <f>STDEV('Growth Parameters'!I86:I89)</f>
        <v>#DIV/0!</v>
      </c>
      <c r="M24">
        <f>AVERAGE('Growth Parameters'!J86:J89)</f>
        <v>97.141048181075007</v>
      </c>
      <c r="N24">
        <f>STDEV('Growth Parameters'!J86:J89)</f>
        <v>5.6518852485887461</v>
      </c>
      <c r="O24">
        <f>AVERAGE('Growth Parameters'!K86:K89)</f>
        <v>-1.0934696652941214</v>
      </c>
      <c r="P24">
        <f>STDEV('Growth Parameters'!K86:K89)</f>
        <v>17.124659539066595</v>
      </c>
    </row>
    <row r="25" spans="1:16" x14ac:dyDescent="0.3">
      <c r="A25" t="str">
        <f>'Growth Parameters'!A90</f>
        <v>UQLight04</v>
      </c>
      <c r="B25" s="3">
        <f>'Growth Parameters'!B90</f>
        <v>44753</v>
      </c>
      <c r="C25">
        <f>'Growth Parameters'!C90</f>
        <v>18</v>
      </c>
      <c r="D25" t="str">
        <f>'Growth Parameters'!D90</f>
        <v>Growth</v>
      </c>
      <c r="E25" t="str">
        <f>'Growth Parameters'!E90</f>
        <v>High Light</v>
      </c>
      <c r="F25" t="str">
        <f>'Growth Parameters'!F90</f>
        <v>A</v>
      </c>
      <c r="G25">
        <f>AVERAGE('Growth Parameters'!G90:G93)</f>
        <v>21.296749999999999</v>
      </c>
      <c r="H25">
        <f>STDEV('Growth Parameters'!G90:G93)</f>
        <v>2.3868222074549248</v>
      </c>
      <c r="I25">
        <f>AVERAGE('Growth Parameters'!H90:H93)</f>
        <v>0.21842499999999998</v>
      </c>
      <c r="J25">
        <f>STDEV('Growth Parameters'!H90:H93)</f>
        <v>5.3231413031529957E-3</v>
      </c>
      <c r="K25" t="e">
        <f>AVERAGE('Growth Parameters'!I90:I93)</f>
        <v>#DIV/0!</v>
      </c>
      <c r="L25" t="e">
        <f>STDEV('Growth Parameters'!I90:I93)</f>
        <v>#DIV/0!</v>
      </c>
      <c r="M25">
        <f>AVERAGE('Growth Parameters'!J90:J93)</f>
        <v>97.413648716642427</v>
      </c>
      <c r="N25">
        <f>STDEV('Growth Parameters'!J90:J93)</f>
        <v>9.5895597424102199</v>
      </c>
      <c r="O25">
        <f>AVERAGE('Growth Parameters'!K90:K93)</f>
        <v>11.466771826877233</v>
      </c>
      <c r="P25">
        <f>STDEV('Growth Parameters'!K90:K93)</f>
        <v>4.6624802129144225</v>
      </c>
    </row>
    <row r="26" spans="1:16" x14ac:dyDescent="0.3">
      <c r="A26" t="str">
        <f>'Growth Parameters'!A94</f>
        <v>UQLight04</v>
      </c>
      <c r="B26" s="3">
        <f>'Growth Parameters'!B94</f>
        <v>44753</v>
      </c>
      <c r="C26">
        <f>'Growth Parameters'!C94</f>
        <v>18</v>
      </c>
      <c r="D26" t="str">
        <f>'Growth Parameters'!D94</f>
        <v>Growth</v>
      </c>
      <c r="E26" t="str">
        <f>'Growth Parameters'!E94</f>
        <v>Medium Light</v>
      </c>
      <c r="F26" t="str">
        <f>'Growth Parameters'!F94</f>
        <v>A</v>
      </c>
      <c r="G26">
        <f>AVERAGE('Growth Parameters'!G94:G97)</f>
        <v>22.145000000000003</v>
      </c>
      <c r="H26">
        <f>STDEV('Growth Parameters'!G94:G97)</f>
        <v>2.485413312375496</v>
      </c>
      <c r="I26">
        <f>AVERAGE('Growth Parameters'!H94:H97)</f>
        <v>0.21435000000000001</v>
      </c>
      <c r="J26">
        <f>STDEV('Growth Parameters'!H94:H97)</f>
        <v>1.7965429765710212E-2</v>
      </c>
      <c r="K26" t="e">
        <f>AVERAGE('Growth Parameters'!I94:I97)</f>
        <v>#DIV/0!</v>
      </c>
      <c r="L26" t="e">
        <f>STDEV('Growth Parameters'!I94:I97)</f>
        <v>#DIV/0!</v>
      </c>
      <c r="M26">
        <f>AVERAGE('Growth Parameters'!J94:J97)</f>
        <v>103.14910497604004</v>
      </c>
      <c r="N26">
        <f>STDEV('Growth Parameters'!J94:J97)</f>
        <v>3.9699462544538942</v>
      </c>
      <c r="O26">
        <f>AVERAGE('Growth Parameters'!K94:K97)</f>
        <v>10.830477605917782</v>
      </c>
      <c r="P26">
        <f>STDEV('Growth Parameters'!K94:K97)</f>
        <v>3.3789130603142326</v>
      </c>
    </row>
    <row r="27" spans="1:16" x14ac:dyDescent="0.3">
      <c r="A27" t="str">
        <f>'Growth Parameters'!A98</f>
        <v>UQLight04</v>
      </c>
      <c r="B27" s="3">
        <f>'Growth Parameters'!B98</f>
        <v>44753</v>
      </c>
      <c r="C27">
        <f>'Growth Parameters'!C98</f>
        <v>18</v>
      </c>
      <c r="D27" t="str">
        <f>'Growth Parameters'!D98</f>
        <v>Growth</v>
      </c>
      <c r="E27" t="str">
        <f>'Growth Parameters'!E98</f>
        <v>Low Light</v>
      </c>
      <c r="F27" t="str">
        <f>'Growth Parameters'!F98</f>
        <v>A</v>
      </c>
      <c r="G27">
        <f>AVERAGE('Growth Parameters'!G98:G101)</f>
        <v>17.59525</v>
      </c>
      <c r="H27">
        <f>STDEV('Growth Parameters'!G98:G101)</f>
        <v>1.8649090013545784</v>
      </c>
      <c r="I27">
        <f>AVERAGE('Growth Parameters'!H98:H101)</f>
        <v>0.18434999999999999</v>
      </c>
      <c r="J27">
        <f>STDEV('Growth Parameters'!H98:H101)</f>
        <v>1.4631586835792394E-2</v>
      </c>
      <c r="K27" t="e">
        <f>AVERAGE('Growth Parameters'!I98:I101)</f>
        <v>#DIV/0!</v>
      </c>
      <c r="L27" t="e">
        <f>STDEV('Growth Parameters'!I98:I101)</f>
        <v>#DIV/0!</v>
      </c>
      <c r="M27">
        <f>AVERAGE('Growth Parameters'!J98:J101)</f>
        <v>95.345467949832226</v>
      </c>
      <c r="N27">
        <f>STDEV('Growth Parameters'!J98:J101)</f>
        <v>4.8207869470003519</v>
      </c>
      <c r="O27">
        <f>AVERAGE('Growth Parameters'!K98:K101)</f>
        <v>10.310942133007034</v>
      </c>
      <c r="P27">
        <f>STDEV('Growth Parameters'!K98:K101)</f>
        <v>2.0470231056935391</v>
      </c>
    </row>
    <row r="28" spans="1:16" x14ac:dyDescent="0.3">
      <c r="A28" t="str">
        <f>'Growth Parameters'!A102</f>
        <v>UQLight04</v>
      </c>
      <c r="B28" s="3">
        <f>'Growth Parameters'!B102</f>
        <v>44753</v>
      </c>
      <c r="C28">
        <f>'Growth Parameters'!C102</f>
        <v>18</v>
      </c>
      <c r="D28" t="str">
        <f>'Growth Parameters'!D102</f>
        <v>Growth</v>
      </c>
      <c r="E28" t="str">
        <f>'Growth Parameters'!E102</f>
        <v>Darkness</v>
      </c>
      <c r="F28" t="str">
        <f>'Growth Parameters'!F102</f>
        <v>A</v>
      </c>
      <c r="G28">
        <f>AVERAGE('Growth Parameters'!G102:G105)</f>
        <v>7.0270000000000001</v>
      </c>
      <c r="H28">
        <f>STDEV('Growth Parameters'!G102:G105)</f>
        <v>0.35996110901040423</v>
      </c>
      <c r="I28">
        <f>AVERAGE('Growth Parameters'!H102:H105)</f>
        <v>7.2075E-2</v>
      </c>
      <c r="J28">
        <f>STDEV('Growth Parameters'!H102:H105)</f>
        <v>5.8431583925134161E-3</v>
      </c>
      <c r="K28" t="e">
        <f>AVERAGE('Growth Parameters'!I102:I105)</f>
        <v>#DIV/0!</v>
      </c>
      <c r="L28" t="e">
        <f>STDEV('Growth Parameters'!I102:I105)</f>
        <v>#DIV/0!</v>
      </c>
      <c r="M28">
        <f>AVERAGE('Growth Parameters'!J102:J105)</f>
        <v>97.738956046433515</v>
      </c>
      <c r="N28">
        <f>STDEV('Growth Parameters'!J102:J105)</f>
        <v>5.0402838724747649</v>
      </c>
      <c r="O28">
        <f>AVERAGE('Growth Parameters'!K102:K105)</f>
        <v>5.7259072932044681</v>
      </c>
      <c r="P28">
        <f>STDEV('Growth Parameters'!K102:K105)</f>
        <v>7.0377422229259468</v>
      </c>
    </row>
    <row r="29" spans="1:16" x14ac:dyDescent="0.3">
      <c r="A29" t="str">
        <f>'Growth Parameters'!A106</f>
        <v>UQLight04</v>
      </c>
      <c r="B29" s="3">
        <f>'Growth Parameters'!B106</f>
        <v>44755</v>
      </c>
      <c r="C29">
        <f>'Growth Parameters'!C106</f>
        <v>20</v>
      </c>
      <c r="D29" t="str">
        <f>'Growth Parameters'!D106</f>
        <v>Growth</v>
      </c>
      <c r="E29" t="str">
        <f>'Growth Parameters'!E106</f>
        <v>High Light</v>
      </c>
      <c r="F29" t="str">
        <f>'Growth Parameters'!F106</f>
        <v>A</v>
      </c>
      <c r="G29">
        <f>AVERAGE('Growth Parameters'!G106:G111)</f>
        <v>25.944166666666664</v>
      </c>
      <c r="H29">
        <f>STDEV('Growth Parameters'!G106:G111)</f>
        <v>4.7910318060587693</v>
      </c>
      <c r="I29">
        <f>AVERAGE('Growth Parameters'!H106:H111)</f>
        <v>0.25593333333333329</v>
      </c>
      <c r="J29">
        <f>STDEV('Growth Parameters'!H106:H111)</f>
        <v>2.6076707358611572E-2</v>
      </c>
      <c r="K29" t="e">
        <f>AVERAGE('Growth Parameters'!I106:I111)</f>
        <v>#DIV/0!</v>
      </c>
      <c r="L29" t="e">
        <f>STDEV('Growth Parameters'!I106:I111)</f>
        <v>#DIV/0!</v>
      </c>
      <c r="M29">
        <f>AVERAGE('Growth Parameters'!J106:J111)</f>
        <v>100.66528488769227</v>
      </c>
      <c r="N29">
        <f>STDEV('Growth Parameters'!J106:J111)</f>
        <v>10.587054923034167</v>
      </c>
      <c r="O29">
        <f>AVERAGE('Growth Parameters'!K106:K111)</f>
        <v>7.6678230402428555</v>
      </c>
      <c r="P29">
        <f>STDEV('Growth Parameters'!K106:K111)</f>
        <v>6.1881349973761486</v>
      </c>
    </row>
    <row r="30" spans="1:16" x14ac:dyDescent="0.3">
      <c r="A30" t="str">
        <f>'Growth Parameters'!A112</f>
        <v>UQLight04</v>
      </c>
      <c r="B30" s="3">
        <f>'Growth Parameters'!B112</f>
        <v>44755</v>
      </c>
      <c r="C30">
        <f>'Growth Parameters'!C112</f>
        <v>20</v>
      </c>
      <c r="D30" t="str">
        <f>'Growth Parameters'!D112</f>
        <v>Growth</v>
      </c>
      <c r="E30" t="str">
        <f>'Growth Parameters'!E112</f>
        <v>Medium Light</v>
      </c>
      <c r="F30" t="str">
        <f>'Growth Parameters'!F112</f>
        <v>A</v>
      </c>
      <c r="G30">
        <f>AVERAGE('Growth Parameters'!G112:G117)</f>
        <v>22.234333333333336</v>
      </c>
      <c r="H30">
        <f>STDEV('Growth Parameters'!G112:G117)</f>
        <v>1.8517441147919618</v>
      </c>
      <c r="I30">
        <f>AVERAGE('Growth Parameters'!H112:H117)</f>
        <v>0.23303333333333334</v>
      </c>
      <c r="J30">
        <f>STDEV('Growth Parameters'!H112:H117)</f>
        <v>2.555109912834801E-2</v>
      </c>
      <c r="K30" t="e">
        <f>AVERAGE('Growth Parameters'!I112:I117)</f>
        <v>#DIV/0!</v>
      </c>
      <c r="L30" t="e">
        <f>STDEV('Growth Parameters'!I112:I117)</f>
        <v>#DIV/0!</v>
      </c>
      <c r="M30">
        <f>AVERAGE('Growth Parameters'!J112:J117)</f>
        <v>96.712356231884087</v>
      </c>
      <c r="N30">
        <f>STDEV('Growth Parameters'!J112:J117)</f>
        <v>15.72080616213416</v>
      </c>
      <c r="O30">
        <f>AVERAGE('Growth Parameters'!K112:K117)</f>
        <v>3.7860984066908121</v>
      </c>
      <c r="P30">
        <f>STDEV('Growth Parameters'!K112:K117)</f>
        <v>5.363383269016337</v>
      </c>
    </row>
    <row r="31" spans="1:16" x14ac:dyDescent="0.3">
      <c r="A31" t="str">
        <f>'Growth Parameters'!A118</f>
        <v>UQLight04</v>
      </c>
      <c r="B31" s="3">
        <f>'Growth Parameters'!B118</f>
        <v>44755</v>
      </c>
      <c r="C31">
        <f>'Growth Parameters'!C118</f>
        <v>20</v>
      </c>
      <c r="D31" t="str">
        <f>'Growth Parameters'!D118</f>
        <v>Growth</v>
      </c>
      <c r="E31" t="str">
        <f>'Growth Parameters'!E118</f>
        <v>Low Light</v>
      </c>
      <c r="F31" t="str">
        <f>'Growth Parameters'!F118</f>
        <v>A</v>
      </c>
      <c r="G31">
        <f>AVERAGE('Growth Parameters'!G118:G123)</f>
        <v>21.125499999999999</v>
      </c>
      <c r="H31">
        <f>STDEV('Growth Parameters'!G118:G123)</f>
        <v>3.5738735148295335</v>
      </c>
      <c r="I31">
        <f>AVERAGE('Growth Parameters'!H118:H123)</f>
        <v>0.21036666666666667</v>
      </c>
      <c r="J31">
        <f>STDEV('Growth Parameters'!H118:H123)</f>
        <v>2.4030619356701324E-2</v>
      </c>
      <c r="K31" t="e">
        <f>AVERAGE('Growth Parameters'!I118:I123)</f>
        <v>#DIV/0!</v>
      </c>
      <c r="L31" t="e">
        <f>STDEV('Growth Parameters'!I118:I123)</f>
        <v>#DIV/0!</v>
      </c>
      <c r="M31">
        <f>AVERAGE('Growth Parameters'!J118:J123)</f>
        <v>99.992180704432258</v>
      </c>
      <c r="N31">
        <f>STDEV('Growth Parameters'!J118:J123)</f>
        <v>7.6226773972793058</v>
      </c>
      <c r="O31">
        <f>AVERAGE('Growth Parameters'!K118:K123)</f>
        <v>21.43285430602349</v>
      </c>
      <c r="P31">
        <f>STDEV('Growth Parameters'!K118:K123)</f>
        <v>29.404084323408068</v>
      </c>
    </row>
    <row r="32" spans="1:16" x14ac:dyDescent="0.3">
      <c r="A32" t="str">
        <f>'Growth Parameters'!A124</f>
        <v>UQLight04</v>
      </c>
      <c r="B32" s="3">
        <f>'Growth Parameters'!B124</f>
        <v>44755</v>
      </c>
      <c r="C32">
        <f>'Growth Parameters'!C124</f>
        <v>20</v>
      </c>
      <c r="D32" t="str">
        <f>'Growth Parameters'!D124</f>
        <v>Growth</v>
      </c>
      <c r="E32" t="str">
        <f>'Growth Parameters'!E124</f>
        <v>Darkness</v>
      </c>
      <c r="F32" t="str">
        <f>'Growth Parameters'!F124</f>
        <v>A</v>
      </c>
      <c r="G32">
        <f>AVERAGE('Growth Parameters'!G124:G129)</f>
        <v>7.8931666666666667</v>
      </c>
      <c r="H32">
        <f>STDEV('Growth Parameters'!G124:G129)</f>
        <v>0.93865380554636013</v>
      </c>
      <c r="I32">
        <f>AVERAGE('Growth Parameters'!H124:H129)</f>
        <v>7.3716666666666666E-2</v>
      </c>
      <c r="J32">
        <f>STDEV('Growth Parameters'!H124:H129)</f>
        <v>6.1160172225613188E-3</v>
      </c>
      <c r="K32" t="e">
        <f>AVERAGE('Growth Parameters'!I124:I129)</f>
        <v>#DIV/0!</v>
      </c>
      <c r="L32" t="e">
        <f>STDEV('Growth Parameters'!I124:I129)</f>
        <v>#DIV/0!</v>
      </c>
      <c r="M32">
        <f>AVERAGE('Growth Parameters'!J124:J129)</f>
        <v>107.06347701680848</v>
      </c>
      <c r="N32">
        <f>STDEV('Growth Parameters'!J124:J129)</f>
        <v>9.1671416190076833</v>
      </c>
      <c r="O32">
        <f>AVERAGE('Growth Parameters'!K124:K129)</f>
        <v>-28.228981907441153</v>
      </c>
      <c r="P32">
        <f>STDEV('Growth Parameters'!K124:K129)</f>
        <v>50.671094653780557</v>
      </c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</sheetData>
  <autoFilter ref="A1:P28" xr:uid="{A2A283A9-03AE-4D3F-ABE4-8F8217968213}">
    <filterColumn colId="6" showButton="0"/>
    <filterColumn colId="8" showButton="0"/>
    <filterColumn colId="10" showButton="0"/>
    <filterColumn colId="12" showButton="0"/>
    <filterColumn colId="14" showButton="0"/>
  </autoFilter>
  <mergeCells count="5">
    <mergeCell ref="G1:H1"/>
    <mergeCell ref="I1:J1"/>
    <mergeCell ref="K1:L1"/>
    <mergeCell ref="M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64EB-2BEB-4918-8050-7010ABEB253A}">
  <dimension ref="A1:L58"/>
  <sheetViews>
    <sheetView topLeftCell="A39" zoomScale="85" zoomScaleNormal="85" workbookViewId="0">
      <selection activeCell="K49" sqref="K49:L49"/>
    </sheetView>
  </sheetViews>
  <sheetFormatPr defaultColWidth="11.5546875" defaultRowHeight="14.4" x14ac:dyDescent="0.3"/>
  <cols>
    <col min="1" max="1" width="15" bestFit="1" customWidth="1"/>
  </cols>
  <sheetData>
    <row r="1" spans="1:12" x14ac:dyDescent="0.3">
      <c r="B1" s="4" t="s">
        <v>1</v>
      </c>
      <c r="C1" s="4" t="s">
        <v>65</v>
      </c>
    </row>
    <row r="2" spans="1:12" x14ac:dyDescent="0.3">
      <c r="A2" s="40" t="s">
        <v>15</v>
      </c>
      <c r="B2">
        <v>4</v>
      </c>
      <c r="C2">
        <v>0</v>
      </c>
    </row>
    <row r="3" spans="1:12" x14ac:dyDescent="0.3">
      <c r="A3" s="40"/>
      <c r="B3">
        <v>4</v>
      </c>
      <c r="C3">
        <v>100000000</v>
      </c>
    </row>
    <row r="4" spans="1:12" x14ac:dyDescent="0.3">
      <c r="A4" s="40" t="s">
        <v>16</v>
      </c>
      <c r="B4">
        <v>6</v>
      </c>
      <c r="C4">
        <v>0</v>
      </c>
    </row>
    <row r="5" spans="1:12" x14ac:dyDescent="0.3">
      <c r="A5" s="40"/>
      <c r="B5">
        <v>6</v>
      </c>
      <c r="C5">
        <v>100000000</v>
      </c>
    </row>
    <row r="6" spans="1:12" x14ac:dyDescent="0.3">
      <c r="A6" s="40" t="s">
        <v>20</v>
      </c>
      <c r="B6">
        <v>8</v>
      </c>
      <c r="C6">
        <v>0</v>
      </c>
    </row>
    <row r="7" spans="1:12" x14ac:dyDescent="0.3">
      <c r="A7" s="40"/>
      <c r="B7">
        <v>8</v>
      </c>
      <c r="C7">
        <v>100000000</v>
      </c>
    </row>
    <row r="8" spans="1:12" x14ac:dyDescent="0.3">
      <c r="A8" s="40" t="s">
        <v>64</v>
      </c>
      <c r="B8">
        <v>18</v>
      </c>
      <c r="C8">
        <v>0</v>
      </c>
    </row>
    <row r="9" spans="1:12" x14ac:dyDescent="0.3">
      <c r="A9" s="40"/>
      <c r="B9">
        <v>18</v>
      </c>
      <c r="C9">
        <v>100000000</v>
      </c>
    </row>
    <row r="12" spans="1:12" x14ac:dyDescent="0.3">
      <c r="A12" s="4" t="s">
        <v>17</v>
      </c>
    </row>
    <row r="13" spans="1:12" x14ac:dyDescent="0.3">
      <c r="A13" s="25" t="s">
        <v>0</v>
      </c>
      <c r="B13" s="25" t="s">
        <v>1</v>
      </c>
      <c r="C13" s="39" t="s">
        <v>66</v>
      </c>
      <c r="D13" s="39"/>
      <c r="E13" s="39" t="s">
        <v>67</v>
      </c>
      <c r="F13" s="39"/>
      <c r="G13" s="39" t="s">
        <v>80</v>
      </c>
      <c r="H13" s="39"/>
      <c r="I13" s="39" t="s">
        <v>81</v>
      </c>
      <c r="J13" s="39"/>
      <c r="K13" s="39" t="s">
        <v>86</v>
      </c>
      <c r="L13" s="39"/>
    </row>
    <row r="14" spans="1:12" x14ac:dyDescent="0.3">
      <c r="C14" s="2" t="s">
        <v>60</v>
      </c>
      <c r="D14" s="2" t="s">
        <v>63</v>
      </c>
      <c r="E14" s="2" t="s">
        <v>60</v>
      </c>
      <c r="F14" s="2" t="s">
        <v>63</v>
      </c>
      <c r="G14" s="2" t="s">
        <v>60</v>
      </c>
      <c r="H14" s="2" t="s">
        <v>63</v>
      </c>
      <c r="I14" s="2" t="s">
        <v>60</v>
      </c>
      <c r="J14" s="2" t="s">
        <v>63</v>
      </c>
      <c r="K14" s="2" t="s">
        <v>60</v>
      </c>
      <c r="L14" s="2" t="s">
        <v>63</v>
      </c>
    </row>
    <row r="15" spans="1:12" x14ac:dyDescent="0.3">
      <c r="A15" s="3">
        <f>'Growth Parameter average'!B3</f>
        <v>44735</v>
      </c>
      <c r="B15" s="28">
        <f>'Growth Parameter average'!C3</f>
        <v>0</v>
      </c>
      <c r="C15">
        <f>'Growth Parameter average'!G3</f>
        <v>3.8325000000000005</v>
      </c>
      <c r="D15">
        <f>'Growth Parameter average'!H3</f>
        <v>0.29398922882763362</v>
      </c>
      <c r="E15">
        <f>'Growth Parameter average'!I3</f>
        <v>1.9975E-2</v>
      </c>
      <c r="F15">
        <f>'Growth Parameter average'!J3</f>
        <v>4.2177205534111263E-3</v>
      </c>
      <c r="G15" t="e">
        <f>'Growth Parameter average'!K3</f>
        <v>#DIV/0!</v>
      </c>
      <c r="H15" t="e">
        <f>'Growth Parameter average'!L3</f>
        <v>#DIV/0!</v>
      </c>
      <c r="I15">
        <f>'Growth Parameter average'!M3</f>
        <v>196.23931130086902</v>
      </c>
      <c r="J15">
        <f>'Growth Parameter average'!N3</f>
        <v>28.473539730110328</v>
      </c>
      <c r="K15" t="e">
        <f>'Growth Parameter average'!O3</f>
        <v>#DIV/0!</v>
      </c>
      <c r="L15" t="e">
        <f>'Growth Parameter average'!P3</f>
        <v>#DIV/0!</v>
      </c>
    </row>
    <row r="16" spans="1:12" x14ac:dyDescent="0.3">
      <c r="A16" s="3">
        <f>'Growth Parameter average'!B4</f>
        <v>44739</v>
      </c>
      <c r="B16" s="28">
        <f>'Growth Parameter average'!C4</f>
        <v>4</v>
      </c>
      <c r="C16">
        <f>'Growth Parameter average'!G4</f>
        <v>5.6814999999999998</v>
      </c>
      <c r="D16">
        <f>'Growth Parameter average'!H4</f>
        <v>0.39396488845242705</v>
      </c>
      <c r="E16">
        <f>'Growth Parameter average'!I4</f>
        <v>4.2550000000000004E-2</v>
      </c>
      <c r="F16">
        <f>'Growth Parameter average'!J4</f>
        <v>6.7830671528446244E-3</v>
      </c>
      <c r="G16" t="e">
        <f>'Growth Parameter average'!K4</f>
        <v>#DIV/0!</v>
      </c>
      <c r="H16" t="e">
        <f>'Growth Parameter average'!L4</f>
        <v>#DIV/0!</v>
      </c>
      <c r="I16">
        <f>'Growth Parameter average'!M4</f>
        <v>136.78885720201794</v>
      </c>
      <c r="J16">
        <f>'Growth Parameter average'!N4</f>
        <v>28.575256726026076</v>
      </c>
      <c r="K16">
        <f>'Growth Parameter average'!O4</f>
        <v>18.635302689757573</v>
      </c>
      <c r="L16">
        <f>'Growth Parameter average'!P4</f>
        <v>4.3697378483588105</v>
      </c>
    </row>
    <row r="17" spans="1:12" x14ac:dyDescent="0.3">
      <c r="A17" s="3">
        <f>'Growth Parameter average'!B5</f>
        <v>44741</v>
      </c>
      <c r="B17" s="28">
        <f>'Growth Parameter average'!C5</f>
        <v>6</v>
      </c>
      <c r="C17">
        <f>'Growth Parameter average'!G5</f>
        <v>7.0022499999999992</v>
      </c>
      <c r="D17">
        <f>'Growth Parameter average'!H5</f>
        <v>0.92558643572602706</v>
      </c>
      <c r="E17">
        <f>'Growth Parameter average'!I5</f>
        <v>6.4424999999999996E-2</v>
      </c>
      <c r="F17">
        <f>'Growth Parameter average'!J5</f>
        <v>5.099918299999194E-3</v>
      </c>
      <c r="G17" t="e">
        <f>'Growth Parameter average'!K5</f>
        <v>#DIV/0!</v>
      </c>
      <c r="H17" t="e">
        <f>'Growth Parameter average'!L5</f>
        <v>#DIV/0!</v>
      </c>
      <c r="I17">
        <f>'Growth Parameter average'!M5</f>
        <v>108.35354016558344</v>
      </c>
      <c r="J17">
        <f>'Growth Parameter average'!N5</f>
        <v>5.9498653080565438</v>
      </c>
      <c r="K17">
        <f>'Growth Parameter average'!O5</f>
        <v>20.624040961940434</v>
      </c>
      <c r="L17">
        <f>'Growth Parameter average'!P5</f>
        <v>3.9475702083720376</v>
      </c>
    </row>
    <row r="18" spans="1:12" x14ac:dyDescent="0.3">
      <c r="A18" s="3">
        <f>'Growth Parameter average'!B9</f>
        <v>44743</v>
      </c>
      <c r="B18" s="28">
        <f>'Growth Parameter average'!C9</f>
        <v>8</v>
      </c>
      <c r="C18">
        <f>'Growth Parameter average'!G9</f>
        <v>11.960750000000001</v>
      </c>
      <c r="D18">
        <f>'Growth Parameter average'!H9</f>
        <v>1.6263065260480996</v>
      </c>
      <c r="E18">
        <f>'Growth Parameter average'!I9</f>
        <v>9.7700000000000009E-2</v>
      </c>
      <c r="F18">
        <f>'Growth Parameter average'!J9</f>
        <v>4.6475800154489018E-3</v>
      </c>
      <c r="G18" t="e">
        <f>'Growth Parameter average'!K9</f>
        <v>#DIV/0!</v>
      </c>
      <c r="H18" t="e">
        <f>'Growth Parameter average'!L9</f>
        <v>#DIV/0!</v>
      </c>
      <c r="I18">
        <f>'Growth Parameter average'!M9</f>
        <v>122.05582032806232</v>
      </c>
      <c r="J18">
        <f>'Growth Parameter average'!N9</f>
        <v>11.915815170242475</v>
      </c>
      <c r="K18">
        <f>'Growth Parameter average'!O9</f>
        <v>20.893608984743651</v>
      </c>
      <c r="L18">
        <f>'Growth Parameter average'!P9</f>
        <v>4.854399982510035</v>
      </c>
    </row>
    <row r="19" spans="1:12" x14ac:dyDescent="0.3">
      <c r="A19" s="3">
        <f>'Growth Parameter average'!B13</f>
        <v>44746</v>
      </c>
      <c r="B19" s="28">
        <f>'Growth Parameter average'!C13</f>
        <v>11</v>
      </c>
      <c r="C19">
        <f>'Growth Parameter average'!G13</f>
        <v>15.166</v>
      </c>
      <c r="D19">
        <f>'Growth Parameter average'!H13</f>
        <v>1.7562668741775365</v>
      </c>
      <c r="E19">
        <f>'Growth Parameter average'!I13</f>
        <v>0.12997499999999998</v>
      </c>
      <c r="F19">
        <f>'Growth Parameter average'!J13</f>
        <v>1.079147039718561E-2</v>
      </c>
      <c r="G19" t="e">
        <f>'Growth Parameter average'!K13</f>
        <v>#DIV/0!</v>
      </c>
      <c r="H19" t="e">
        <f>'Growth Parameter average'!L13</f>
        <v>#DIV/0!</v>
      </c>
      <c r="I19">
        <f>'Growth Parameter average'!M13</f>
        <v>117.01725465937513</v>
      </c>
      <c r="J19">
        <f>'Growth Parameter average'!N13</f>
        <v>13.58212864704457</v>
      </c>
      <c r="K19">
        <f>'Growth Parameter average'!O13</f>
        <v>9.4559392982220327</v>
      </c>
      <c r="L19">
        <f>'Growth Parameter average'!P13</f>
        <v>3.5686083783442912</v>
      </c>
    </row>
    <row r="20" spans="1:12" x14ac:dyDescent="0.3">
      <c r="A20" s="3">
        <f>'Growth Parameter average'!B17</f>
        <v>44748</v>
      </c>
      <c r="B20" s="28">
        <f>'Growth Parameter average'!C17</f>
        <v>13</v>
      </c>
      <c r="C20">
        <f>'Growth Parameter average'!G17</f>
        <v>18.02075</v>
      </c>
      <c r="D20">
        <f>'Growth Parameter average'!H17</f>
        <v>2.0998011612214009</v>
      </c>
      <c r="E20">
        <f>'Growth Parameter average'!I17</f>
        <v>0.16247500000000001</v>
      </c>
      <c r="F20">
        <f>'Growth Parameter average'!J17</f>
        <v>1.7777771701387845E-2</v>
      </c>
      <c r="G20" t="e">
        <f>'Growth Parameter average'!K17</f>
        <v>#DIV/0!</v>
      </c>
      <c r="H20" t="e">
        <f>'Growth Parameter average'!L17</f>
        <v>#DIV/0!</v>
      </c>
      <c r="I20">
        <f>'Growth Parameter average'!M17</f>
        <v>111.20074491184401</v>
      </c>
      <c r="J20">
        <f>'Growth Parameter average'!N17</f>
        <v>9.7200260029465113</v>
      </c>
      <c r="K20">
        <f>'Growth Parameter average'!O17</f>
        <v>11.065240107760829</v>
      </c>
      <c r="L20">
        <f>'Growth Parameter average'!P17</f>
        <v>9.5377501033954282</v>
      </c>
    </row>
    <row r="21" spans="1:12" x14ac:dyDescent="0.3">
      <c r="A21" s="3">
        <f>'Growth Parameter average'!B21</f>
        <v>44750</v>
      </c>
      <c r="B21" s="28">
        <f>'Growth Parameter average'!C21</f>
        <v>15</v>
      </c>
      <c r="C21">
        <f>'Growth Parameter average'!G21</f>
        <v>19.298500000000001</v>
      </c>
      <c r="D21">
        <f>'Growth Parameter average'!H21</f>
        <v>3.652865404948106</v>
      </c>
      <c r="E21">
        <f>'Growth Parameter average'!I21</f>
        <v>0.15565000000000001</v>
      </c>
      <c r="F21">
        <f>'Growth Parameter average'!J21</f>
        <v>1.8569957817219887E-2</v>
      </c>
      <c r="G21" t="e">
        <f>'Growth Parameter average'!K21</f>
        <v>#DIV/0!</v>
      </c>
      <c r="H21" t="e">
        <f>'Growth Parameter average'!L21</f>
        <v>#DIV/0!</v>
      </c>
      <c r="I21">
        <f>'Growth Parameter average'!M21</f>
        <v>123.25971670079272</v>
      </c>
      <c r="J21">
        <f>'Growth Parameter average'!N21</f>
        <v>9.5935017504852844</v>
      </c>
      <c r="K21">
        <f>'Growth Parameter average'!O21</f>
        <v>-2.189909076660344</v>
      </c>
      <c r="L21">
        <f>'Growth Parameter average'!P21</f>
        <v>4.1189444045720656</v>
      </c>
    </row>
    <row r="22" spans="1:12" x14ac:dyDescent="0.3">
      <c r="A22" s="3">
        <f>'Growth Parameter average'!B25</f>
        <v>44753</v>
      </c>
      <c r="B22" s="28">
        <f>'Growth Parameter average'!C25</f>
        <v>18</v>
      </c>
      <c r="C22">
        <f>'Growth Parameter average'!G25</f>
        <v>21.296749999999999</v>
      </c>
      <c r="D22">
        <f>'Growth Parameter average'!H25</f>
        <v>2.3868222074549248</v>
      </c>
      <c r="E22">
        <f>'Growth Parameter average'!I25</f>
        <v>0.21842499999999998</v>
      </c>
      <c r="F22">
        <f>'Growth Parameter average'!J25</f>
        <v>5.3231413031529957E-3</v>
      </c>
      <c r="G22" t="e">
        <f>'Growth Parameter average'!K25</f>
        <v>#DIV/0!</v>
      </c>
      <c r="H22" t="e">
        <f>'Growth Parameter average'!L25</f>
        <v>#DIV/0!</v>
      </c>
      <c r="I22">
        <f>'Growth Parameter average'!M25</f>
        <v>97.413648716642427</v>
      </c>
      <c r="J22">
        <f>'Growth Parameter average'!N25</f>
        <v>9.5895597424102199</v>
      </c>
      <c r="K22">
        <f>'Growth Parameter average'!O25</f>
        <v>11.466771826877233</v>
      </c>
      <c r="L22">
        <f>'Growth Parameter average'!P25</f>
        <v>4.6624802129144225</v>
      </c>
    </row>
    <row r="24" spans="1:12" x14ac:dyDescent="0.3">
      <c r="A24" s="4" t="s">
        <v>91</v>
      </c>
    </row>
    <row r="25" spans="1:12" ht="14.7" customHeight="1" x14ac:dyDescent="0.3">
      <c r="A25" s="25" t="s">
        <v>0</v>
      </c>
      <c r="B25" s="25" t="s">
        <v>1</v>
      </c>
      <c r="C25" s="39" t="s">
        <v>6</v>
      </c>
      <c r="D25" s="39"/>
      <c r="E25" s="39" t="s">
        <v>4</v>
      </c>
      <c r="F25" s="39"/>
      <c r="G25" s="39" t="s">
        <v>5</v>
      </c>
      <c r="H25" s="39"/>
      <c r="I25" s="39" t="s">
        <v>7</v>
      </c>
      <c r="J25" s="39"/>
      <c r="K25" s="39" t="s">
        <v>86</v>
      </c>
      <c r="L25" s="39"/>
    </row>
    <row r="26" spans="1:12" x14ac:dyDescent="0.3">
      <c r="C26" s="2" t="s">
        <v>60</v>
      </c>
      <c r="D26" s="2" t="s">
        <v>63</v>
      </c>
      <c r="E26" s="2" t="s">
        <v>60</v>
      </c>
      <c r="F26" s="2" t="s">
        <v>63</v>
      </c>
      <c r="G26" s="2" t="s">
        <v>60</v>
      </c>
      <c r="H26" s="2" t="s">
        <v>63</v>
      </c>
      <c r="I26" s="2" t="s">
        <v>60</v>
      </c>
      <c r="J26" s="2" t="s">
        <v>63</v>
      </c>
      <c r="K26" s="2" t="s">
        <v>60</v>
      </c>
      <c r="L26" s="2" t="s">
        <v>63</v>
      </c>
    </row>
    <row r="27" spans="1:12" x14ac:dyDescent="0.3">
      <c r="A27" s="3">
        <f>'Growth Parameter average'!B3</f>
        <v>44735</v>
      </c>
      <c r="B27" s="28">
        <f>'Growth Parameter average'!C3</f>
        <v>0</v>
      </c>
      <c r="C27">
        <f>'Growth Parameter average'!G3</f>
        <v>3.8325000000000005</v>
      </c>
      <c r="D27">
        <f>'Growth Parameter average'!H3</f>
        <v>0.29398922882763362</v>
      </c>
      <c r="E27">
        <f>'Growth Parameter average'!I3</f>
        <v>1.9975E-2</v>
      </c>
      <c r="F27">
        <f>'Growth Parameter average'!J3</f>
        <v>4.2177205534111263E-3</v>
      </c>
      <c r="G27" t="e">
        <f>'Growth Parameter average'!K3</f>
        <v>#DIV/0!</v>
      </c>
      <c r="H27" t="e">
        <f>'Growth Parameter average'!L3</f>
        <v>#DIV/0!</v>
      </c>
      <c r="I27">
        <f>'Growth Parameter average'!M3</f>
        <v>196.23931130086902</v>
      </c>
      <c r="J27">
        <f>'Growth Parameter average'!N3</f>
        <v>28.473539730110328</v>
      </c>
      <c r="K27" t="e">
        <f>'Growth Parameter average'!O3</f>
        <v>#DIV/0!</v>
      </c>
      <c r="L27" t="e">
        <f>'Growth Parameter average'!P3</f>
        <v>#DIV/0!</v>
      </c>
    </row>
    <row r="28" spans="1:12" x14ac:dyDescent="0.3">
      <c r="A28" s="3">
        <f>'Growth Parameter average'!B4</f>
        <v>44739</v>
      </c>
      <c r="B28" s="28">
        <f>'Growth Parameter average'!C4</f>
        <v>4</v>
      </c>
      <c r="C28">
        <f>'Growth Parameter average'!G4</f>
        <v>5.6814999999999998</v>
      </c>
      <c r="D28">
        <f>'Growth Parameter average'!H4</f>
        <v>0.39396488845242705</v>
      </c>
      <c r="E28">
        <f>'Growth Parameter average'!I4</f>
        <v>4.2550000000000004E-2</v>
      </c>
      <c r="F28">
        <f>'Growth Parameter average'!J4</f>
        <v>6.7830671528446244E-3</v>
      </c>
      <c r="G28" t="e">
        <f>'Growth Parameter average'!K4</f>
        <v>#DIV/0!</v>
      </c>
      <c r="H28" t="e">
        <f>'Growth Parameter average'!L4</f>
        <v>#DIV/0!</v>
      </c>
      <c r="I28">
        <f>'Growth Parameter average'!M4</f>
        <v>136.78885720201794</v>
      </c>
      <c r="J28">
        <f>'Growth Parameter average'!N4</f>
        <v>28.575256726026076</v>
      </c>
      <c r="K28">
        <f>'Growth Parameter average'!O4</f>
        <v>18.635302689757573</v>
      </c>
      <c r="L28">
        <f>'Growth Parameter average'!P4</f>
        <v>4.3697378483588105</v>
      </c>
    </row>
    <row r="29" spans="1:12" x14ac:dyDescent="0.3">
      <c r="A29" s="3">
        <f>'Growth Parameter average'!B6</f>
        <v>44741</v>
      </c>
      <c r="B29" s="28">
        <f>'Growth Parameter average'!C6</f>
        <v>6</v>
      </c>
      <c r="C29">
        <f>'Growth Parameter average'!G6</f>
        <v>7.7407500000000002</v>
      </c>
      <c r="D29">
        <f>'Growth Parameter average'!H6</f>
        <v>1.9229443353011171</v>
      </c>
      <c r="E29">
        <f>'Growth Parameter average'!I6</f>
        <v>7.292499999999999E-2</v>
      </c>
      <c r="F29">
        <f>'Growth Parameter average'!J6</f>
        <v>5.7846780377130763E-3</v>
      </c>
      <c r="G29" t="e">
        <f>'Growth Parameter average'!K6</f>
        <v>#DIV/0!</v>
      </c>
      <c r="H29" t="e">
        <f>'Growth Parameter average'!L6</f>
        <v>#DIV/0!</v>
      </c>
      <c r="I29">
        <f>'Growth Parameter average'!M6</f>
        <v>108.10355259569523</v>
      </c>
      <c r="J29">
        <f>'Growth Parameter average'!N6</f>
        <v>34.654687567141167</v>
      </c>
      <c r="K29">
        <f>'Growth Parameter average'!O6</f>
        <v>26.8181208122583</v>
      </c>
      <c r="L29">
        <f>'Growth Parameter average'!P6</f>
        <v>4.0031079580918689</v>
      </c>
    </row>
    <row r="30" spans="1:12" x14ac:dyDescent="0.3">
      <c r="A30" s="3">
        <f>'Growth Parameter average'!B10</f>
        <v>44743</v>
      </c>
      <c r="B30" s="28">
        <f>'Growth Parameter average'!C10</f>
        <v>8</v>
      </c>
      <c r="C30">
        <f>'Growth Parameter average'!G10</f>
        <v>11.462250000000001</v>
      </c>
      <c r="D30">
        <f>'Growth Parameter average'!H10</f>
        <v>2.267821770627783</v>
      </c>
      <c r="E30">
        <f>'Growth Parameter average'!I10</f>
        <v>9.5200000000000007E-2</v>
      </c>
      <c r="F30">
        <f>'Growth Parameter average'!J10</f>
        <v>1.1200892821556617E-2</v>
      </c>
      <c r="G30" t="e">
        <f>'Growth Parameter average'!K10</f>
        <v>#DIV/0!</v>
      </c>
      <c r="H30" t="e">
        <f>'Growth Parameter average'!L10</f>
        <v>#DIV/0!</v>
      </c>
      <c r="I30">
        <f>'Growth Parameter average'!M10</f>
        <v>119.74228882728207</v>
      </c>
      <c r="J30">
        <f>'Growth Parameter average'!N10</f>
        <v>11.391500725419228</v>
      </c>
      <c r="K30">
        <f>'Growth Parameter average'!O10</f>
        <v>13.202907347284889</v>
      </c>
      <c r="L30">
        <f>'Growth Parameter average'!P10</f>
        <v>4.0857592403632834</v>
      </c>
    </row>
    <row r="31" spans="1:12" x14ac:dyDescent="0.3">
      <c r="A31" s="3">
        <f>'Growth Parameter average'!B14</f>
        <v>44746</v>
      </c>
      <c r="B31" s="28">
        <f>'Growth Parameter average'!C14</f>
        <v>11</v>
      </c>
      <c r="C31">
        <f>'Growth Parameter average'!G14</f>
        <v>17.80275</v>
      </c>
      <c r="D31">
        <f>'Growth Parameter average'!H14</f>
        <v>3.4706344640905944</v>
      </c>
      <c r="E31">
        <f>'Growth Parameter average'!I14</f>
        <v>0.16297500000000001</v>
      </c>
      <c r="F31">
        <f>'Growth Parameter average'!J14</f>
        <v>2.3019756007974145E-2</v>
      </c>
      <c r="G31" t="e">
        <f>'Growth Parameter average'!K14</f>
        <v>#DIV/0!</v>
      </c>
      <c r="H31" t="e">
        <f>'Growth Parameter average'!L14</f>
        <v>#DIV/0!</v>
      </c>
      <c r="I31">
        <f>'Growth Parameter average'!M14</f>
        <v>108.69500995003129</v>
      </c>
      <c r="J31">
        <f>'Growth Parameter average'!N14</f>
        <v>7.0463626556512633</v>
      </c>
      <c r="K31">
        <f>'Growth Parameter average'!O14</f>
        <v>17.835321398271077</v>
      </c>
      <c r="L31">
        <f>'Growth Parameter average'!P14</f>
        <v>7.695549877202172</v>
      </c>
    </row>
    <row r="32" spans="1:12" x14ac:dyDescent="0.3">
      <c r="A32" s="3">
        <f>'Growth Parameter average'!B18</f>
        <v>44748</v>
      </c>
      <c r="B32" s="28">
        <f>'Growth Parameter average'!C18</f>
        <v>13</v>
      </c>
      <c r="C32">
        <f>'Growth Parameter average'!G18</f>
        <v>19.234000000000002</v>
      </c>
      <c r="D32">
        <f>'Growth Parameter average'!H18</f>
        <v>2.2111999758803655</v>
      </c>
      <c r="E32">
        <f>'Growth Parameter average'!I18</f>
        <v>0.174175</v>
      </c>
      <c r="F32">
        <f>'Growth Parameter average'!J18</f>
        <v>1.3784864888710372E-2</v>
      </c>
      <c r="G32" t="e">
        <f>'Growth Parameter average'!K18</f>
        <v>#DIV/0!</v>
      </c>
      <c r="H32" t="e">
        <f>'Growth Parameter average'!L18</f>
        <v>#DIV/0!</v>
      </c>
      <c r="I32">
        <f>'Growth Parameter average'!M18</f>
        <v>110.37659632752268</v>
      </c>
      <c r="J32">
        <f>'Growth Parameter average'!N18</f>
        <v>8.1350613596528198</v>
      </c>
      <c r="K32">
        <f>'Growth Parameter average'!O18</f>
        <v>3.5769190267474262</v>
      </c>
      <c r="L32">
        <f>'Growth Parameter average'!P18</f>
        <v>8.0643880142328648</v>
      </c>
    </row>
    <row r="33" spans="1:12" x14ac:dyDescent="0.3">
      <c r="A33" s="3">
        <f>'Growth Parameter average'!B22</f>
        <v>44750</v>
      </c>
      <c r="B33" s="28">
        <f>'Growth Parameter average'!C22</f>
        <v>15</v>
      </c>
      <c r="C33">
        <f>'Growth Parameter average'!G22</f>
        <v>15.403250000000002</v>
      </c>
      <c r="D33">
        <f>'Growth Parameter average'!H22</f>
        <v>2.4361665754486688</v>
      </c>
      <c r="E33">
        <f>'Growth Parameter average'!I22</f>
        <v>0.155225</v>
      </c>
      <c r="F33">
        <f>'Growth Parameter average'!J22</f>
        <v>1.7738352986302486E-2</v>
      </c>
      <c r="G33" t="e">
        <f>'Growth Parameter average'!K22</f>
        <v>#DIV/0!</v>
      </c>
      <c r="H33" t="e">
        <f>'Growth Parameter average'!L22</f>
        <v>#DIV/0!</v>
      </c>
      <c r="I33">
        <f>'Growth Parameter average'!M22</f>
        <v>99.026196990906087</v>
      </c>
      <c r="J33">
        <f>'Growth Parameter average'!N22</f>
        <v>7.3753569281901479</v>
      </c>
      <c r="K33">
        <f>'Growth Parameter average'!O22</f>
        <v>-5.8826840014525867</v>
      </c>
      <c r="L33">
        <f>'Growth Parameter average'!P22</f>
        <v>6.6392963457483534</v>
      </c>
    </row>
    <row r="34" spans="1:12" x14ac:dyDescent="0.3">
      <c r="A34" s="3">
        <f>'Growth Parameter average'!B26</f>
        <v>44753</v>
      </c>
      <c r="B34" s="28">
        <f>'Growth Parameter average'!C26</f>
        <v>18</v>
      </c>
      <c r="C34">
        <f>'Growth Parameter average'!G26</f>
        <v>22.145000000000003</v>
      </c>
      <c r="D34">
        <f>'Growth Parameter average'!H26</f>
        <v>2.485413312375496</v>
      </c>
      <c r="E34">
        <f>'Growth Parameter average'!I26</f>
        <v>0.21435000000000001</v>
      </c>
      <c r="F34">
        <f>'Growth Parameter average'!J26</f>
        <v>1.7965429765710212E-2</v>
      </c>
      <c r="G34" t="e">
        <f>'Growth Parameter average'!K26</f>
        <v>#DIV/0!</v>
      </c>
      <c r="H34" t="e">
        <f>'Growth Parameter average'!L26</f>
        <v>#DIV/0!</v>
      </c>
      <c r="I34">
        <f>'Growth Parameter average'!M26</f>
        <v>103.14910497604004</v>
      </c>
      <c r="J34">
        <f>'Growth Parameter average'!N26</f>
        <v>3.9699462544538942</v>
      </c>
      <c r="K34">
        <f>'Growth Parameter average'!O26</f>
        <v>10.830477605917782</v>
      </c>
      <c r="L34">
        <f>'Growth Parameter average'!P26</f>
        <v>3.3789130603142326</v>
      </c>
    </row>
    <row r="36" spans="1:12" x14ac:dyDescent="0.3">
      <c r="A36" s="4" t="s">
        <v>18</v>
      </c>
    </row>
    <row r="37" spans="1:12" ht="14.7" customHeight="1" x14ac:dyDescent="0.3">
      <c r="A37" s="25" t="s">
        <v>0</v>
      </c>
      <c r="B37" s="25" t="s">
        <v>1</v>
      </c>
      <c r="C37" s="39" t="s">
        <v>6</v>
      </c>
      <c r="D37" s="39"/>
      <c r="E37" s="39" t="s">
        <v>4</v>
      </c>
      <c r="F37" s="39"/>
      <c r="G37" s="39" t="s">
        <v>5</v>
      </c>
      <c r="H37" s="39"/>
      <c r="I37" s="39" t="s">
        <v>7</v>
      </c>
      <c r="J37" s="39"/>
      <c r="K37" s="39" t="s">
        <v>86</v>
      </c>
      <c r="L37" s="39"/>
    </row>
    <row r="38" spans="1:12" x14ac:dyDescent="0.3">
      <c r="C38" s="2" t="s">
        <v>60</v>
      </c>
      <c r="D38" s="2" t="s">
        <v>63</v>
      </c>
      <c r="E38" s="2" t="s">
        <v>60</v>
      </c>
      <c r="F38" s="2" t="s">
        <v>63</v>
      </c>
      <c r="G38" s="2" t="s">
        <v>60</v>
      </c>
      <c r="H38" s="2" t="s">
        <v>63</v>
      </c>
      <c r="I38" s="2" t="s">
        <v>60</v>
      </c>
      <c r="J38" s="2" t="s">
        <v>63</v>
      </c>
      <c r="K38" s="2" t="s">
        <v>60</v>
      </c>
      <c r="L38" s="2" t="s">
        <v>63</v>
      </c>
    </row>
    <row r="39" spans="1:12" x14ac:dyDescent="0.3">
      <c r="A39" s="3">
        <f>'Growth Parameter average'!B3</f>
        <v>44735</v>
      </c>
      <c r="B39" s="28">
        <f>'Growth Parameter average'!C3</f>
        <v>0</v>
      </c>
      <c r="C39">
        <f>'Growth Parameter average'!G3</f>
        <v>3.8325000000000005</v>
      </c>
      <c r="D39">
        <f>'Growth Parameter average'!H3</f>
        <v>0.29398922882763362</v>
      </c>
      <c r="E39">
        <f>'Growth Parameter average'!I3</f>
        <v>1.9975E-2</v>
      </c>
      <c r="F39">
        <f>'Growth Parameter average'!J3</f>
        <v>4.2177205534111263E-3</v>
      </c>
      <c r="G39" t="e">
        <f>'Growth Parameter average'!K3</f>
        <v>#DIV/0!</v>
      </c>
      <c r="H39" t="e">
        <f>'Growth Parameter average'!L3</f>
        <v>#DIV/0!</v>
      </c>
      <c r="I39">
        <f>'Growth Parameter average'!M3</f>
        <v>196.23931130086902</v>
      </c>
      <c r="J39">
        <f>'Growth Parameter average'!N3</f>
        <v>28.473539730110328</v>
      </c>
      <c r="K39" t="e">
        <f>'Growth Parameter average'!O3</f>
        <v>#DIV/0!</v>
      </c>
      <c r="L39" t="e">
        <f>'Growth Parameter average'!P3</f>
        <v>#DIV/0!</v>
      </c>
    </row>
    <row r="40" spans="1:12" x14ac:dyDescent="0.3">
      <c r="A40" s="3">
        <f>'Growth Parameter average'!B4</f>
        <v>44739</v>
      </c>
      <c r="B40" s="28">
        <f>'Growth Parameter average'!C4</f>
        <v>4</v>
      </c>
      <c r="C40">
        <f>'Growth Parameter average'!G4</f>
        <v>5.6814999999999998</v>
      </c>
      <c r="D40">
        <f>'Growth Parameter average'!H4</f>
        <v>0.39396488845242705</v>
      </c>
      <c r="E40">
        <f>'Growth Parameter average'!I4</f>
        <v>4.2550000000000004E-2</v>
      </c>
      <c r="F40">
        <f>'Growth Parameter average'!J4</f>
        <v>6.7830671528446244E-3</v>
      </c>
      <c r="G40" t="e">
        <f>'Growth Parameter average'!K4</f>
        <v>#DIV/0!</v>
      </c>
      <c r="H40" t="e">
        <f>'Growth Parameter average'!L4</f>
        <v>#DIV/0!</v>
      </c>
      <c r="I40">
        <f>'Growth Parameter average'!M4</f>
        <v>136.78885720201794</v>
      </c>
      <c r="J40">
        <f>'Growth Parameter average'!N4</f>
        <v>28.575256726026076</v>
      </c>
      <c r="K40">
        <f>'Growth Parameter average'!O4</f>
        <v>18.635302689757573</v>
      </c>
      <c r="L40">
        <f>'Growth Parameter average'!P4</f>
        <v>4.3697378483588105</v>
      </c>
    </row>
    <row r="41" spans="1:12" x14ac:dyDescent="0.3">
      <c r="A41" s="3">
        <f>'Growth Parameter average'!B7</f>
        <v>44741</v>
      </c>
      <c r="B41" s="28">
        <f>'Growth Parameter average'!C7</f>
        <v>6</v>
      </c>
      <c r="C41">
        <f>'Growth Parameter average'!G7</f>
        <v>7.5724999999999998</v>
      </c>
      <c r="D41">
        <f>'Growth Parameter average'!H7</f>
        <v>1.063090620157412</v>
      </c>
      <c r="E41">
        <f>'Growth Parameter average'!I7</f>
        <v>6.9025000000000003E-2</v>
      </c>
      <c r="F41">
        <f>'Growth Parameter average'!J7</f>
        <v>1.0340011283036977E-2</v>
      </c>
      <c r="G41" t="e">
        <f>'Growth Parameter average'!K7</f>
        <v>#DIV/0!</v>
      </c>
      <c r="H41" t="e">
        <f>'Growth Parameter average'!L7</f>
        <v>#DIV/0!</v>
      </c>
      <c r="I41">
        <f>'Growth Parameter average'!M7</f>
        <v>110.97111392503646</v>
      </c>
      <c r="J41">
        <f>'Growth Parameter average'!N7</f>
        <v>17.715573238543502</v>
      </c>
      <c r="K41">
        <f>'Growth Parameter average'!O7</f>
        <v>23.728569466022297</v>
      </c>
      <c r="L41">
        <f>'Growth Parameter average'!P7</f>
        <v>8.0179566673921716</v>
      </c>
    </row>
    <row r="42" spans="1:12" x14ac:dyDescent="0.3">
      <c r="A42" s="3">
        <f>'Growth Parameter average'!B11</f>
        <v>44743</v>
      </c>
      <c r="B42" s="28">
        <f>'Growth Parameter average'!C11</f>
        <v>8</v>
      </c>
      <c r="C42">
        <f>'Growth Parameter average'!G11</f>
        <v>11.136749999999999</v>
      </c>
      <c r="D42">
        <f>'Growth Parameter average'!H11</f>
        <v>1.7899622668276216</v>
      </c>
      <c r="E42">
        <f>'Growth Parameter average'!I11</f>
        <v>9.2374999999999999E-2</v>
      </c>
      <c r="F42">
        <f>'Growth Parameter average'!J11</f>
        <v>6.8830104847612573E-3</v>
      </c>
      <c r="G42" t="e">
        <f>'Growth Parameter average'!K11</f>
        <v>#DIV/0!</v>
      </c>
      <c r="H42" t="e">
        <f>'Growth Parameter average'!L11</f>
        <v>#DIV/0!</v>
      </c>
      <c r="I42">
        <f>'Growth Parameter average'!M11</f>
        <v>120.0455801585361</v>
      </c>
      <c r="J42">
        <f>'Growth Parameter average'!N11</f>
        <v>12.490766204488761</v>
      </c>
      <c r="K42">
        <f>'Growth Parameter average'!O11</f>
        <v>14.920885009559557</v>
      </c>
      <c r="L42">
        <f>'Growth Parameter average'!P11</f>
        <v>4.7468975688691621</v>
      </c>
    </row>
    <row r="43" spans="1:12" x14ac:dyDescent="0.3">
      <c r="A43" s="3">
        <f>'Growth Parameter average'!B15</f>
        <v>44746</v>
      </c>
      <c r="B43" s="28">
        <f>'Growth Parameter average'!C15</f>
        <v>11</v>
      </c>
      <c r="C43">
        <f>'Growth Parameter average'!G15</f>
        <v>16.052</v>
      </c>
      <c r="D43">
        <f>'Growth Parameter average'!H15</f>
        <v>2.9706613180681991</v>
      </c>
      <c r="E43">
        <f>'Growth Parameter average'!I15</f>
        <v>0.140125</v>
      </c>
      <c r="F43">
        <f>'Growth Parameter average'!J15</f>
        <v>1.6681801461472912E-2</v>
      </c>
      <c r="G43" t="e">
        <f>'Growth Parameter average'!K15</f>
        <v>#DIV/0!</v>
      </c>
      <c r="H43" t="e">
        <f>'Growth Parameter average'!L15</f>
        <v>#DIV/0!</v>
      </c>
      <c r="I43">
        <f>'Growth Parameter average'!M15</f>
        <v>114.21378199694549</v>
      </c>
      <c r="J43">
        <f>'Growth Parameter average'!N15</f>
        <v>14.660534777656871</v>
      </c>
      <c r="K43">
        <f>'Growth Parameter average'!O15</f>
        <v>13.777001845898486</v>
      </c>
      <c r="L43">
        <f>'Growth Parameter average'!P15</f>
        <v>6.1491802359245016</v>
      </c>
    </row>
    <row r="44" spans="1:12" x14ac:dyDescent="0.3">
      <c r="A44" s="3">
        <f>'Growth Parameter average'!B19</f>
        <v>44748</v>
      </c>
      <c r="B44" s="28">
        <f>'Growth Parameter average'!C19</f>
        <v>13</v>
      </c>
      <c r="C44">
        <f>'Growth Parameter average'!G19</f>
        <v>15.067250000000001</v>
      </c>
      <c r="D44">
        <f>'Growth Parameter average'!H19</f>
        <v>1.5448698704637442</v>
      </c>
      <c r="E44">
        <f>'Growth Parameter average'!I19</f>
        <v>0.14434999999999998</v>
      </c>
      <c r="F44">
        <f>'Growth Parameter average'!J19</f>
        <v>1.1818206293680951E-2</v>
      </c>
      <c r="G44" t="e">
        <f>'Growth Parameter average'!K19</f>
        <v>#DIV/0!</v>
      </c>
      <c r="H44" t="e">
        <f>'Growth Parameter average'!L19</f>
        <v>#DIV/0!</v>
      </c>
      <c r="I44">
        <f>'Growth Parameter average'!M19</f>
        <v>104.3549729061251</v>
      </c>
      <c r="J44">
        <f>'Growth Parameter average'!N19</f>
        <v>5.5092121538889458</v>
      </c>
      <c r="K44">
        <f>'Growth Parameter average'!O19</f>
        <v>1.6301770441636538</v>
      </c>
      <c r="L44">
        <f>'Growth Parameter average'!P19</f>
        <v>9.3000524952235182</v>
      </c>
    </row>
    <row r="45" spans="1:12" x14ac:dyDescent="0.3">
      <c r="A45" s="3">
        <f>'Growth Parameter average'!B23</f>
        <v>44750</v>
      </c>
      <c r="B45" s="28">
        <f>'Growth Parameter average'!C23</f>
        <v>15</v>
      </c>
      <c r="C45">
        <f>'Growth Parameter average'!G23</f>
        <v>13.05</v>
      </c>
      <c r="D45">
        <f>'Growth Parameter average'!H23</f>
        <v>1.7621458509442396</v>
      </c>
      <c r="E45">
        <f>'Growth Parameter average'!I23</f>
        <v>0.1353</v>
      </c>
      <c r="F45">
        <f>'Growth Parameter average'!J23</f>
        <v>1.0840971666168433E-2</v>
      </c>
      <c r="G45" t="e">
        <f>'Growth Parameter average'!K23</f>
        <v>#DIV/0!</v>
      </c>
      <c r="H45" t="e">
        <f>'Growth Parameter average'!L23</f>
        <v>#DIV/0!</v>
      </c>
      <c r="I45">
        <f>'Growth Parameter average'!M23</f>
        <v>96.160163851765773</v>
      </c>
      <c r="J45">
        <f>'Growth Parameter average'!N23</f>
        <v>5.8867098463494631</v>
      </c>
      <c r="K45">
        <f>'Growth Parameter average'!O23</f>
        <v>-3.2275519490254085</v>
      </c>
      <c r="L45">
        <f>'Growth Parameter average'!P23</f>
        <v>7.1813687228881387</v>
      </c>
    </row>
    <row r="46" spans="1:12" x14ac:dyDescent="0.3">
      <c r="A46" s="3">
        <f>'Growth Parameter average'!B27</f>
        <v>44753</v>
      </c>
      <c r="B46" s="28">
        <f>'Growth Parameter average'!C27</f>
        <v>18</v>
      </c>
      <c r="C46">
        <f>'Growth Parameter average'!G27</f>
        <v>17.59525</v>
      </c>
      <c r="D46">
        <f>'Growth Parameter average'!H27</f>
        <v>1.8649090013545784</v>
      </c>
      <c r="E46">
        <f>'Growth Parameter average'!I27</f>
        <v>0.18434999999999999</v>
      </c>
      <c r="F46">
        <f>'Growth Parameter average'!J27</f>
        <v>1.4631586835792394E-2</v>
      </c>
      <c r="G46" t="e">
        <f>'Growth Parameter average'!K27</f>
        <v>#DIV/0!</v>
      </c>
      <c r="H46" t="e">
        <f>'Growth Parameter average'!L27</f>
        <v>#DIV/0!</v>
      </c>
      <c r="I46">
        <f>'Growth Parameter average'!M27</f>
        <v>95.345467949832226</v>
      </c>
      <c r="J46">
        <f>'Growth Parameter average'!N27</f>
        <v>4.8207869470003519</v>
      </c>
      <c r="K46">
        <f>'Growth Parameter average'!O27</f>
        <v>10.310942133007034</v>
      </c>
      <c r="L46">
        <f>'Growth Parameter average'!P27</f>
        <v>2.0470231056935391</v>
      </c>
    </row>
    <row r="47" spans="1:12" x14ac:dyDescent="0.3">
      <c r="A47" s="3"/>
      <c r="B47" s="28"/>
    </row>
    <row r="48" spans="1:12" x14ac:dyDescent="0.3">
      <c r="A48" s="4" t="s">
        <v>19</v>
      </c>
    </row>
    <row r="49" spans="1:12" ht="14.7" customHeight="1" x14ac:dyDescent="0.3">
      <c r="A49" s="25" t="s">
        <v>0</v>
      </c>
      <c r="B49" s="25" t="s">
        <v>1</v>
      </c>
      <c r="C49" s="39" t="s">
        <v>6</v>
      </c>
      <c r="D49" s="39"/>
      <c r="E49" s="39" t="s">
        <v>4</v>
      </c>
      <c r="F49" s="39"/>
      <c r="G49" s="39" t="s">
        <v>5</v>
      </c>
      <c r="H49" s="39"/>
      <c r="I49" s="39" t="s">
        <v>7</v>
      </c>
      <c r="J49" s="39"/>
      <c r="K49" s="39" t="s">
        <v>86</v>
      </c>
      <c r="L49" s="39"/>
    </row>
    <row r="50" spans="1:12" x14ac:dyDescent="0.3">
      <c r="C50" s="2" t="s">
        <v>60</v>
      </c>
      <c r="D50" s="2" t="s">
        <v>63</v>
      </c>
      <c r="E50" s="2" t="s">
        <v>60</v>
      </c>
      <c r="F50" s="2" t="s">
        <v>63</v>
      </c>
      <c r="G50" s="2" t="s">
        <v>60</v>
      </c>
      <c r="H50" s="2" t="s">
        <v>63</v>
      </c>
      <c r="I50" s="2" t="s">
        <v>60</v>
      </c>
      <c r="J50" s="2" t="s">
        <v>63</v>
      </c>
      <c r="K50" s="2" t="s">
        <v>60</v>
      </c>
      <c r="L50" s="2" t="s">
        <v>63</v>
      </c>
    </row>
    <row r="51" spans="1:12" x14ac:dyDescent="0.3">
      <c r="A51" s="3">
        <f>'Growth Parameter average'!B3</f>
        <v>44735</v>
      </c>
      <c r="B51" s="28">
        <f>'Growth Parameter average'!C3</f>
        <v>0</v>
      </c>
      <c r="C51">
        <f>'Growth Parameter average'!G3</f>
        <v>3.8325000000000005</v>
      </c>
      <c r="D51">
        <f>'Growth Parameter average'!H3</f>
        <v>0.29398922882763362</v>
      </c>
      <c r="E51">
        <f>'Growth Parameter average'!I3</f>
        <v>1.9975E-2</v>
      </c>
      <c r="F51">
        <f>'Growth Parameter average'!J3</f>
        <v>4.2177205534111263E-3</v>
      </c>
      <c r="G51" t="e">
        <f>'Growth Parameter average'!K3</f>
        <v>#DIV/0!</v>
      </c>
      <c r="H51" t="e">
        <f>'Growth Parameter average'!L3</f>
        <v>#DIV/0!</v>
      </c>
      <c r="I51">
        <f>'Growth Parameter average'!M3</f>
        <v>196.23931130086902</v>
      </c>
      <c r="J51">
        <f>'Growth Parameter average'!N3</f>
        <v>28.473539730110328</v>
      </c>
      <c r="K51" t="e">
        <f>'Growth Parameter average'!O3</f>
        <v>#DIV/0!</v>
      </c>
      <c r="L51" t="e">
        <f>'Growth Parameter average'!P3</f>
        <v>#DIV/0!</v>
      </c>
    </row>
    <row r="52" spans="1:12" x14ac:dyDescent="0.3">
      <c r="A52" s="3">
        <f>'Growth Parameter average'!B4</f>
        <v>44739</v>
      </c>
      <c r="B52" s="28">
        <f>'Growth Parameter average'!C4</f>
        <v>4</v>
      </c>
      <c r="C52">
        <f>'Growth Parameter average'!G4</f>
        <v>5.6814999999999998</v>
      </c>
      <c r="D52">
        <f>'Growth Parameter average'!H4</f>
        <v>0.39396488845242705</v>
      </c>
      <c r="E52">
        <f>'Growth Parameter average'!I4</f>
        <v>4.2550000000000004E-2</v>
      </c>
      <c r="F52">
        <f>'Growth Parameter average'!J4</f>
        <v>6.7830671528446244E-3</v>
      </c>
      <c r="G52" t="e">
        <f>'Growth Parameter average'!K4</f>
        <v>#DIV/0!</v>
      </c>
      <c r="H52" t="e">
        <f>'Growth Parameter average'!L4</f>
        <v>#DIV/0!</v>
      </c>
      <c r="I52">
        <f>'Growth Parameter average'!M4</f>
        <v>136.78885720201794</v>
      </c>
      <c r="J52">
        <f>'Growth Parameter average'!N4</f>
        <v>28.575256726026076</v>
      </c>
      <c r="K52">
        <f>'Growth Parameter average'!O4</f>
        <v>18.635302689757573</v>
      </c>
      <c r="L52">
        <f>'Growth Parameter average'!P4</f>
        <v>4.3697378483588105</v>
      </c>
    </row>
    <row r="53" spans="1:12" x14ac:dyDescent="0.3">
      <c r="A53" s="3">
        <f>'Growth Parameter average'!B8</f>
        <v>44741</v>
      </c>
      <c r="B53" s="28">
        <f>'Growth Parameter average'!C8</f>
        <v>6</v>
      </c>
      <c r="C53">
        <f>'Growth Parameter average'!G8</f>
        <v>6.7490000000000006</v>
      </c>
      <c r="D53">
        <f>'Growth Parameter average'!H8</f>
        <v>1.2179482747637536</v>
      </c>
      <c r="E53">
        <f>'Growth Parameter average'!I8</f>
        <v>5.6799999999999996E-2</v>
      </c>
      <c r="F53">
        <f>'Growth Parameter average'!J8</f>
        <v>9.2184597411932179E-3</v>
      </c>
      <c r="G53" t="e">
        <f>'Growth Parameter average'!K8</f>
        <v>#DIV/0!</v>
      </c>
      <c r="H53" t="e">
        <f>'Growth Parameter average'!L8</f>
        <v>#DIV/0!</v>
      </c>
      <c r="I53">
        <f>'Growth Parameter average'!M8</f>
        <v>119.04236878193021</v>
      </c>
      <c r="J53">
        <f>'Growth Parameter average'!N8</f>
        <v>10.854992604908681</v>
      </c>
      <c r="K53">
        <f>'Growth Parameter average'!O8</f>
        <v>13.956937441311791</v>
      </c>
      <c r="L53">
        <f>'Growth Parameter average'!P8</f>
        <v>8.0157969507577995</v>
      </c>
    </row>
    <row r="54" spans="1:12" x14ac:dyDescent="0.3">
      <c r="A54" s="3">
        <f>'Growth Parameter average'!B12</f>
        <v>44743</v>
      </c>
      <c r="B54" s="28">
        <f>'Growth Parameter average'!C12</f>
        <v>8</v>
      </c>
      <c r="C54">
        <f>'Growth Parameter average'!G12</f>
        <v>6.7297500000000001</v>
      </c>
      <c r="D54">
        <f>'Growth Parameter average'!H12</f>
        <v>0.78052306179894526</v>
      </c>
      <c r="E54">
        <f>'Growth Parameter average'!I12</f>
        <v>6.3049999999999995E-2</v>
      </c>
      <c r="F54">
        <f>'Growth Parameter average'!J12</f>
        <v>1.1192110316349353E-2</v>
      </c>
      <c r="G54" t="e">
        <f>'Growth Parameter average'!K12</f>
        <v>#DIV/0!</v>
      </c>
      <c r="H54" t="e">
        <f>'Growth Parameter average'!L12</f>
        <v>#DIV/0!</v>
      </c>
      <c r="I54">
        <f>'Growth Parameter average'!M12</f>
        <v>107.9241580139871</v>
      </c>
      <c r="J54">
        <f>'Growth Parameter average'!N12</f>
        <v>9.7480149095815527</v>
      </c>
      <c r="K54">
        <f>'Growth Parameter average'!O12</f>
        <v>5.0385073010998136</v>
      </c>
      <c r="L54">
        <f>'Growth Parameter average'!P12</f>
        <v>5.5634672571084591</v>
      </c>
    </row>
    <row r="55" spans="1:12" x14ac:dyDescent="0.3">
      <c r="A55" s="3">
        <f>'Growth Parameter average'!B16</f>
        <v>44746</v>
      </c>
      <c r="B55" s="28">
        <f>'Growth Parameter average'!C16</f>
        <v>11</v>
      </c>
      <c r="C55">
        <f>'Growth Parameter average'!G16</f>
        <v>7.04575</v>
      </c>
      <c r="D55">
        <f>'Growth Parameter average'!H16</f>
        <v>0.86222401381543423</v>
      </c>
      <c r="E55">
        <f>'Growth Parameter average'!I16</f>
        <v>6.8500000000000005E-2</v>
      </c>
      <c r="F55">
        <f>'Growth Parameter average'!J16</f>
        <v>9.9310959448927361E-3</v>
      </c>
      <c r="G55" t="e">
        <f>'Growth Parameter average'!K16</f>
        <v>#DIV/0!</v>
      </c>
      <c r="H55" t="e">
        <f>'Growth Parameter average'!L16</f>
        <v>#DIV/0!</v>
      </c>
      <c r="I55">
        <f>'Growth Parameter average'!M16</f>
        <v>103.36812561797416</v>
      </c>
      <c r="J55">
        <f>'Growth Parameter average'!N16</f>
        <v>8.2459761778200136</v>
      </c>
      <c r="K55">
        <f>'Growth Parameter average'!O16</f>
        <v>2.9349121745788591</v>
      </c>
      <c r="L55">
        <f>'Growth Parameter average'!P16</f>
        <v>3.0154219084261156</v>
      </c>
    </row>
    <row r="56" spans="1:12" x14ac:dyDescent="0.3">
      <c r="A56" s="3">
        <f>'Growth Parameter average'!B20</f>
        <v>44748</v>
      </c>
      <c r="B56" s="28">
        <f>'Growth Parameter average'!C20</f>
        <v>13</v>
      </c>
      <c r="C56">
        <f>'Growth Parameter average'!G20</f>
        <v>6.3029999999999999</v>
      </c>
      <c r="D56">
        <f>'Growth Parameter average'!H20</f>
        <v>0.90217182398920093</v>
      </c>
      <c r="E56">
        <f>'Growth Parameter average'!I20</f>
        <v>6.2799999999999995E-2</v>
      </c>
      <c r="F56">
        <f>'Growth Parameter average'!J20</f>
        <v>1.2550962778475073E-2</v>
      </c>
      <c r="G56" t="e">
        <f>'Growth Parameter average'!K20</f>
        <v>#DIV/0!</v>
      </c>
      <c r="H56" t="e">
        <f>'Growth Parameter average'!L20</f>
        <v>#DIV/0!</v>
      </c>
      <c r="I56">
        <f>'Growth Parameter average'!M20</f>
        <v>101.4206036274206</v>
      </c>
      <c r="J56">
        <f>'Growth Parameter average'!N20</f>
        <v>10.256513425536102</v>
      </c>
      <c r="K56">
        <f>'Growth Parameter average'!O20</f>
        <v>-4.663795030698763</v>
      </c>
      <c r="L56">
        <f>'Growth Parameter average'!P20</f>
        <v>8.8007011748938151</v>
      </c>
    </row>
    <row r="57" spans="1:12" x14ac:dyDescent="0.3">
      <c r="A57" s="3">
        <f>'Growth Parameter average'!B24</f>
        <v>44750</v>
      </c>
      <c r="B57" s="28">
        <f>'Growth Parameter average'!C24</f>
        <v>15</v>
      </c>
      <c r="C57">
        <f>'Growth Parameter average'!G24</f>
        <v>5.9359999999999999</v>
      </c>
      <c r="D57">
        <f>'Growth Parameter average'!H24</f>
        <v>0.983668982263179</v>
      </c>
      <c r="E57">
        <f>'Growth Parameter average'!I24</f>
        <v>6.1675000000000001E-2</v>
      </c>
      <c r="F57">
        <f>'Growth Parameter average'!J24</f>
        <v>1.3496264915400381E-2</v>
      </c>
      <c r="G57" t="e">
        <f>'Growth Parameter average'!K24</f>
        <v>#DIV/0!</v>
      </c>
      <c r="H57" t="e">
        <f>'Growth Parameter average'!L24</f>
        <v>#DIV/0!</v>
      </c>
      <c r="I57">
        <f>'Growth Parameter average'!M24</f>
        <v>97.141048181075007</v>
      </c>
      <c r="J57">
        <f>'Growth Parameter average'!N24</f>
        <v>5.6518852485887461</v>
      </c>
      <c r="K57">
        <f>'Growth Parameter average'!O24</f>
        <v>-1.0934696652941214</v>
      </c>
      <c r="L57">
        <f>'Growth Parameter average'!P24</f>
        <v>17.124659539066595</v>
      </c>
    </row>
    <row r="58" spans="1:12" x14ac:dyDescent="0.3">
      <c r="A58" s="3">
        <f>'Growth Parameter average'!B28</f>
        <v>44753</v>
      </c>
      <c r="B58" s="28">
        <f>'Growth Parameter average'!C28</f>
        <v>18</v>
      </c>
      <c r="C58">
        <f>'Growth Parameter average'!G28</f>
        <v>7.0270000000000001</v>
      </c>
      <c r="D58">
        <f>'Growth Parameter average'!H28</f>
        <v>0.35996110901040423</v>
      </c>
      <c r="E58">
        <f>'Growth Parameter average'!I28</f>
        <v>7.2075E-2</v>
      </c>
      <c r="F58">
        <f>'Growth Parameter average'!J28</f>
        <v>5.8431583925134161E-3</v>
      </c>
      <c r="G58" t="e">
        <f>'Growth Parameter average'!K28</f>
        <v>#DIV/0!</v>
      </c>
      <c r="H58" t="e">
        <f>'Growth Parameter average'!L28</f>
        <v>#DIV/0!</v>
      </c>
      <c r="I58">
        <f>'Growth Parameter average'!M28</f>
        <v>97.738956046433515</v>
      </c>
      <c r="J58">
        <f>'Growth Parameter average'!N28</f>
        <v>5.0402838724747649</v>
      </c>
      <c r="K58">
        <f>'Growth Parameter average'!O28</f>
        <v>5.7259072932044681</v>
      </c>
      <c r="L58">
        <f>'Growth Parameter average'!P28</f>
        <v>7.0377422229259468</v>
      </c>
    </row>
  </sheetData>
  <mergeCells count="24">
    <mergeCell ref="A2:A3"/>
    <mergeCell ref="A4:A5"/>
    <mergeCell ref="A6:A7"/>
    <mergeCell ref="A8:A9"/>
    <mergeCell ref="C13:D13"/>
    <mergeCell ref="G13:H13"/>
    <mergeCell ref="I13:J13"/>
    <mergeCell ref="K13:L13"/>
    <mergeCell ref="C25:D25"/>
    <mergeCell ref="E25:F25"/>
    <mergeCell ref="G25:H25"/>
    <mergeCell ref="I25:J25"/>
    <mergeCell ref="K25:L25"/>
    <mergeCell ref="E13:F13"/>
    <mergeCell ref="C49:D49"/>
    <mergeCell ref="E49:F49"/>
    <mergeCell ref="G49:H49"/>
    <mergeCell ref="I49:J49"/>
    <mergeCell ref="K49:L49"/>
    <mergeCell ref="C37:D37"/>
    <mergeCell ref="E37:F37"/>
    <mergeCell ref="G37:H37"/>
    <mergeCell ref="I37:J37"/>
    <mergeCell ref="K37:L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1F8-B0C9-459C-928E-9B8FB9DA5C5A}">
  <dimension ref="A1:BA162"/>
  <sheetViews>
    <sheetView topLeftCell="AL19" zoomScaleNormal="100" workbookViewId="0">
      <selection activeCell="BB26" sqref="BB26"/>
    </sheetView>
  </sheetViews>
  <sheetFormatPr defaultColWidth="11.5546875" defaultRowHeight="14.4" x14ac:dyDescent="0.3"/>
  <cols>
    <col min="5" max="5" width="13.44140625" bestFit="1" customWidth="1"/>
    <col min="39" max="39" width="11.21875" customWidth="1"/>
    <col min="40" max="40" width="10.77734375" customWidth="1"/>
    <col min="44" max="44" width="12" bestFit="1" customWidth="1"/>
    <col min="45" max="45" width="12.21875" bestFit="1" customWidth="1"/>
    <col min="46" max="46" width="13" customWidth="1"/>
    <col min="47" max="47" width="13.77734375" customWidth="1"/>
    <col min="51" max="51" width="13.44140625" bestFit="1" customWidth="1"/>
  </cols>
  <sheetData>
    <row r="1" spans="1:52" x14ac:dyDescent="0.3">
      <c r="A1" s="4" t="s">
        <v>36</v>
      </c>
    </row>
    <row r="2" spans="1:52" x14ac:dyDescent="0.3">
      <c r="A2" s="4" t="s">
        <v>37</v>
      </c>
      <c r="B2" t="s">
        <v>44</v>
      </c>
    </row>
    <row r="3" spans="1:52" x14ac:dyDescent="0.3">
      <c r="A3" s="4" t="s">
        <v>38</v>
      </c>
      <c r="B3" t="s">
        <v>43</v>
      </c>
    </row>
    <row r="4" spans="1:52" x14ac:dyDescent="0.3">
      <c r="G4" s="43" t="s">
        <v>27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V4" s="43" t="s">
        <v>35</v>
      </c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29"/>
      <c r="AK4" s="29"/>
      <c r="AL4" s="29"/>
      <c r="AM4" s="29"/>
      <c r="AN4" s="29"/>
      <c r="AO4" s="29"/>
      <c r="AP4" s="29"/>
      <c r="AQ4" s="5"/>
    </row>
    <row r="5" spans="1:52" ht="16.2" x14ac:dyDescent="0.3">
      <c r="G5" s="44" t="s">
        <v>24</v>
      </c>
      <c r="H5" s="44"/>
      <c r="I5" s="44"/>
      <c r="J5" s="44"/>
      <c r="K5" s="44"/>
      <c r="L5" s="44"/>
      <c r="M5" s="44"/>
      <c r="N5" s="43" t="s">
        <v>26</v>
      </c>
      <c r="O5" s="43"/>
      <c r="P5" s="43"/>
      <c r="Q5" s="43"/>
      <c r="R5" s="43"/>
      <c r="S5" s="43"/>
      <c r="T5" s="43"/>
      <c r="V5" s="45" t="s">
        <v>24</v>
      </c>
      <c r="W5" s="45"/>
      <c r="X5" s="45"/>
      <c r="Y5" s="45"/>
      <c r="Z5" s="45"/>
      <c r="AA5" s="45"/>
      <c r="AB5" s="46"/>
      <c r="AC5" s="43" t="s">
        <v>26</v>
      </c>
      <c r="AD5" s="43"/>
      <c r="AE5" s="43"/>
      <c r="AF5" s="43"/>
      <c r="AG5" s="43"/>
      <c r="AH5" s="43"/>
      <c r="AI5" s="43"/>
      <c r="AJ5" s="29"/>
      <c r="AK5" s="41" t="s">
        <v>25</v>
      </c>
      <c r="AL5" s="42"/>
      <c r="AM5" s="43" t="s">
        <v>39</v>
      </c>
      <c r="AN5" s="43"/>
      <c r="AO5" s="29"/>
      <c r="AP5" s="29" t="s">
        <v>66</v>
      </c>
      <c r="AQ5" s="5"/>
      <c r="AR5" s="41" t="s">
        <v>76</v>
      </c>
      <c r="AS5" s="42"/>
      <c r="AT5" s="43" t="s">
        <v>77</v>
      </c>
      <c r="AU5" s="43"/>
    </row>
    <row r="6" spans="1:52" ht="16.2" x14ac:dyDescent="0.3">
      <c r="A6" s="1" t="s">
        <v>21</v>
      </c>
      <c r="B6" s="1" t="s">
        <v>0</v>
      </c>
      <c r="C6" s="1" t="s">
        <v>1</v>
      </c>
      <c r="D6" s="1" t="s">
        <v>9</v>
      </c>
      <c r="E6" s="1" t="s">
        <v>2</v>
      </c>
      <c r="F6" s="14" t="s">
        <v>3</v>
      </c>
      <c r="G6" s="15" t="s">
        <v>28</v>
      </c>
      <c r="H6" s="15" t="s">
        <v>29</v>
      </c>
      <c r="I6" s="15" t="s">
        <v>30</v>
      </c>
      <c r="J6" s="15" t="s">
        <v>31</v>
      </c>
      <c r="K6" s="15" t="s">
        <v>32</v>
      </c>
      <c r="L6" s="15" t="s">
        <v>33</v>
      </c>
      <c r="M6" s="17" t="s">
        <v>34</v>
      </c>
      <c r="N6" s="8" t="s">
        <v>28</v>
      </c>
      <c r="O6" s="8" t="s">
        <v>29</v>
      </c>
      <c r="P6" s="8" t="s">
        <v>30</v>
      </c>
      <c r="Q6" s="8" t="s">
        <v>31</v>
      </c>
      <c r="R6" s="8" t="s">
        <v>32</v>
      </c>
      <c r="S6" s="8" t="s">
        <v>33</v>
      </c>
      <c r="T6" s="8" t="s">
        <v>34</v>
      </c>
      <c r="V6" s="10">
        <v>10</v>
      </c>
      <c r="W6" s="10">
        <v>100</v>
      </c>
      <c r="X6" s="10">
        <v>1000</v>
      </c>
      <c r="Y6" s="10">
        <v>10000</v>
      </c>
      <c r="Z6" s="10">
        <v>100000</v>
      </c>
      <c r="AA6" s="10">
        <v>1000000</v>
      </c>
      <c r="AB6" s="12">
        <v>10000000</v>
      </c>
      <c r="AC6" s="7">
        <v>10</v>
      </c>
      <c r="AD6" s="7">
        <v>100</v>
      </c>
      <c r="AE6" s="7">
        <v>1000</v>
      </c>
      <c r="AF6" s="7">
        <v>10000</v>
      </c>
      <c r="AG6" s="7">
        <v>100000</v>
      </c>
      <c r="AH6" s="7">
        <v>1000000</v>
      </c>
      <c r="AI6" s="7">
        <v>10000000</v>
      </c>
      <c r="AJ6" s="7"/>
      <c r="AK6" s="20" t="s">
        <v>24</v>
      </c>
      <c r="AL6" s="21" t="s">
        <v>26</v>
      </c>
      <c r="AM6" s="9" t="s">
        <v>24</v>
      </c>
      <c r="AN6" s="4" t="s">
        <v>26</v>
      </c>
      <c r="AO6" s="4"/>
      <c r="AP6" s="4"/>
      <c r="AQ6" s="7"/>
      <c r="AR6" s="20" t="s">
        <v>24</v>
      </c>
      <c r="AS6" s="21" t="s">
        <v>26</v>
      </c>
      <c r="AT6" s="9" t="s">
        <v>24</v>
      </c>
      <c r="AU6" s="4" t="s">
        <v>26</v>
      </c>
      <c r="AW6" s="37" t="s">
        <v>1</v>
      </c>
      <c r="AX6" s="37" t="s">
        <v>9</v>
      </c>
      <c r="AY6" s="37" t="s">
        <v>2</v>
      </c>
      <c r="AZ6" s="14" t="s">
        <v>3</v>
      </c>
    </row>
    <row r="7" spans="1:52" x14ac:dyDescent="0.3">
      <c r="A7" t="s">
        <v>22</v>
      </c>
      <c r="B7" s="3">
        <v>44735</v>
      </c>
      <c r="C7">
        <f>B7-$B$7</f>
        <v>0</v>
      </c>
      <c r="D7" t="s">
        <v>15</v>
      </c>
      <c r="E7" t="s">
        <v>10</v>
      </c>
      <c r="F7" s="16" t="s">
        <v>11</v>
      </c>
      <c r="G7" s="19"/>
      <c r="H7" s="16">
        <v>0</v>
      </c>
      <c r="I7" s="16">
        <v>0</v>
      </c>
      <c r="J7" s="16">
        <v>0</v>
      </c>
      <c r="K7" s="19"/>
      <c r="L7" s="16"/>
      <c r="M7" s="18"/>
      <c r="O7" s="16">
        <v>5</v>
      </c>
      <c r="P7" s="16">
        <v>2</v>
      </c>
      <c r="Q7" s="16">
        <v>0</v>
      </c>
      <c r="V7" s="11">
        <f>G7*$V$6</f>
        <v>0</v>
      </c>
      <c r="W7" s="11">
        <f>H7*$W$6</f>
        <v>0</v>
      </c>
      <c r="X7" s="11">
        <f>I7*$X$6</f>
        <v>0</v>
      </c>
      <c r="Y7" s="11">
        <f>J7*$Y$6</f>
        <v>0</v>
      </c>
      <c r="Z7" s="11">
        <f>K7*$Z$6</f>
        <v>0</v>
      </c>
      <c r="AA7" s="11">
        <f>L7*$AA$6</f>
        <v>0</v>
      </c>
      <c r="AB7" s="13">
        <f>M7*$AB$6</f>
        <v>0</v>
      </c>
      <c r="AC7" s="11">
        <f>N7*$V$6</f>
        <v>0</v>
      </c>
      <c r="AD7" s="11">
        <f>O7*$W$6</f>
        <v>500</v>
      </c>
      <c r="AE7" s="11">
        <f>P7*$X$6</f>
        <v>2000</v>
      </c>
      <c r="AF7" s="11">
        <f>Q7*$Y$6</f>
        <v>0</v>
      </c>
      <c r="AG7" s="11">
        <f>R7*$Z$6</f>
        <v>0</v>
      </c>
      <c r="AH7" s="11">
        <f>S7*$AA$6</f>
        <v>0</v>
      </c>
      <c r="AI7" s="11">
        <f>T7*$AB$6</f>
        <v>0</v>
      </c>
      <c r="AJ7" s="11"/>
      <c r="AK7" s="11">
        <f>AVERAGEIFS(V7:AB7,G7:M7,"&lt;=350",G7:M7,"&gt;=0")</f>
        <v>0</v>
      </c>
      <c r="AL7" s="13">
        <f>AVERAGEIFS(AC7:AI7,N7:T7,"&lt;=1000",N7:T7,"&gt;=1")</f>
        <v>1250</v>
      </c>
      <c r="AM7" t="e">
        <f>LOG10(AK7)</f>
        <v>#NUM!</v>
      </c>
      <c r="AN7">
        <f>LOG10(AL7)</f>
        <v>3.0969100130080562</v>
      </c>
      <c r="AO7" s="11"/>
      <c r="AP7" s="11">
        <f>'Growth Parameters'!G2</f>
        <v>3.5459999999999998</v>
      </c>
      <c r="AQ7" s="11"/>
      <c r="AR7" s="11">
        <f>AK7/AP7</f>
        <v>0</v>
      </c>
      <c r="AS7" s="13">
        <f>AL7/AP7</f>
        <v>352.50987027636774</v>
      </c>
      <c r="AT7" t="e">
        <f>LOG10(AR7)</f>
        <v>#NUM!</v>
      </c>
      <c r="AU7">
        <f>LOG10(AS7)</f>
        <v>2.5471712817431573</v>
      </c>
      <c r="AW7">
        <f>B7-$B$7</f>
        <v>0</v>
      </c>
      <c r="AX7" t="s">
        <v>15</v>
      </c>
      <c r="AY7" t="s">
        <v>10</v>
      </c>
      <c r="AZ7" s="16" t="s">
        <v>11</v>
      </c>
    </row>
    <row r="8" spans="1:52" x14ac:dyDescent="0.3">
      <c r="A8" t="s">
        <v>22</v>
      </c>
      <c r="B8" s="3">
        <v>44735</v>
      </c>
      <c r="C8">
        <f t="shared" ref="C8:C71" si="0">B8-$B$7</f>
        <v>0</v>
      </c>
      <c r="D8" t="s">
        <v>15</v>
      </c>
      <c r="E8" t="s">
        <v>10</v>
      </c>
      <c r="F8" s="16" t="s">
        <v>12</v>
      </c>
      <c r="G8" s="16"/>
      <c r="H8" s="16">
        <v>0</v>
      </c>
      <c r="I8" s="16">
        <v>0</v>
      </c>
      <c r="J8" s="16">
        <v>0</v>
      </c>
      <c r="K8" s="16"/>
      <c r="L8" s="16"/>
      <c r="M8" s="18"/>
      <c r="O8" s="16">
        <v>14</v>
      </c>
      <c r="P8" s="16">
        <v>2</v>
      </c>
      <c r="Q8" s="16">
        <v>0</v>
      </c>
      <c r="V8" s="11">
        <f t="shared" ref="V8:V71" si="1">G8*$V$6</f>
        <v>0</v>
      </c>
      <c r="W8" s="11">
        <f t="shared" ref="W8:W71" si="2">H8*$W$6</f>
        <v>0</v>
      </c>
      <c r="X8" s="11">
        <f t="shared" ref="X8:X71" si="3">I8*$X$6</f>
        <v>0</v>
      </c>
      <c r="Y8" s="11">
        <f t="shared" ref="Y8:Y71" si="4">J8*$Y$6</f>
        <v>0</v>
      </c>
      <c r="Z8" s="11">
        <f t="shared" ref="Z8:Z71" si="5">K8*$Z$6</f>
        <v>0</v>
      </c>
      <c r="AA8" s="11">
        <f t="shared" ref="AA8:AA71" si="6">L8*$AA$6</f>
        <v>0</v>
      </c>
      <c r="AB8" s="13">
        <f t="shared" ref="AB8:AB71" si="7">M8*$AB$6</f>
        <v>0</v>
      </c>
      <c r="AC8" s="11">
        <f t="shared" ref="AC8:AC71" si="8">N8*$V$6</f>
        <v>0</v>
      </c>
      <c r="AD8" s="11">
        <f t="shared" ref="AD8:AD71" si="9">O8*$W$6</f>
        <v>1400</v>
      </c>
      <c r="AE8" s="11">
        <f t="shared" ref="AE8:AE71" si="10">P8*$X$6</f>
        <v>2000</v>
      </c>
      <c r="AF8" s="11">
        <f t="shared" ref="AF8:AF71" si="11">Q8*$Y$6</f>
        <v>0</v>
      </c>
      <c r="AG8" s="11">
        <f t="shared" ref="AG8:AG71" si="12">R8*$Z$6</f>
        <v>0</v>
      </c>
      <c r="AH8" s="11">
        <f t="shared" ref="AH8:AH71" si="13">S8*$AA$6</f>
        <v>0</v>
      </c>
      <c r="AI8" s="11">
        <f t="shared" ref="AI8:AI71" si="14">T8*$AB$6</f>
        <v>0</v>
      </c>
      <c r="AJ8" s="11"/>
      <c r="AK8" s="11">
        <f t="shared" ref="AK8:AK30" si="15">AVERAGEIFS(V8:AB8,G8:M8,"&lt;=350",G8:M8,"&gt;=0")</f>
        <v>0</v>
      </c>
      <c r="AL8" s="13">
        <f t="shared" ref="AL8:AL30" si="16">AVERAGEIFS(AC8:AI8,N8:T8,"&lt;=1000",N8:T8,"&gt;=1")</f>
        <v>1700</v>
      </c>
      <c r="AM8" t="e">
        <f t="shared" ref="AM8:AM71" si="17">LOG10(AK8)</f>
        <v>#NUM!</v>
      </c>
      <c r="AN8">
        <f t="shared" ref="AN8:AN71" si="18">LOG10(AL8)</f>
        <v>3.2304489213782741</v>
      </c>
      <c r="AO8" s="11"/>
      <c r="AP8" s="11">
        <f>'Growth Parameters'!G3</f>
        <v>3.6269999999999998</v>
      </c>
      <c r="AQ8" s="11"/>
      <c r="AR8" s="11">
        <f t="shared" ref="AR8:AR71" si="19">AK8/AP8</f>
        <v>0</v>
      </c>
      <c r="AS8" s="13">
        <f t="shared" ref="AS8:AS71" si="20">AL8/AP8</f>
        <v>468.70692031982355</v>
      </c>
      <c r="AT8" t="e">
        <f t="shared" ref="AT8:AT71" si="21">LOG10(AR8)</f>
        <v>#NUM!</v>
      </c>
      <c r="AU8">
        <f t="shared" ref="AU8:AU71" si="22">LOG10(AS8)</f>
        <v>2.6709013657978398</v>
      </c>
      <c r="AW8">
        <f t="shared" ref="AW8:AW71" si="23">B8-$B$7</f>
        <v>0</v>
      </c>
      <c r="AX8" t="s">
        <v>15</v>
      </c>
      <c r="AY8" t="s">
        <v>10</v>
      </c>
      <c r="AZ8" s="16" t="s">
        <v>12</v>
      </c>
    </row>
    <row r="9" spans="1:52" x14ac:dyDescent="0.3">
      <c r="A9" t="s">
        <v>22</v>
      </c>
      <c r="B9" s="3">
        <v>44735</v>
      </c>
      <c r="C9">
        <f t="shared" si="0"/>
        <v>0</v>
      </c>
      <c r="D9" t="s">
        <v>15</v>
      </c>
      <c r="E9" t="s">
        <v>10</v>
      </c>
      <c r="F9" s="16" t="s">
        <v>13</v>
      </c>
      <c r="G9" s="16"/>
      <c r="H9" s="16">
        <v>0</v>
      </c>
      <c r="I9" s="16">
        <v>0</v>
      </c>
      <c r="J9" s="16">
        <v>0</v>
      </c>
      <c r="K9" s="16"/>
      <c r="L9" s="16"/>
      <c r="M9" s="18"/>
      <c r="O9" s="16">
        <v>5</v>
      </c>
      <c r="P9" s="16">
        <v>0</v>
      </c>
      <c r="Q9" s="16">
        <v>0</v>
      </c>
      <c r="V9" s="11">
        <f t="shared" si="1"/>
        <v>0</v>
      </c>
      <c r="W9" s="11">
        <f t="shared" si="2"/>
        <v>0</v>
      </c>
      <c r="X9" s="11">
        <f t="shared" si="3"/>
        <v>0</v>
      </c>
      <c r="Y9" s="11">
        <f t="shared" si="4"/>
        <v>0</v>
      </c>
      <c r="Z9" s="11">
        <f t="shared" si="5"/>
        <v>0</v>
      </c>
      <c r="AA9" s="11">
        <f t="shared" si="6"/>
        <v>0</v>
      </c>
      <c r="AB9" s="13">
        <f t="shared" si="7"/>
        <v>0</v>
      </c>
      <c r="AC9" s="11">
        <f t="shared" si="8"/>
        <v>0</v>
      </c>
      <c r="AD9" s="11">
        <f t="shared" si="9"/>
        <v>500</v>
      </c>
      <c r="AE9" s="11">
        <f t="shared" si="10"/>
        <v>0</v>
      </c>
      <c r="AF9" s="11">
        <f t="shared" si="11"/>
        <v>0</v>
      </c>
      <c r="AG9" s="11">
        <f t="shared" si="12"/>
        <v>0</v>
      </c>
      <c r="AH9" s="11">
        <f t="shared" si="13"/>
        <v>0</v>
      </c>
      <c r="AI9" s="11">
        <f t="shared" si="14"/>
        <v>0</v>
      </c>
      <c r="AJ9" s="11"/>
      <c r="AK9" s="11">
        <f t="shared" si="15"/>
        <v>0</v>
      </c>
      <c r="AL9" s="13">
        <f t="shared" si="16"/>
        <v>500</v>
      </c>
      <c r="AM9" t="e">
        <f t="shared" si="17"/>
        <v>#NUM!</v>
      </c>
      <c r="AN9">
        <f t="shared" si="18"/>
        <v>2.6989700043360187</v>
      </c>
      <c r="AO9" s="11"/>
      <c r="AP9" s="11">
        <f>'Growth Parameters'!G4</f>
        <v>4.1619999999999999</v>
      </c>
      <c r="AQ9" s="11"/>
      <c r="AR9" s="11">
        <f t="shared" si="19"/>
        <v>0</v>
      </c>
      <c r="AS9" s="13">
        <f t="shared" si="20"/>
        <v>120.13455069678039</v>
      </c>
      <c r="AT9" t="e">
        <f t="shared" si="21"/>
        <v>#NUM!</v>
      </c>
      <c r="AU9">
        <f t="shared" si="22"/>
        <v>2.0796679284604105</v>
      </c>
      <c r="AW9">
        <f t="shared" si="23"/>
        <v>0</v>
      </c>
      <c r="AX9" t="s">
        <v>15</v>
      </c>
      <c r="AY9" t="s">
        <v>10</v>
      </c>
      <c r="AZ9" s="16" t="s">
        <v>13</v>
      </c>
    </row>
    <row r="10" spans="1:52" x14ac:dyDescent="0.3">
      <c r="A10" t="s">
        <v>22</v>
      </c>
      <c r="B10" s="3">
        <v>44735</v>
      </c>
      <c r="C10">
        <f t="shared" si="0"/>
        <v>0</v>
      </c>
      <c r="D10" t="s">
        <v>15</v>
      </c>
      <c r="E10" t="s">
        <v>10</v>
      </c>
      <c r="F10" s="16" t="s">
        <v>14</v>
      </c>
      <c r="G10" s="16"/>
      <c r="H10" s="19">
        <v>0</v>
      </c>
      <c r="I10" s="19">
        <v>0</v>
      </c>
      <c r="J10" s="16">
        <v>0</v>
      </c>
      <c r="K10" s="16"/>
      <c r="L10" s="16"/>
      <c r="M10" s="18"/>
      <c r="O10" s="19">
        <v>3</v>
      </c>
      <c r="P10" s="19">
        <v>0</v>
      </c>
      <c r="Q10" s="16">
        <v>0</v>
      </c>
      <c r="V10" s="11">
        <f t="shared" si="1"/>
        <v>0</v>
      </c>
      <c r="W10" s="11">
        <f t="shared" si="2"/>
        <v>0</v>
      </c>
      <c r="X10" s="11">
        <f t="shared" si="3"/>
        <v>0</v>
      </c>
      <c r="Y10" s="11">
        <f t="shared" si="4"/>
        <v>0</v>
      </c>
      <c r="Z10" s="11">
        <f t="shared" si="5"/>
        <v>0</v>
      </c>
      <c r="AA10" s="11">
        <f t="shared" si="6"/>
        <v>0</v>
      </c>
      <c r="AB10" s="13">
        <f t="shared" si="7"/>
        <v>0</v>
      </c>
      <c r="AC10" s="11">
        <f t="shared" si="8"/>
        <v>0</v>
      </c>
      <c r="AD10" s="11">
        <f t="shared" si="9"/>
        <v>300</v>
      </c>
      <c r="AE10" s="11">
        <f t="shared" si="10"/>
        <v>0</v>
      </c>
      <c r="AF10" s="11">
        <f t="shared" si="11"/>
        <v>0</v>
      </c>
      <c r="AG10" s="11">
        <f t="shared" si="12"/>
        <v>0</v>
      </c>
      <c r="AH10" s="11">
        <f t="shared" si="13"/>
        <v>0</v>
      </c>
      <c r="AI10" s="11">
        <f t="shared" si="14"/>
        <v>0</v>
      </c>
      <c r="AJ10" s="11"/>
      <c r="AK10" s="11">
        <f t="shared" si="15"/>
        <v>0</v>
      </c>
      <c r="AL10" s="13">
        <f t="shared" si="16"/>
        <v>300</v>
      </c>
      <c r="AM10" t="e">
        <f t="shared" si="17"/>
        <v>#NUM!</v>
      </c>
      <c r="AN10">
        <f t="shared" si="18"/>
        <v>2.4771212547196626</v>
      </c>
      <c r="AO10" s="11"/>
      <c r="AP10" s="11">
        <f>'Growth Parameters'!G5</f>
        <v>3.9950000000000001</v>
      </c>
      <c r="AQ10" s="11"/>
      <c r="AR10" s="11">
        <f t="shared" si="19"/>
        <v>0</v>
      </c>
      <c r="AS10" s="13">
        <f t="shared" si="20"/>
        <v>75.093867334167712</v>
      </c>
      <c r="AT10" t="e">
        <f t="shared" si="21"/>
        <v>#NUM!</v>
      </c>
      <c r="AU10">
        <f t="shared" si="22"/>
        <v>1.8756044710696522</v>
      </c>
      <c r="AW10">
        <f t="shared" si="23"/>
        <v>0</v>
      </c>
      <c r="AX10" t="s">
        <v>15</v>
      </c>
      <c r="AY10" t="s">
        <v>10</v>
      </c>
      <c r="AZ10" s="16" t="s">
        <v>14</v>
      </c>
    </row>
    <row r="11" spans="1:52" x14ac:dyDescent="0.3">
      <c r="A11" t="s">
        <v>22</v>
      </c>
      <c r="B11" s="3">
        <v>44739</v>
      </c>
      <c r="C11">
        <f t="shared" si="0"/>
        <v>4</v>
      </c>
      <c r="D11" t="s">
        <v>16</v>
      </c>
      <c r="E11" t="s">
        <v>10</v>
      </c>
      <c r="F11" s="16" t="s">
        <v>11</v>
      </c>
      <c r="G11" s="16"/>
      <c r="H11" s="19">
        <v>0</v>
      </c>
      <c r="I11" s="19">
        <v>0</v>
      </c>
      <c r="J11" s="19">
        <v>0</v>
      </c>
      <c r="K11" s="16"/>
      <c r="L11" s="16"/>
      <c r="M11" s="18"/>
      <c r="O11" t="s">
        <v>79</v>
      </c>
      <c r="P11" t="s">
        <v>79</v>
      </c>
      <c r="Q11" s="19">
        <v>231</v>
      </c>
      <c r="V11" s="11">
        <f t="shared" si="1"/>
        <v>0</v>
      </c>
      <c r="W11" s="11">
        <f t="shared" si="2"/>
        <v>0</v>
      </c>
      <c r="X11" s="11">
        <f t="shared" si="3"/>
        <v>0</v>
      </c>
      <c r="Y11" s="11">
        <f t="shared" si="4"/>
        <v>0</v>
      </c>
      <c r="Z11" s="11">
        <f t="shared" si="5"/>
        <v>0</v>
      </c>
      <c r="AA11" s="11">
        <f t="shared" si="6"/>
        <v>0</v>
      </c>
      <c r="AB11" s="13">
        <f t="shared" si="7"/>
        <v>0</v>
      </c>
      <c r="AC11" s="11">
        <f t="shared" si="8"/>
        <v>0</v>
      </c>
      <c r="AD11" s="11" t="e">
        <f t="shared" si="9"/>
        <v>#VALUE!</v>
      </c>
      <c r="AE11" s="11" t="e">
        <f t="shared" si="10"/>
        <v>#VALUE!</v>
      </c>
      <c r="AF11" s="11">
        <f t="shared" si="11"/>
        <v>2310000</v>
      </c>
      <c r="AG11" s="11">
        <f t="shared" si="12"/>
        <v>0</v>
      </c>
      <c r="AH11" s="11">
        <f t="shared" si="13"/>
        <v>0</v>
      </c>
      <c r="AI11" s="11">
        <f t="shared" si="14"/>
        <v>0</v>
      </c>
      <c r="AJ11" s="11"/>
      <c r="AK11" s="11">
        <f t="shared" si="15"/>
        <v>0</v>
      </c>
      <c r="AL11" s="13">
        <f t="shared" si="16"/>
        <v>2310000</v>
      </c>
      <c r="AM11" t="e">
        <f t="shared" si="17"/>
        <v>#NUM!</v>
      </c>
      <c r="AN11">
        <f t="shared" si="18"/>
        <v>6.363611979892144</v>
      </c>
      <c r="AO11" s="11"/>
      <c r="AP11" s="11">
        <f>'Growth Parameters'!G6</f>
        <v>5.7510000000000003</v>
      </c>
      <c r="AQ11" s="11"/>
      <c r="AR11" s="11">
        <f t="shared" si="19"/>
        <v>0</v>
      </c>
      <c r="AS11" s="13">
        <f t="shared" si="20"/>
        <v>401669.27490871149</v>
      </c>
      <c r="AT11" t="e">
        <f t="shared" si="21"/>
        <v>#NUM!</v>
      </c>
      <c r="AU11">
        <f t="shared" si="22"/>
        <v>5.603868612294419</v>
      </c>
      <c r="AW11">
        <f t="shared" si="23"/>
        <v>4</v>
      </c>
      <c r="AX11" t="s">
        <v>16</v>
      </c>
      <c r="AY11" t="s">
        <v>10</v>
      </c>
      <c r="AZ11" s="16" t="s">
        <v>11</v>
      </c>
    </row>
    <row r="12" spans="1:52" x14ac:dyDescent="0.3">
      <c r="A12" t="s">
        <v>22</v>
      </c>
      <c r="B12" s="3">
        <v>44739</v>
      </c>
      <c r="C12">
        <f t="shared" si="0"/>
        <v>4</v>
      </c>
      <c r="D12" t="s">
        <v>16</v>
      </c>
      <c r="E12" t="s">
        <v>10</v>
      </c>
      <c r="F12" s="16" t="s">
        <v>12</v>
      </c>
      <c r="G12" s="16"/>
      <c r="H12" s="19">
        <v>0</v>
      </c>
      <c r="I12" s="19">
        <v>0</v>
      </c>
      <c r="J12" s="19">
        <v>0</v>
      </c>
      <c r="K12" s="16"/>
      <c r="L12" s="16"/>
      <c r="M12" s="18"/>
      <c r="O12" t="s">
        <v>79</v>
      </c>
      <c r="P12" t="s">
        <v>79</v>
      </c>
      <c r="Q12" s="19">
        <v>51</v>
      </c>
      <c r="V12" s="11">
        <f t="shared" si="1"/>
        <v>0</v>
      </c>
      <c r="W12" s="11">
        <f t="shared" si="2"/>
        <v>0</v>
      </c>
      <c r="X12" s="11">
        <f t="shared" si="3"/>
        <v>0</v>
      </c>
      <c r="Y12" s="11">
        <f t="shared" si="4"/>
        <v>0</v>
      </c>
      <c r="Z12" s="11">
        <f t="shared" si="5"/>
        <v>0</v>
      </c>
      <c r="AA12" s="11">
        <f t="shared" si="6"/>
        <v>0</v>
      </c>
      <c r="AB12" s="13">
        <f t="shared" si="7"/>
        <v>0</v>
      </c>
      <c r="AC12" s="11">
        <f t="shared" si="8"/>
        <v>0</v>
      </c>
      <c r="AD12" s="11" t="e">
        <f t="shared" si="9"/>
        <v>#VALUE!</v>
      </c>
      <c r="AE12" s="11" t="e">
        <f t="shared" si="10"/>
        <v>#VALUE!</v>
      </c>
      <c r="AF12" s="11">
        <f t="shared" si="11"/>
        <v>510000</v>
      </c>
      <c r="AG12" s="11">
        <f t="shared" si="12"/>
        <v>0</v>
      </c>
      <c r="AH12" s="11">
        <f t="shared" si="13"/>
        <v>0</v>
      </c>
      <c r="AI12" s="11">
        <f t="shared" si="14"/>
        <v>0</v>
      </c>
      <c r="AJ12" s="11"/>
      <c r="AK12" s="11">
        <f t="shared" si="15"/>
        <v>0</v>
      </c>
      <c r="AL12" s="13">
        <f t="shared" si="16"/>
        <v>510000</v>
      </c>
      <c r="AM12" t="e">
        <f t="shared" si="17"/>
        <v>#NUM!</v>
      </c>
      <c r="AN12">
        <f t="shared" si="18"/>
        <v>5.7075701760979367</v>
      </c>
      <c r="AO12" s="11"/>
      <c r="AP12" s="11">
        <f>'Growth Parameters'!G7</f>
        <v>5.532</v>
      </c>
      <c r="AQ12" s="11"/>
      <c r="AR12" s="11">
        <f t="shared" si="19"/>
        <v>0</v>
      </c>
      <c r="AS12" s="13">
        <f t="shared" si="20"/>
        <v>92190.889370932753</v>
      </c>
      <c r="AT12" t="e">
        <f t="shared" si="21"/>
        <v>#NUM!</v>
      </c>
      <c r="AU12">
        <f t="shared" si="22"/>
        <v>4.9646880046606636</v>
      </c>
      <c r="AW12">
        <f t="shared" si="23"/>
        <v>4</v>
      </c>
      <c r="AX12" t="s">
        <v>16</v>
      </c>
      <c r="AY12" t="s">
        <v>10</v>
      </c>
      <c r="AZ12" s="16" t="s">
        <v>12</v>
      </c>
    </row>
    <row r="13" spans="1:52" x14ac:dyDescent="0.3">
      <c r="A13" t="s">
        <v>22</v>
      </c>
      <c r="B13" s="3">
        <v>44739</v>
      </c>
      <c r="C13">
        <f t="shared" si="0"/>
        <v>4</v>
      </c>
      <c r="D13" t="s">
        <v>16</v>
      </c>
      <c r="E13" t="s">
        <v>10</v>
      </c>
      <c r="F13" s="16" t="s">
        <v>13</v>
      </c>
      <c r="G13" s="16"/>
      <c r="H13" s="19">
        <v>0</v>
      </c>
      <c r="I13" s="19">
        <v>0</v>
      </c>
      <c r="J13" s="19">
        <v>0</v>
      </c>
      <c r="K13" s="16"/>
      <c r="L13" s="16"/>
      <c r="M13" s="18"/>
      <c r="O13" t="s">
        <v>79</v>
      </c>
      <c r="P13">
        <f>378*2</f>
        <v>756</v>
      </c>
      <c r="Q13" s="19">
        <v>30</v>
      </c>
      <c r="V13" s="11">
        <f t="shared" si="1"/>
        <v>0</v>
      </c>
      <c r="W13" s="11">
        <f t="shared" si="2"/>
        <v>0</v>
      </c>
      <c r="X13" s="11">
        <f t="shared" si="3"/>
        <v>0</v>
      </c>
      <c r="Y13" s="11">
        <f t="shared" si="4"/>
        <v>0</v>
      </c>
      <c r="Z13" s="11">
        <f t="shared" si="5"/>
        <v>0</v>
      </c>
      <c r="AA13" s="11">
        <f t="shared" si="6"/>
        <v>0</v>
      </c>
      <c r="AB13" s="13">
        <f t="shared" si="7"/>
        <v>0</v>
      </c>
      <c r="AC13" s="11">
        <f t="shared" si="8"/>
        <v>0</v>
      </c>
      <c r="AD13" s="11" t="e">
        <f t="shared" si="9"/>
        <v>#VALUE!</v>
      </c>
      <c r="AE13" s="11">
        <f t="shared" si="10"/>
        <v>756000</v>
      </c>
      <c r="AF13" s="11">
        <f t="shared" si="11"/>
        <v>300000</v>
      </c>
      <c r="AG13" s="11">
        <f t="shared" si="12"/>
        <v>0</v>
      </c>
      <c r="AH13" s="11">
        <f t="shared" si="13"/>
        <v>0</v>
      </c>
      <c r="AI13" s="11">
        <f t="shared" si="14"/>
        <v>0</v>
      </c>
      <c r="AJ13" s="11"/>
      <c r="AK13" s="11">
        <f t="shared" si="15"/>
        <v>0</v>
      </c>
      <c r="AL13" s="13">
        <f t="shared" si="16"/>
        <v>528000</v>
      </c>
      <c r="AM13" t="e">
        <f t="shared" si="17"/>
        <v>#NUM!</v>
      </c>
      <c r="AN13">
        <f t="shared" si="18"/>
        <v>5.7226339225338121</v>
      </c>
      <c r="AO13" s="11"/>
      <c r="AP13" s="11">
        <f>'Growth Parameters'!G8</f>
        <v>5.2549999999999999</v>
      </c>
      <c r="AQ13" s="11"/>
      <c r="AR13" s="11">
        <f t="shared" si="19"/>
        <v>0</v>
      </c>
      <c r="AS13" s="13">
        <f t="shared" si="20"/>
        <v>100475.73739295908</v>
      </c>
      <c r="AT13" t="e">
        <f t="shared" si="21"/>
        <v>#NUM!</v>
      </c>
      <c r="AU13">
        <f t="shared" si="22"/>
        <v>5.0020612021695516</v>
      </c>
      <c r="AW13">
        <f t="shared" si="23"/>
        <v>4</v>
      </c>
      <c r="AX13" t="s">
        <v>16</v>
      </c>
      <c r="AY13" t="s">
        <v>10</v>
      </c>
      <c r="AZ13" s="16" t="s">
        <v>13</v>
      </c>
    </row>
    <row r="14" spans="1:52" x14ac:dyDescent="0.3">
      <c r="A14" t="s">
        <v>22</v>
      </c>
      <c r="B14" s="3">
        <v>44739</v>
      </c>
      <c r="C14">
        <f t="shared" si="0"/>
        <v>4</v>
      </c>
      <c r="D14" t="s">
        <v>16</v>
      </c>
      <c r="E14" t="s">
        <v>10</v>
      </c>
      <c r="F14" s="16" t="s">
        <v>14</v>
      </c>
      <c r="G14" s="16"/>
      <c r="H14" s="19">
        <v>0</v>
      </c>
      <c r="I14" s="19">
        <v>0</v>
      </c>
      <c r="J14" s="19">
        <v>0</v>
      </c>
      <c r="K14" s="16"/>
      <c r="L14" s="16"/>
      <c r="M14" s="18"/>
      <c r="O14" t="s">
        <v>79</v>
      </c>
      <c r="P14" t="s">
        <v>79</v>
      </c>
      <c r="Q14" s="19">
        <v>215</v>
      </c>
      <c r="V14" s="11">
        <f t="shared" si="1"/>
        <v>0</v>
      </c>
      <c r="W14" s="11">
        <f t="shared" si="2"/>
        <v>0</v>
      </c>
      <c r="X14" s="11">
        <f t="shared" si="3"/>
        <v>0</v>
      </c>
      <c r="Y14" s="11">
        <f t="shared" si="4"/>
        <v>0</v>
      </c>
      <c r="Z14" s="11">
        <f t="shared" si="5"/>
        <v>0</v>
      </c>
      <c r="AA14" s="11">
        <f t="shared" si="6"/>
        <v>0</v>
      </c>
      <c r="AB14" s="13">
        <f t="shared" si="7"/>
        <v>0</v>
      </c>
      <c r="AC14" s="11">
        <f t="shared" si="8"/>
        <v>0</v>
      </c>
      <c r="AD14" s="11" t="e">
        <f t="shared" si="9"/>
        <v>#VALUE!</v>
      </c>
      <c r="AE14" s="11" t="e">
        <f t="shared" si="10"/>
        <v>#VALUE!</v>
      </c>
      <c r="AF14" s="11">
        <f t="shared" si="11"/>
        <v>2150000</v>
      </c>
      <c r="AG14" s="11">
        <f t="shared" si="12"/>
        <v>0</v>
      </c>
      <c r="AH14" s="11">
        <f t="shared" si="13"/>
        <v>0</v>
      </c>
      <c r="AI14" s="11">
        <f t="shared" si="14"/>
        <v>0</v>
      </c>
      <c r="AJ14" s="11"/>
      <c r="AK14" s="11">
        <f t="shared" si="15"/>
        <v>0</v>
      </c>
      <c r="AL14" s="13">
        <f t="shared" si="16"/>
        <v>2150000</v>
      </c>
      <c r="AM14" t="e">
        <f t="shared" si="17"/>
        <v>#NUM!</v>
      </c>
      <c r="AN14">
        <f t="shared" si="18"/>
        <v>6.3324384599156049</v>
      </c>
      <c r="AO14" s="11"/>
      <c r="AP14" s="11">
        <f>'Growth Parameters'!G9</f>
        <v>6.1879999999999997</v>
      </c>
      <c r="AQ14" s="11"/>
      <c r="AR14" s="11">
        <f t="shared" si="19"/>
        <v>0</v>
      </c>
      <c r="AS14" s="13">
        <f t="shared" si="20"/>
        <v>347446.67097608274</v>
      </c>
      <c r="AT14" t="e">
        <f t="shared" si="21"/>
        <v>#NUM!</v>
      </c>
      <c r="AU14">
        <f t="shared" si="22"/>
        <v>5.5408881548882754</v>
      </c>
      <c r="AW14">
        <f t="shared" si="23"/>
        <v>4</v>
      </c>
      <c r="AX14" t="s">
        <v>16</v>
      </c>
      <c r="AY14" t="s">
        <v>10</v>
      </c>
      <c r="AZ14" s="16" t="s">
        <v>14</v>
      </c>
    </row>
    <row r="15" spans="1:52" x14ac:dyDescent="0.3">
      <c r="A15" t="s">
        <v>22</v>
      </c>
      <c r="B15" s="3">
        <v>44741</v>
      </c>
      <c r="C15">
        <f t="shared" si="0"/>
        <v>6</v>
      </c>
      <c r="D15" t="s">
        <v>20</v>
      </c>
      <c r="E15" t="s">
        <v>17</v>
      </c>
      <c r="F15" s="16" t="s">
        <v>11</v>
      </c>
      <c r="G15" s="16"/>
      <c r="H15" s="16"/>
      <c r="I15" s="16"/>
      <c r="J15" s="19">
        <v>0</v>
      </c>
      <c r="K15" s="16">
        <v>0</v>
      </c>
      <c r="L15" s="16">
        <v>0</v>
      </c>
      <c r="M15" s="18"/>
      <c r="Q15" s="19">
        <v>186</v>
      </c>
      <c r="R15">
        <v>13</v>
      </c>
      <c r="S15">
        <v>1</v>
      </c>
      <c r="V15" s="11">
        <f t="shared" si="1"/>
        <v>0</v>
      </c>
      <c r="W15" s="11">
        <f t="shared" si="2"/>
        <v>0</v>
      </c>
      <c r="X15" s="11">
        <f t="shared" si="3"/>
        <v>0</v>
      </c>
      <c r="Y15" s="11">
        <f t="shared" si="4"/>
        <v>0</v>
      </c>
      <c r="Z15" s="11">
        <f t="shared" si="5"/>
        <v>0</v>
      </c>
      <c r="AA15" s="11">
        <f t="shared" si="6"/>
        <v>0</v>
      </c>
      <c r="AB15" s="13">
        <f t="shared" si="7"/>
        <v>0</v>
      </c>
      <c r="AC15" s="11">
        <f t="shared" si="8"/>
        <v>0</v>
      </c>
      <c r="AD15" s="11">
        <f t="shared" si="9"/>
        <v>0</v>
      </c>
      <c r="AE15" s="11">
        <f t="shared" si="10"/>
        <v>0</v>
      </c>
      <c r="AF15" s="11">
        <f t="shared" si="11"/>
        <v>1860000</v>
      </c>
      <c r="AG15" s="11">
        <f t="shared" si="12"/>
        <v>1300000</v>
      </c>
      <c r="AH15" s="11">
        <f t="shared" si="13"/>
        <v>1000000</v>
      </c>
      <c r="AI15" s="11">
        <f t="shared" si="14"/>
        <v>0</v>
      </c>
      <c r="AJ15" s="11"/>
      <c r="AK15" s="11">
        <f t="shared" si="15"/>
        <v>0</v>
      </c>
      <c r="AL15" s="13">
        <f t="shared" si="16"/>
        <v>1386666.6666666667</v>
      </c>
      <c r="AM15" t="e">
        <f t="shared" si="17"/>
        <v>#NUM!</v>
      </c>
      <c r="AN15">
        <f t="shared" si="18"/>
        <v>6.1419720759070806</v>
      </c>
      <c r="AO15" s="11"/>
      <c r="AP15" s="11">
        <f>'Growth Parameters'!G10</f>
        <v>5.9409999999999998</v>
      </c>
      <c r="AQ15" s="11"/>
      <c r="AR15" s="11">
        <f t="shared" si="19"/>
        <v>0</v>
      </c>
      <c r="AS15" s="13">
        <f t="shared" si="20"/>
        <v>233406.27279358136</v>
      </c>
      <c r="AT15" t="e">
        <f t="shared" si="21"/>
        <v>#NUM!</v>
      </c>
      <c r="AU15">
        <f t="shared" si="22"/>
        <v>5.3681125235303933</v>
      </c>
      <c r="AW15">
        <f t="shared" si="23"/>
        <v>6</v>
      </c>
      <c r="AX15" t="s">
        <v>20</v>
      </c>
      <c r="AY15" t="s">
        <v>17</v>
      </c>
      <c r="AZ15" s="16" t="s">
        <v>11</v>
      </c>
    </row>
    <row r="16" spans="1:52" x14ac:dyDescent="0.3">
      <c r="A16" t="s">
        <v>22</v>
      </c>
      <c r="B16" s="3">
        <v>44741</v>
      </c>
      <c r="C16">
        <f t="shared" si="0"/>
        <v>6</v>
      </c>
      <c r="D16" t="s">
        <v>20</v>
      </c>
      <c r="E16" t="s">
        <v>17</v>
      </c>
      <c r="F16" s="16" t="s">
        <v>12</v>
      </c>
      <c r="G16" s="16"/>
      <c r="H16" s="16"/>
      <c r="I16" s="16"/>
      <c r="J16" s="19">
        <v>0</v>
      </c>
      <c r="K16" s="16">
        <v>0</v>
      </c>
      <c r="L16" s="16">
        <v>0</v>
      </c>
      <c r="M16" s="18"/>
      <c r="Q16" s="19">
        <v>26</v>
      </c>
      <c r="R16">
        <v>2</v>
      </c>
      <c r="S16">
        <v>0</v>
      </c>
      <c r="V16" s="11">
        <f t="shared" si="1"/>
        <v>0</v>
      </c>
      <c r="W16" s="11">
        <f t="shared" si="2"/>
        <v>0</v>
      </c>
      <c r="X16" s="11">
        <f t="shared" si="3"/>
        <v>0</v>
      </c>
      <c r="Y16" s="11">
        <f t="shared" si="4"/>
        <v>0</v>
      </c>
      <c r="Z16" s="11">
        <f t="shared" si="5"/>
        <v>0</v>
      </c>
      <c r="AA16" s="11">
        <f t="shared" si="6"/>
        <v>0</v>
      </c>
      <c r="AB16" s="13">
        <f t="shared" si="7"/>
        <v>0</v>
      </c>
      <c r="AC16" s="11">
        <f t="shared" si="8"/>
        <v>0</v>
      </c>
      <c r="AD16" s="11">
        <f t="shared" si="9"/>
        <v>0</v>
      </c>
      <c r="AE16" s="11">
        <f t="shared" si="10"/>
        <v>0</v>
      </c>
      <c r="AF16" s="11">
        <f t="shared" si="11"/>
        <v>260000</v>
      </c>
      <c r="AG16" s="11">
        <f t="shared" si="12"/>
        <v>200000</v>
      </c>
      <c r="AH16" s="11">
        <f t="shared" si="13"/>
        <v>0</v>
      </c>
      <c r="AI16" s="11">
        <f t="shared" si="14"/>
        <v>0</v>
      </c>
      <c r="AJ16" s="11"/>
      <c r="AK16" s="11">
        <f t="shared" si="15"/>
        <v>0</v>
      </c>
      <c r="AL16" s="13">
        <f t="shared" si="16"/>
        <v>230000</v>
      </c>
      <c r="AM16" t="e">
        <f t="shared" si="17"/>
        <v>#NUM!</v>
      </c>
      <c r="AN16">
        <f t="shared" si="18"/>
        <v>5.3617278360175931</v>
      </c>
      <c r="AO16" s="11"/>
      <c r="AP16" s="11">
        <f>'Growth Parameters'!G11</f>
        <v>7.2210000000000001</v>
      </c>
      <c r="AQ16" s="11"/>
      <c r="AR16" s="11">
        <f t="shared" si="19"/>
        <v>0</v>
      </c>
      <c r="AS16" s="13">
        <f t="shared" si="20"/>
        <v>31851.544107464339</v>
      </c>
      <c r="AT16" t="e">
        <f t="shared" si="21"/>
        <v>#NUM!</v>
      </c>
      <c r="AU16">
        <f t="shared" si="22"/>
        <v>4.5031304910229002</v>
      </c>
      <c r="AW16">
        <f t="shared" si="23"/>
        <v>6</v>
      </c>
      <c r="AX16" t="s">
        <v>20</v>
      </c>
      <c r="AY16" t="s">
        <v>17</v>
      </c>
      <c r="AZ16" s="16" t="s">
        <v>12</v>
      </c>
    </row>
    <row r="17" spans="1:53" x14ac:dyDescent="0.3">
      <c r="A17" t="s">
        <v>22</v>
      </c>
      <c r="B17" s="3">
        <v>44741</v>
      </c>
      <c r="C17">
        <f t="shared" si="0"/>
        <v>6</v>
      </c>
      <c r="D17" t="s">
        <v>20</v>
      </c>
      <c r="E17" t="s">
        <v>17</v>
      </c>
      <c r="F17" s="16" t="s">
        <v>13</v>
      </c>
      <c r="G17" s="16"/>
      <c r="H17" s="16"/>
      <c r="I17" s="16"/>
      <c r="J17" s="19">
        <v>0</v>
      </c>
      <c r="K17" s="16">
        <v>0</v>
      </c>
      <c r="L17" s="16">
        <v>0</v>
      </c>
      <c r="M17" s="18"/>
      <c r="Q17" s="19">
        <v>50</v>
      </c>
      <c r="R17">
        <v>9</v>
      </c>
      <c r="S17">
        <v>2</v>
      </c>
      <c r="V17" s="11">
        <f t="shared" si="1"/>
        <v>0</v>
      </c>
      <c r="W17" s="11">
        <f t="shared" si="2"/>
        <v>0</v>
      </c>
      <c r="X17" s="11">
        <f t="shared" si="3"/>
        <v>0</v>
      </c>
      <c r="Y17" s="11">
        <f t="shared" si="4"/>
        <v>0</v>
      </c>
      <c r="Z17" s="11">
        <f t="shared" si="5"/>
        <v>0</v>
      </c>
      <c r="AA17" s="11">
        <f t="shared" si="6"/>
        <v>0</v>
      </c>
      <c r="AB17" s="13">
        <f t="shared" si="7"/>
        <v>0</v>
      </c>
      <c r="AC17" s="11">
        <f t="shared" si="8"/>
        <v>0</v>
      </c>
      <c r="AD17" s="11">
        <f t="shared" si="9"/>
        <v>0</v>
      </c>
      <c r="AE17" s="11">
        <f t="shared" si="10"/>
        <v>0</v>
      </c>
      <c r="AF17" s="11">
        <f t="shared" si="11"/>
        <v>500000</v>
      </c>
      <c r="AG17" s="11">
        <f t="shared" si="12"/>
        <v>900000</v>
      </c>
      <c r="AH17" s="11">
        <f t="shared" si="13"/>
        <v>2000000</v>
      </c>
      <c r="AI17" s="11">
        <f t="shared" si="14"/>
        <v>0</v>
      </c>
      <c r="AJ17" s="11"/>
      <c r="AK17" s="11">
        <f t="shared" si="15"/>
        <v>0</v>
      </c>
      <c r="AL17" s="13">
        <f t="shared" si="16"/>
        <v>1133333.3333333333</v>
      </c>
      <c r="AM17" t="e">
        <f t="shared" si="17"/>
        <v>#NUM!</v>
      </c>
      <c r="AN17">
        <f t="shared" si="18"/>
        <v>6.0543576623225928</v>
      </c>
      <c r="AO17" s="11"/>
      <c r="AP17" s="11">
        <f>'Growth Parameters'!G12</f>
        <v>6.702</v>
      </c>
      <c r="AQ17" s="11"/>
      <c r="AR17" s="11">
        <f t="shared" si="19"/>
        <v>0</v>
      </c>
      <c r="AS17" s="13">
        <f t="shared" si="20"/>
        <v>169103.75012434099</v>
      </c>
      <c r="AT17" t="e">
        <f t="shared" si="21"/>
        <v>#NUM!</v>
      </c>
      <c r="AU17">
        <f t="shared" si="22"/>
        <v>5.2281532388233396</v>
      </c>
      <c r="AW17">
        <f t="shared" si="23"/>
        <v>6</v>
      </c>
      <c r="AX17" t="s">
        <v>20</v>
      </c>
      <c r="AY17" t="s">
        <v>17</v>
      </c>
      <c r="AZ17" s="16" t="s">
        <v>13</v>
      </c>
    </row>
    <row r="18" spans="1:53" x14ac:dyDescent="0.3">
      <c r="A18" t="s">
        <v>22</v>
      </c>
      <c r="B18" s="3">
        <v>44741</v>
      </c>
      <c r="C18">
        <f t="shared" si="0"/>
        <v>6</v>
      </c>
      <c r="D18" t="s">
        <v>20</v>
      </c>
      <c r="E18" t="s">
        <v>17</v>
      </c>
      <c r="F18" s="16" t="s">
        <v>14</v>
      </c>
      <c r="G18" s="16"/>
      <c r="H18" s="16"/>
      <c r="I18" s="16"/>
      <c r="J18" s="19">
        <v>0</v>
      </c>
      <c r="K18" s="16">
        <v>0</v>
      </c>
      <c r="L18" s="16">
        <v>0</v>
      </c>
      <c r="M18" s="18"/>
      <c r="Q18" s="19">
        <v>405</v>
      </c>
      <c r="R18">
        <v>33</v>
      </c>
      <c r="S18">
        <v>2</v>
      </c>
      <c r="V18" s="11">
        <f t="shared" si="1"/>
        <v>0</v>
      </c>
      <c r="W18" s="11">
        <f t="shared" si="2"/>
        <v>0</v>
      </c>
      <c r="X18" s="11">
        <f t="shared" si="3"/>
        <v>0</v>
      </c>
      <c r="Y18" s="11">
        <f t="shared" si="4"/>
        <v>0</v>
      </c>
      <c r="Z18" s="11">
        <f t="shared" si="5"/>
        <v>0</v>
      </c>
      <c r="AA18" s="11">
        <f t="shared" si="6"/>
        <v>0</v>
      </c>
      <c r="AB18" s="13">
        <f t="shared" si="7"/>
        <v>0</v>
      </c>
      <c r="AC18" s="11">
        <f t="shared" si="8"/>
        <v>0</v>
      </c>
      <c r="AD18" s="11">
        <f t="shared" si="9"/>
        <v>0</v>
      </c>
      <c r="AE18" s="11">
        <f t="shared" si="10"/>
        <v>0</v>
      </c>
      <c r="AF18" s="11">
        <f t="shared" si="11"/>
        <v>4050000</v>
      </c>
      <c r="AG18" s="11">
        <f t="shared" si="12"/>
        <v>3300000</v>
      </c>
      <c r="AH18" s="11">
        <f t="shared" si="13"/>
        <v>2000000</v>
      </c>
      <c r="AI18" s="11">
        <f t="shared" si="14"/>
        <v>0</v>
      </c>
      <c r="AJ18" s="11"/>
      <c r="AK18" s="11">
        <f t="shared" si="15"/>
        <v>0</v>
      </c>
      <c r="AL18" s="13">
        <f t="shared" si="16"/>
        <v>3116666.6666666665</v>
      </c>
      <c r="AM18" t="e">
        <f t="shared" si="17"/>
        <v>#NUM!</v>
      </c>
      <c r="AN18">
        <f t="shared" si="18"/>
        <v>6.4936903561528556</v>
      </c>
      <c r="AO18" s="11"/>
      <c r="AP18" s="11">
        <f>'Growth Parameters'!G13</f>
        <v>8.1449999999999996</v>
      </c>
      <c r="AQ18" s="11"/>
      <c r="AR18" s="11">
        <f t="shared" si="19"/>
        <v>0</v>
      </c>
      <c r="AS18" s="13">
        <f t="shared" si="20"/>
        <v>382647.84121137712</v>
      </c>
      <c r="AT18" t="e">
        <f t="shared" si="21"/>
        <v>#NUM!</v>
      </c>
      <c r="AU18">
        <f t="shared" si="22"/>
        <v>5.5827992675083271</v>
      </c>
      <c r="AW18">
        <f t="shared" si="23"/>
        <v>6</v>
      </c>
      <c r="AX18" t="s">
        <v>20</v>
      </c>
      <c r="AY18" t="s">
        <v>17</v>
      </c>
      <c r="AZ18" s="16" t="s">
        <v>14</v>
      </c>
    </row>
    <row r="19" spans="1:53" x14ac:dyDescent="0.3">
      <c r="A19" t="s">
        <v>22</v>
      </c>
      <c r="B19" s="3">
        <v>44741</v>
      </c>
      <c r="C19">
        <f t="shared" si="0"/>
        <v>6</v>
      </c>
      <c r="D19" t="s">
        <v>20</v>
      </c>
      <c r="E19" t="s">
        <v>91</v>
      </c>
      <c r="F19" s="16" t="s">
        <v>11</v>
      </c>
      <c r="G19" s="16"/>
      <c r="H19" s="16"/>
      <c r="I19" s="16"/>
      <c r="J19" s="19">
        <v>0</v>
      </c>
      <c r="K19" s="16">
        <v>0</v>
      </c>
      <c r="L19" s="16">
        <v>0</v>
      </c>
      <c r="M19" s="18"/>
      <c r="Q19" s="19">
        <v>35</v>
      </c>
      <c r="R19">
        <v>6</v>
      </c>
      <c r="S19">
        <v>0</v>
      </c>
      <c r="V19" s="11">
        <f t="shared" si="1"/>
        <v>0</v>
      </c>
      <c r="W19" s="11">
        <f t="shared" si="2"/>
        <v>0</v>
      </c>
      <c r="X19" s="11">
        <f t="shared" si="3"/>
        <v>0</v>
      </c>
      <c r="Y19" s="11">
        <f t="shared" si="4"/>
        <v>0</v>
      </c>
      <c r="Z19" s="11">
        <f t="shared" si="5"/>
        <v>0</v>
      </c>
      <c r="AA19" s="11">
        <f t="shared" si="6"/>
        <v>0</v>
      </c>
      <c r="AB19" s="13">
        <f t="shared" si="7"/>
        <v>0</v>
      </c>
      <c r="AC19" s="11">
        <f t="shared" si="8"/>
        <v>0</v>
      </c>
      <c r="AD19" s="11">
        <f t="shared" si="9"/>
        <v>0</v>
      </c>
      <c r="AE19" s="11">
        <f t="shared" si="10"/>
        <v>0</v>
      </c>
      <c r="AF19" s="11">
        <f t="shared" si="11"/>
        <v>350000</v>
      </c>
      <c r="AG19" s="11">
        <f t="shared" si="12"/>
        <v>600000</v>
      </c>
      <c r="AH19" s="11">
        <f t="shared" si="13"/>
        <v>0</v>
      </c>
      <c r="AI19" s="11">
        <f t="shared" si="14"/>
        <v>0</v>
      </c>
      <c r="AJ19" s="11"/>
      <c r="AK19" s="11">
        <f t="shared" si="15"/>
        <v>0</v>
      </c>
      <c r="AL19" s="13">
        <f t="shared" si="16"/>
        <v>475000</v>
      </c>
      <c r="AM19" t="e">
        <f t="shared" si="17"/>
        <v>#NUM!</v>
      </c>
      <c r="AN19">
        <f t="shared" si="18"/>
        <v>5.6766936096248664</v>
      </c>
      <c r="AO19" s="11"/>
      <c r="AP19" s="11">
        <f>'Growth Parameters'!G14</f>
        <v>8.5890000000000004</v>
      </c>
      <c r="AQ19" s="11"/>
      <c r="AR19" s="11">
        <f t="shared" si="19"/>
        <v>0</v>
      </c>
      <c r="AS19" s="13">
        <f t="shared" si="20"/>
        <v>55303.294912096862</v>
      </c>
      <c r="AT19" t="e">
        <f t="shared" si="21"/>
        <v>#NUM!</v>
      </c>
      <c r="AU19">
        <f t="shared" si="22"/>
        <v>4.7427510068836058</v>
      </c>
      <c r="AW19">
        <f t="shared" si="23"/>
        <v>6</v>
      </c>
      <c r="AX19" t="s">
        <v>20</v>
      </c>
      <c r="AY19" t="s">
        <v>91</v>
      </c>
      <c r="AZ19" s="16" t="s">
        <v>11</v>
      </c>
    </row>
    <row r="20" spans="1:53" x14ac:dyDescent="0.3">
      <c r="A20" t="s">
        <v>22</v>
      </c>
      <c r="B20" s="3">
        <v>44741</v>
      </c>
      <c r="C20">
        <f t="shared" si="0"/>
        <v>6</v>
      </c>
      <c r="D20" t="s">
        <v>20</v>
      </c>
      <c r="E20" t="s">
        <v>91</v>
      </c>
      <c r="F20" s="16" t="s">
        <v>12</v>
      </c>
      <c r="G20" s="16"/>
      <c r="H20" s="16"/>
      <c r="I20" s="16"/>
      <c r="J20" s="19">
        <v>0</v>
      </c>
      <c r="K20" s="16">
        <v>0</v>
      </c>
      <c r="L20" s="16">
        <v>0</v>
      </c>
      <c r="M20" s="18"/>
      <c r="Q20" s="19">
        <v>24</v>
      </c>
      <c r="R20">
        <v>2</v>
      </c>
      <c r="S20">
        <v>0</v>
      </c>
      <c r="V20" s="11">
        <f t="shared" si="1"/>
        <v>0</v>
      </c>
      <c r="W20" s="11">
        <f t="shared" si="2"/>
        <v>0</v>
      </c>
      <c r="X20" s="11">
        <f t="shared" si="3"/>
        <v>0</v>
      </c>
      <c r="Y20" s="11">
        <f t="shared" si="4"/>
        <v>0</v>
      </c>
      <c r="Z20" s="11">
        <f t="shared" si="5"/>
        <v>0</v>
      </c>
      <c r="AA20" s="11">
        <f t="shared" si="6"/>
        <v>0</v>
      </c>
      <c r="AB20" s="13">
        <f t="shared" si="7"/>
        <v>0</v>
      </c>
      <c r="AC20" s="11">
        <f t="shared" si="8"/>
        <v>0</v>
      </c>
      <c r="AD20" s="11">
        <f t="shared" si="9"/>
        <v>0</v>
      </c>
      <c r="AE20" s="11">
        <f t="shared" si="10"/>
        <v>0</v>
      </c>
      <c r="AF20" s="11">
        <f t="shared" si="11"/>
        <v>240000</v>
      </c>
      <c r="AG20" s="11">
        <f t="shared" si="12"/>
        <v>200000</v>
      </c>
      <c r="AH20" s="11">
        <f t="shared" si="13"/>
        <v>0</v>
      </c>
      <c r="AI20" s="11">
        <f t="shared" si="14"/>
        <v>0</v>
      </c>
      <c r="AJ20" s="11"/>
      <c r="AK20" s="11">
        <f t="shared" si="15"/>
        <v>0</v>
      </c>
      <c r="AL20" s="13">
        <f t="shared" si="16"/>
        <v>220000</v>
      </c>
      <c r="AM20" t="e">
        <f t="shared" si="17"/>
        <v>#NUM!</v>
      </c>
      <c r="AN20">
        <f t="shared" si="18"/>
        <v>5.3424226808222066</v>
      </c>
      <c r="AO20" s="11"/>
      <c r="AP20" s="11">
        <f>'Growth Parameters'!G15</f>
        <v>9.8010000000000002</v>
      </c>
      <c r="AQ20" s="11"/>
      <c r="AR20" s="11">
        <f t="shared" si="19"/>
        <v>0</v>
      </c>
      <c r="AS20" s="13">
        <f t="shared" si="20"/>
        <v>22446.68911335578</v>
      </c>
      <c r="AT20" t="e">
        <f t="shared" si="21"/>
        <v>#NUM!</v>
      </c>
      <c r="AU20">
        <f t="shared" si="22"/>
        <v>4.3511522916271064</v>
      </c>
      <c r="AW20">
        <f t="shared" si="23"/>
        <v>6</v>
      </c>
      <c r="AX20" t="s">
        <v>20</v>
      </c>
      <c r="AY20" t="s">
        <v>91</v>
      </c>
      <c r="AZ20" s="16" t="s">
        <v>12</v>
      </c>
    </row>
    <row r="21" spans="1:53" x14ac:dyDescent="0.3">
      <c r="A21" t="s">
        <v>22</v>
      </c>
      <c r="B21" s="3">
        <v>44741</v>
      </c>
      <c r="C21">
        <f t="shared" si="0"/>
        <v>6</v>
      </c>
      <c r="D21" t="s">
        <v>20</v>
      </c>
      <c r="E21" t="s">
        <v>91</v>
      </c>
      <c r="F21" s="16" t="s">
        <v>13</v>
      </c>
      <c r="G21" s="16"/>
      <c r="H21" s="16"/>
      <c r="I21" s="16"/>
      <c r="J21" s="19">
        <v>0</v>
      </c>
      <c r="K21" s="16">
        <v>0</v>
      </c>
      <c r="L21" s="16">
        <v>0</v>
      </c>
      <c r="M21" s="18"/>
      <c r="Q21" s="19">
        <v>82</v>
      </c>
      <c r="R21">
        <v>36</v>
      </c>
      <c r="S21">
        <v>3</v>
      </c>
      <c r="V21" s="11">
        <f t="shared" si="1"/>
        <v>0</v>
      </c>
      <c r="W21" s="11">
        <f t="shared" si="2"/>
        <v>0</v>
      </c>
      <c r="X21" s="11">
        <f t="shared" si="3"/>
        <v>0</v>
      </c>
      <c r="Y21" s="11">
        <f t="shared" si="4"/>
        <v>0</v>
      </c>
      <c r="Z21" s="11">
        <f t="shared" si="5"/>
        <v>0</v>
      </c>
      <c r="AA21" s="11">
        <f t="shared" si="6"/>
        <v>0</v>
      </c>
      <c r="AB21" s="13">
        <f t="shared" si="7"/>
        <v>0</v>
      </c>
      <c r="AC21" s="11">
        <f t="shared" si="8"/>
        <v>0</v>
      </c>
      <c r="AD21" s="11">
        <f t="shared" si="9"/>
        <v>0</v>
      </c>
      <c r="AE21" s="11">
        <f t="shared" si="10"/>
        <v>0</v>
      </c>
      <c r="AF21" s="11">
        <f t="shared" si="11"/>
        <v>820000</v>
      </c>
      <c r="AG21" s="11">
        <f t="shared" si="12"/>
        <v>3600000</v>
      </c>
      <c r="AH21" s="11">
        <f t="shared" si="13"/>
        <v>3000000</v>
      </c>
      <c r="AI21" s="11">
        <f t="shared" si="14"/>
        <v>0</v>
      </c>
      <c r="AJ21" s="11"/>
      <c r="AK21" s="11">
        <f t="shared" si="15"/>
        <v>0</v>
      </c>
      <c r="AL21" s="13">
        <f t="shared" si="16"/>
        <v>2473333.3333333335</v>
      </c>
      <c r="AM21" t="e">
        <f t="shared" si="17"/>
        <v>#NUM!</v>
      </c>
      <c r="AN21">
        <f t="shared" si="18"/>
        <v>6.3932826505593647</v>
      </c>
      <c r="AO21" s="11"/>
      <c r="AP21" s="11">
        <f>'Growth Parameters'!G16</f>
        <v>7.2610000000000001</v>
      </c>
      <c r="AQ21" s="11"/>
      <c r="AR21" s="11">
        <f t="shared" si="19"/>
        <v>0</v>
      </c>
      <c r="AS21" s="13">
        <f t="shared" si="20"/>
        <v>340632.60340632603</v>
      </c>
      <c r="AT21" t="e">
        <f t="shared" si="21"/>
        <v>#NUM!</v>
      </c>
      <c r="AU21">
        <f t="shared" si="22"/>
        <v>5.5322862138021689</v>
      </c>
      <c r="AW21">
        <f t="shared" si="23"/>
        <v>6</v>
      </c>
      <c r="AX21" t="s">
        <v>20</v>
      </c>
      <c r="AY21" t="s">
        <v>91</v>
      </c>
      <c r="AZ21" s="16" t="s">
        <v>13</v>
      </c>
    </row>
    <row r="22" spans="1:53" x14ac:dyDescent="0.3">
      <c r="A22" t="s">
        <v>22</v>
      </c>
      <c r="B22" s="3">
        <v>44741</v>
      </c>
      <c r="C22">
        <f t="shared" si="0"/>
        <v>6</v>
      </c>
      <c r="D22" t="s">
        <v>20</v>
      </c>
      <c r="E22" t="s">
        <v>91</v>
      </c>
      <c r="F22" s="16" t="s">
        <v>14</v>
      </c>
      <c r="G22" s="16"/>
      <c r="H22" s="16"/>
      <c r="I22" s="16"/>
      <c r="J22" s="19">
        <v>0</v>
      </c>
      <c r="K22" s="16">
        <v>0</v>
      </c>
      <c r="L22" s="16">
        <v>0</v>
      </c>
      <c r="M22" s="18"/>
      <c r="Q22" s="19">
        <v>38</v>
      </c>
      <c r="R22">
        <v>8</v>
      </c>
      <c r="S22">
        <v>2</v>
      </c>
      <c r="V22" s="11">
        <f t="shared" si="1"/>
        <v>0</v>
      </c>
      <c r="W22" s="11">
        <f t="shared" si="2"/>
        <v>0</v>
      </c>
      <c r="X22" s="11">
        <f t="shared" si="3"/>
        <v>0</v>
      </c>
      <c r="Y22" s="11">
        <f t="shared" si="4"/>
        <v>0</v>
      </c>
      <c r="Z22" s="11">
        <f t="shared" si="5"/>
        <v>0</v>
      </c>
      <c r="AA22" s="11">
        <f t="shared" si="6"/>
        <v>0</v>
      </c>
      <c r="AB22" s="13">
        <f t="shared" si="7"/>
        <v>0</v>
      </c>
      <c r="AC22" s="11">
        <f t="shared" si="8"/>
        <v>0</v>
      </c>
      <c r="AD22" s="11">
        <f t="shared" si="9"/>
        <v>0</v>
      </c>
      <c r="AE22" s="11">
        <f t="shared" si="10"/>
        <v>0</v>
      </c>
      <c r="AF22" s="11">
        <f t="shared" si="11"/>
        <v>380000</v>
      </c>
      <c r="AG22" s="11">
        <f t="shared" si="12"/>
        <v>800000</v>
      </c>
      <c r="AH22" s="11">
        <f t="shared" si="13"/>
        <v>2000000</v>
      </c>
      <c r="AI22" s="11">
        <f t="shared" si="14"/>
        <v>0</v>
      </c>
      <c r="AJ22" s="11"/>
      <c r="AK22" s="11">
        <f t="shared" si="15"/>
        <v>0</v>
      </c>
      <c r="AL22" s="13">
        <f t="shared" si="16"/>
        <v>1060000</v>
      </c>
      <c r="AM22" t="e">
        <f t="shared" si="17"/>
        <v>#NUM!</v>
      </c>
      <c r="AN22">
        <f t="shared" si="18"/>
        <v>6.0253058652647704</v>
      </c>
      <c r="AO22" s="11"/>
      <c r="AP22" s="11">
        <f>'Growth Parameters'!G17</f>
        <v>5.3120000000000003</v>
      </c>
      <c r="AQ22" s="11"/>
      <c r="AR22" s="11">
        <f t="shared" si="19"/>
        <v>0</v>
      </c>
      <c r="AS22" s="13">
        <f t="shared" si="20"/>
        <v>199548.19277108432</v>
      </c>
      <c r="AT22" t="e">
        <f t="shared" si="21"/>
        <v>#NUM!</v>
      </c>
      <c r="AU22">
        <f t="shared" si="22"/>
        <v>5.3000477989048091</v>
      </c>
      <c r="AW22">
        <f t="shared" si="23"/>
        <v>6</v>
      </c>
      <c r="AX22" t="s">
        <v>20</v>
      </c>
      <c r="AY22" t="s">
        <v>91</v>
      </c>
      <c r="AZ22" s="16" t="s">
        <v>14</v>
      </c>
    </row>
    <row r="23" spans="1:53" x14ac:dyDescent="0.3">
      <c r="A23" t="s">
        <v>22</v>
      </c>
      <c r="B23" s="3">
        <v>44741</v>
      </c>
      <c r="C23">
        <f t="shared" si="0"/>
        <v>6</v>
      </c>
      <c r="D23" t="s">
        <v>20</v>
      </c>
      <c r="E23" t="s">
        <v>18</v>
      </c>
      <c r="F23" s="16" t="s">
        <v>11</v>
      </c>
      <c r="G23" s="16"/>
      <c r="H23" s="16"/>
      <c r="I23" s="16"/>
      <c r="J23" s="19">
        <v>0</v>
      </c>
      <c r="K23" s="16">
        <v>0</v>
      </c>
      <c r="L23" s="16">
        <v>0</v>
      </c>
      <c r="M23" s="18"/>
      <c r="Q23" s="19">
        <v>30</v>
      </c>
      <c r="R23">
        <v>3</v>
      </c>
      <c r="S23">
        <v>2</v>
      </c>
      <c r="V23" s="11">
        <f t="shared" si="1"/>
        <v>0</v>
      </c>
      <c r="W23" s="11">
        <f t="shared" si="2"/>
        <v>0</v>
      </c>
      <c r="X23" s="11">
        <f t="shared" si="3"/>
        <v>0</v>
      </c>
      <c r="Y23" s="11">
        <f t="shared" si="4"/>
        <v>0</v>
      </c>
      <c r="Z23" s="11">
        <f t="shared" si="5"/>
        <v>0</v>
      </c>
      <c r="AA23" s="11">
        <f t="shared" si="6"/>
        <v>0</v>
      </c>
      <c r="AB23" s="13">
        <f t="shared" si="7"/>
        <v>0</v>
      </c>
      <c r="AC23" s="11">
        <f t="shared" si="8"/>
        <v>0</v>
      </c>
      <c r="AD23" s="11">
        <f t="shared" si="9"/>
        <v>0</v>
      </c>
      <c r="AE23" s="11">
        <f t="shared" si="10"/>
        <v>0</v>
      </c>
      <c r="AF23" s="11">
        <f t="shared" si="11"/>
        <v>300000</v>
      </c>
      <c r="AG23" s="11">
        <f t="shared" si="12"/>
        <v>300000</v>
      </c>
      <c r="AH23" s="11">
        <f t="shared" si="13"/>
        <v>2000000</v>
      </c>
      <c r="AI23" s="11">
        <f t="shared" si="14"/>
        <v>0</v>
      </c>
      <c r="AJ23" s="11"/>
      <c r="AK23" s="11">
        <f t="shared" si="15"/>
        <v>0</v>
      </c>
      <c r="AL23" s="13">
        <f t="shared" si="16"/>
        <v>866666.66666666663</v>
      </c>
      <c r="AM23" t="e">
        <f t="shared" si="17"/>
        <v>#NUM!</v>
      </c>
      <c r="AN23">
        <f t="shared" si="18"/>
        <v>5.9378520932511556</v>
      </c>
      <c r="AO23" s="11"/>
      <c r="AP23" s="11">
        <f>'Growth Parameters'!G18</f>
        <v>7.101</v>
      </c>
      <c r="AQ23" s="11"/>
      <c r="AR23" s="11">
        <f t="shared" si="19"/>
        <v>0</v>
      </c>
      <c r="AS23" s="13">
        <f t="shared" si="20"/>
        <v>122048.53776463408</v>
      </c>
      <c r="AT23" t="e">
        <f t="shared" si="21"/>
        <v>#NUM!</v>
      </c>
      <c r="AU23">
        <f t="shared" si="22"/>
        <v>5.0865325806024106</v>
      </c>
      <c r="AW23">
        <f t="shared" si="23"/>
        <v>6</v>
      </c>
      <c r="AX23" t="s">
        <v>20</v>
      </c>
      <c r="AY23" t="s">
        <v>18</v>
      </c>
      <c r="AZ23" s="16" t="s">
        <v>11</v>
      </c>
    </row>
    <row r="24" spans="1:53" x14ac:dyDescent="0.3">
      <c r="A24" t="s">
        <v>22</v>
      </c>
      <c r="B24" s="3">
        <v>44741</v>
      </c>
      <c r="C24">
        <f t="shared" si="0"/>
        <v>6</v>
      </c>
      <c r="D24" t="s">
        <v>20</v>
      </c>
      <c r="E24" t="s">
        <v>18</v>
      </c>
      <c r="F24" s="16" t="s">
        <v>12</v>
      </c>
      <c r="G24" s="16"/>
      <c r="H24" s="16"/>
      <c r="I24" s="16"/>
      <c r="J24" s="19">
        <v>0</v>
      </c>
      <c r="K24" s="16">
        <v>0</v>
      </c>
      <c r="L24" s="16">
        <v>0</v>
      </c>
      <c r="M24" s="18"/>
      <c r="Q24" s="19">
        <v>19</v>
      </c>
      <c r="R24">
        <v>1</v>
      </c>
      <c r="S24">
        <v>0</v>
      </c>
      <c r="V24" s="11">
        <f t="shared" si="1"/>
        <v>0</v>
      </c>
      <c r="W24" s="11">
        <f t="shared" si="2"/>
        <v>0</v>
      </c>
      <c r="X24" s="11">
        <f t="shared" si="3"/>
        <v>0</v>
      </c>
      <c r="Y24" s="11">
        <f t="shared" si="4"/>
        <v>0</v>
      </c>
      <c r="Z24" s="11">
        <f t="shared" si="5"/>
        <v>0</v>
      </c>
      <c r="AA24" s="11">
        <f t="shared" si="6"/>
        <v>0</v>
      </c>
      <c r="AB24" s="13">
        <f t="shared" si="7"/>
        <v>0</v>
      </c>
      <c r="AC24" s="11">
        <f t="shared" si="8"/>
        <v>0</v>
      </c>
      <c r="AD24" s="11">
        <f t="shared" si="9"/>
        <v>0</v>
      </c>
      <c r="AE24" s="11">
        <f t="shared" si="10"/>
        <v>0</v>
      </c>
      <c r="AF24" s="11">
        <f t="shared" si="11"/>
        <v>190000</v>
      </c>
      <c r="AG24" s="11">
        <f t="shared" si="12"/>
        <v>100000</v>
      </c>
      <c r="AH24" s="11">
        <f t="shared" si="13"/>
        <v>0</v>
      </c>
      <c r="AI24" s="11">
        <f t="shared" si="14"/>
        <v>0</v>
      </c>
      <c r="AJ24" s="11"/>
      <c r="AK24" s="11">
        <f t="shared" si="15"/>
        <v>0</v>
      </c>
      <c r="AL24" s="13">
        <f t="shared" si="16"/>
        <v>145000</v>
      </c>
      <c r="AM24" t="e">
        <f t="shared" si="17"/>
        <v>#NUM!</v>
      </c>
      <c r="AN24">
        <f t="shared" si="18"/>
        <v>5.1613680022349753</v>
      </c>
      <c r="AO24" s="11"/>
      <c r="AP24" s="11">
        <f>'Growth Parameters'!G19</f>
        <v>6.3230000000000004</v>
      </c>
      <c r="AQ24" s="11"/>
      <c r="AR24" s="11">
        <f t="shared" si="19"/>
        <v>0</v>
      </c>
      <c r="AS24" s="13">
        <f t="shared" si="20"/>
        <v>22932.152459275658</v>
      </c>
      <c r="AT24" t="e">
        <f t="shared" si="21"/>
        <v>#NUM!</v>
      </c>
      <c r="AU24">
        <f t="shared" si="22"/>
        <v>4.3604448204217565</v>
      </c>
      <c r="AW24">
        <f t="shared" si="23"/>
        <v>6</v>
      </c>
      <c r="AX24" t="s">
        <v>20</v>
      </c>
      <c r="AY24" t="s">
        <v>18</v>
      </c>
      <c r="AZ24" s="16" t="s">
        <v>12</v>
      </c>
      <c r="BA24">
        <v>0.2</v>
      </c>
    </row>
    <row r="25" spans="1:53" x14ac:dyDescent="0.3">
      <c r="A25" t="s">
        <v>22</v>
      </c>
      <c r="B25" s="3">
        <v>44741</v>
      </c>
      <c r="C25">
        <f t="shared" si="0"/>
        <v>6</v>
      </c>
      <c r="D25" t="s">
        <v>20</v>
      </c>
      <c r="E25" t="s">
        <v>18</v>
      </c>
      <c r="F25" s="16" t="s">
        <v>13</v>
      </c>
      <c r="G25" s="16"/>
      <c r="H25" s="16"/>
      <c r="I25" s="16"/>
      <c r="J25" s="19">
        <v>0</v>
      </c>
      <c r="K25" s="16">
        <v>0</v>
      </c>
      <c r="L25" s="16">
        <v>0</v>
      </c>
      <c r="M25" s="18"/>
      <c r="Q25" s="19">
        <v>30</v>
      </c>
      <c r="R25">
        <v>7</v>
      </c>
      <c r="S25">
        <v>0</v>
      </c>
      <c r="V25" s="11">
        <f t="shared" si="1"/>
        <v>0</v>
      </c>
      <c r="W25" s="11">
        <f t="shared" si="2"/>
        <v>0</v>
      </c>
      <c r="X25" s="11">
        <f t="shared" si="3"/>
        <v>0</v>
      </c>
      <c r="Y25" s="11">
        <f t="shared" si="4"/>
        <v>0</v>
      </c>
      <c r="Z25" s="11">
        <f t="shared" si="5"/>
        <v>0</v>
      </c>
      <c r="AA25" s="11">
        <f t="shared" si="6"/>
        <v>0</v>
      </c>
      <c r="AB25" s="13">
        <f t="shared" si="7"/>
        <v>0</v>
      </c>
      <c r="AC25" s="11">
        <f t="shared" si="8"/>
        <v>0</v>
      </c>
      <c r="AD25" s="11">
        <f t="shared" si="9"/>
        <v>0</v>
      </c>
      <c r="AE25" s="11">
        <f t="shared" si="10"/>
        <v>0</v>
      </c>
      <c r="AF25" s="11">
        <f t="shared" si="11"/>
        <v>300000</v>
      </c>
      <c r="AG25" s="11">
        <f t="shared" si="12"/>
        <v>700000</v>
      </c>
      <c r="AH25" s="11">
        <f t="shared" si="13"/>
        <v>0</v>
      </c>
      <c r="AI25" s="11">
        <f t="shared" si="14"/>
        <v>0</v>
      </c>
      <c r="AJ25" s="11"/>
      <c r="AK25" s="11">
        <f t="shared" si="15"/>
        <v>0</v>
      </c>
      <c r="AL25" s="13">
        <f t="shared" si="16"/>
        <v>500000</v>
      </c>
      <c r="AM25" t="e">
        <f t="shared" si="17"/>
        <v>#NUM!</v>
      </c>
      <c r="AN25">
        <f t="shared" si="18"/>
        <v>5.6989700043360187</v>
      </c>
      <c r="AO25" s="11"/>
      <c r="AP25" s="11">
        <f>'Growth Parameters'!G20</f>
        <v>8.6839999999999993</v>
      </c>
      <c r="AQ25" s="11"/>
      <c r="AR25" s="11">
        <f t="shared" si="19"/>
        <v>0</v>
      </c>
      <c r="AS25" s="13">
        <f t="shared" si="20"/>
        <v>57577.153385536621</v>
      </c>
      <c r="AT25" t="e">
        <f t="shared" si="21"/>
        <v>#NUM!</v>
      </c>
      <c r="AU25">
        <f t="shared" si="22"/>
        <v>4.760250189553636</v>
      </c>
      <c r="AW25">
        <f t="shared" si="23"/>
        <v>6</v>
      </c>
      <c r="AX25" t="s">
        <v>20</v>
      </c>
      <c r="AY25" t="s">
        <v>18</v>
      </c>
      <c r="AZ25" s="16" t="s">
        <v>13</v>
      </c>
    </row>
    <row r="26" spans="1:53" x14ac:dyDescent="0.3">
      <c r="A26" t="s">
        <v>22</v>
      </c>
      <c r="B26" s="3">
        <v>44741</v>
      </c>
      <c r="C26">
        <f t="shared" si="0"/>
        <v>6</v>
      </c>
      <c r="D26" t="s">
        <v>20</v>
      </c>
      <c r="E26" t="s">
        <v>18</v>
      </c>
      <c r="F26" s="16" t="s">
        <v>14</v>
      </c>
      <c r="G26" s="16"/>
      <c r="H26" s="16"/>
      <c r="I26" s="16"/>
      <c r="J26" s="19">
        <v>0</v>
      </c>
      <c r="K26" s="16">
        <v>0</v>
      </c>
      <c r="L26" s="16">
        <v>0</v>
      </c>
      <c r="M26" s="18"/>
      <c r="Q26" s="19">
        <v>10</v>
      </c>
      <c r="R26">
        <v>1</v>
      </c>
      <c r="S26">
        <v>0</v>
      </c>
      <c r="V26" s="11">
        <f t="shared" si="1"/>
        <v>0</v>
      </c>
      <c r="W26" s="11">
        <f t="shared" si="2"/>
        <v>0</v>
      </c>
      <c r="X26" s="11">
        <f t="shared" si="3"/>
        <v>0</v>
      </c>
      <c r="Y26" s="11">
        <f t="shared" si="4"/>
        <v>0</v>
      </c>
      <c r="Z26" s="11">
        <f t="shared" si="5"/>
        <v>0</v>
      </c>
      <c r="AA26" s="11">
        <f t="shared" si="6"/>
        <v>0</v>
      </c>
      <c r="AB26" s="13">
        <f t="shared" si="7"/>
        <v>0</v>
      </c>
      <c r="AC26" s="11">
        <f t="shared" si="8"/>
        <v>0</v>
      </c>
      <c r="AD26" s="11">
        <f t="shared" si="9"/>
        <v>0</v>
      </c>
      <c r="AE26" s="11">
        <f t="shared" si="10"/>
        <v>0</v>
      </c>
      <c r="AF26" s="11">
        <f t="shared" si="11"/>
        <v>100000</v>
      </c>
      <c r="AG26" s="11">
        <f t="shared" si="12"/>
        <v>100000</v>
      </c>
      <c r="AH26" s="11">
        <f t="shared" si="13"/>
        <v>0</v>
      </c>
      <c r="AI26" s="11">
        <f t="shared" si="14"/>
        <v>0</v>
      </c>
      <c r="AJ26" s="11"/>
      <c r="AK26" s="11">
        <f t="shared" si="15"/>
        <v>0</v>
      </c>
      <c r="AL26" s="13">
        <f t="shared" si="16"/>
        <v>100000</v>
      </c>
      <c r="AM26" t="e">
        <f t="shared" si="17"/>
        <v>#NUM!</v>
      </c>
      <c r="AN26">
        <f t="shared" si="18"/>
        <v>5</v>
      </c>
      <c r="AO26" s="11"/>
      <c r="AP26" s="11">
        <f>'Growth Parameters'!G21</f>
        <v>8.1820000000000004</v>
      </c>
      <c r="AQ26" s="11"/>
      <c r="AR26" s="11">
        <f t="shared" si="19"/>
        <v>0</v>
      </c>
      <c r="AS26" s="13">
        <f t="shared" si="20"/>
        <v>12221.950623319481</v>
      </c>
      <c r="AT26" t="e">
        <f t="shared" si="21"/>
        <v>#NUM!</v>
      </c>
      <c r="AU26">
        <f t="shared" si="22"/>
        <v>4.0871405248376451</v>
      </c>
      <c r="AW26">
        <f t="shared" si="23"/>
        <v>6</v>
      </c>
      <c r="AX26" t="s">
        <v>20</v>
      </c>
      <c r="AY26" t="s">
        <v>18</v>
      </c>
      <c r="AZ26" s="16" t="s">
        <v>14</v>
      </c>
      <c r="BA26">
        <v>8.01296535</v>
      </c>
    </row>
    <row r="27" spans="1:53" x14ac:dyDescent="0.3">
      <c r="A27" t="s">
        <v>22</v>
      </c>
      <c r="B27" s="3">
        <v>44741</v>
      </c>
      <c r="C27">
        <f t="shared" si="0"/>
        <v>6</v>
      </c>
      <c r="D27" t="s">
        <v>20</v>
      </c>
      <c r="E27" t="s">
        <v>19</v>
      </c>
      <c r="F27" s="16" t="s">
        <v>11</v>
      </c>
      <c r="G27" s="16"/>
      <c r="H27" s="16"/>
      <c r="I27" s="16"/>
      <c r="J27" s="19">
        <v>0</v>
      </c>
      <c r="K27" s="16">
        <v>0</v>
      </c>
      <c r="L27" s="16">
        <v>0</v>
      </c>
      <c r="M27" s="18"/>
      <c r="Q27" s="19">
        <v>2</v>
      </c>
      <c r="R27">
        <v>0</v>
      </c>
      <c r="S27">
        <v>0</v>
      </c>
      <c r="V27" s="11">
        <f t="shared" si="1"/>
        <v>0</v>
      </c>
      <c r="W27" s="11">
        <f t="shared" si="2"/>
        <v>0</v>
      </c>
      <c r="X27" s="11">
        <f t="shared" si="3"/>
        <v>0</v>
      </c>
      <c r="Y27" s="11">
        <f t="shared" si="4"/>
        <v>0</v>
      </c>
      <c r="Z27" s="11">
        <f t="shared" si="5"/>
        <v>0</v>
      </c>
      <c r="AA27" s="11">
        <f t="shared" si="6"/>
        <v>0</v>
      </c>
      <c r="AB27" s="13">
        <f t="shared" si="7"/>
        <v>0</v>
      </c>
      <c r="AC27" s="11">
        <f t="shared" si="8"/>
        <v>0</v>
      </c>
      <c r="AD27" s="11">
        <f t="shared" si="9"/>
        <v>0</v>
      </c>
      <c r="AE27" s="11">
        <f t="shared" si="10"/>
        <v>0</v>
      </c>
      <c r="AF27" s="11">
        <f t="shared" si="11"/>
        <v>20000</v>
      </c>
      <c r="AG27" s="11">
        <f t="shared" si="12"/>
        <v>0</v>
      </c>
      <c r="AH27" s="11">
        <f t="shared" si="13"/>
        <v>0</v>
      </c>
      <c r="AI27" s="11">
        <f t="shared" si="14"/>
        <v>0</v>
      </c>
      <c r="AJ27" s="11"/>
      <c r="AK27" s="11">
        <f t="shared" si="15"/>
        <v>0</v>
      </c>
      <c r="AL27" s="13">
        <f t="shared" si="16"/>
        <v>20000</v>
      </c>
      <c r="AM27" t="e">
        <f t="shared" si="17"/>
        <v>#NUM!</v>
      </c>
      <c r="AN27">
        <f t="shared" si="18"/>
        <v>4.3010299956639813</v>
      </c>
      <c r="AO27" s="11"/>
      <c r="AP27" s="11">
        <f>'Growth Parameters'!G22</f>
        <v>6.0010000000000003</v>
      </c>
      <c r="AQ27" s="11"/>
      <c r="AR27" s="11">
        <f t="shared" si="19"/>
        <v>0</v>
      </c>
      <c r="AS27" s="13">
        <f t="shared" si="20"/>
        <v>3332.7778703549407</v>
      </c>
      <c r="AT27" t="e">
        <f t="shared" si="21"/>
        <v>#NUM!</v>
      </c>
      <c r="AU27">
        <f t="shared" si="22"/>
        <v>3.5228063688978848</v>
      </c>
      <c r="AW27">
        <f t="shared" si="23"/>
        <v>6</v>
      </c>
      <c r="AX27" t="s">
        <v>20</v>
      </c>
      <c r="AY27" t="s">
        <v>19</v>
      </c>
      <c r="AZ27" s="16" t="s">
        <v>11</v>
      </c>
    </row>
    <row r="28" spans="1:53" x14ac:dyDescent="0.3">
      <c r="A28" t="s">
        <v>22</v>
      </c>
      <c r="B28" s="3">
        <v>44741</v>
      </c>
      <c r="C28">
        <f t="shared" si="0"/>
        <v>6</v>
      </c>
      <c r="D28" t="s">
        <v>20</v>
      </c>
      <c r="E28" t="s">
        <v>19</v>
      </c>
      <c r="F28" s="16" t="s">
        <v>12</v>
      </c>
      <c r="G28" s="16"/>
      <c r="H28" s="16"/>
      <c r="I28" s="16"/>
      <c r="J28" s="19">
        <v>0</v>
      </c>
      <c r="K28" s="16">
        <v>0</v>
      </c>
      <c r="L28" s="16">
        <v>0</v>
      </c>
      <c r="M28" s="18"/>
      <c r="Q28" s="19">
        <v>27</v>
      </c>
      <c r="R28">
        <v>3</v>
      </c>
      <c r="S28">
        <v>1</v>
      </c>
      <c r="V28" s="11">
        <f t="shared" si="1"/>
        <v>0</v>
      </c>
      <c r="W28" s="11">
        <f t="shared" si="2"/>
        <v>0</v>
      </c>
      <c r="X28" s="11">
        <f t="shared" si="3"/>
        <v>0</v>
      </c>
      <c r="Y28" s="11">
        <f t="shared" si="4"/>
        <v>0</v>
      </c>
      <c r="Z28" s="11">
        <f t="shared" si="5"/>
        <v>0</v>
      </c>
      <c r="AA28" s="11">
        <f t="shared" si="6"/>
        <v>0</v>
      </c>
      <c r="AB28" s="13">
        <f t="shared" si="7"/>
        <v>0</v>
      </c>
      <c r="AC28" s="11">
        <f t="shared" si="8"/>
        <v>0</v>
      </c>
      <c r="AD28" s="11">
        <f t="shared" si="9"/>
        <v>0</v>
      </c>
      <c r="AE28" s="11">
        <f t="shared" si="10"/>
        <v>0</v>
      </c>
      <c r="AF28" s="11">
        <f t="shared" si="11"/>
        <v>270000</v>
      </c>
      <c r="AG28" s="11">
        <f t="shared" si="12"/>
        <v>300000</v>
      </c>
      <c r="AH28" s="11">
        <f t="shared" si="13"/>
        <v>1000000</v>
      </c>
      <c r="AI28" s="11">
        <f t="shared" si="14"/>
        <v>0</v>
      </c>
      <c r="AJ28" s="11"/>
      <c r="AK28" s="11">
        <f t="shared" si="15"/>
        <v>0</v>
      </c>
      <c r="AL28" s="13">
        <f t="shared" si="16"/>
        <v>523333.33333333331</v>
      </c>
      <c r="AM28" t="e">
        <f t="shared" si="17"/>
        <v>#NUM!</v>
      </c>
      <c r="AN28">
        <f t="shared" si="18"/>
        <v>5.7187783976895714</v>
      </c>
      <c r="AO28" s="11"/>
      <c r="AP28" s="11">
        <f>'Growth Parameters'!G23</f>
        <v>6.2560000000000002</v>
      </c>
      <c r="AQ28" s="11"/>
      <c r="AR28" s="11">
        <f t="shared" si="19"/>
        <v>0</v>
      </c>
      <c r="AS28" s="13">
        <f t="shared" si="20"/>
        <v>83653.026427962483</v>
      </c>
      <c r="AT28" t="e">
        <f t="shared" si="21"/>
        <v>#NUM!</v>
      </c>
      <c r="AU28">
        <f t="shared" si="22"/>
        <v>4.9224816576377801</v>
      </c>
      <c r="AW28">
        <f t="shared" si="23"/>
        <v>6</v>
      </c>
      <c r="AX28" t="s">
        <v>20</v>
      </c>
      <c r="AY28" t="s">
        <v>19</v>
      </c>
      <c r="AZ28" s="16" t="s">
        <v>12</v>
      </c>
    </row>
    <row r="29" spans="1:53" x14ac:dyDescent="0.3">
      <c r="A29" t="s">
        <v>22</v>
      </c>
      <c r="B29" s="3">
        <v>44741</v>
      </c>
      <c r="C29">
        <f t="shared" si="0"/>
        <v>6</v>
      </c>
      <c r="D29" t="s">
        <v>20</v>
      </c>
      <c r="E29" t="s">
        <v>19</v>
      </c>
      <c r="F29" s="16" t="s">
        <v>13</v>
      </c>
      <c r="G29" s="16"/>
      <c r="H29" s="16"/>
      <c r="I29" s="16"/>
      <c r="J29" s="19">
        <v>0</v>
      </c>
      <c r="K29" s="16">
        <v>0</v>
      </c>
      <c r="L29" s="16">
        <v>0</v>
      </c>
      <c r="M29" s="18"/>
      <c r="Q29" s="19">
        <v>29</v>
      </c>
      <c r="R29">
        <v>4</v>
      </c>
      <c r="S29">
        <v>1</v>
      </c>
      <c r="V29" s="11">
        <f t="shared" si="1"/>
        <v>0</v>
      </c>
      <c r="W29" s="11">
        <f t="shared" si="2"/>
        <v>0</v>
      </c>
      <c r="X29" s="11">
        <f t="shared" si="3"/>
        <v>0</v>
      </c>
      <c r="Y29" s="11">
        <f t="shared" si="4"/>
        <v>0</v>
      </c>
      <c r="Z29" s="11">
        <f t="shared" si="5"/>
        <v>0</v>
      </c>
      <c r="AA29" s="11">
        <f t="shared" si="6"/>
        <v>0</v>
      </c>
      <c r="AB29" s="13">
        <f t="shared" si="7"/>
        <v>0</v>
      </c>
      <c r="AC29" s="11">
        <f t="shared" si="8"/>
        <v>0</v>
      </c>
      <c r="AD29" s="11">
        <f t="shared" si="9"/>
        <v>0</v>
      </c>
      <c r="AE29" s="11">
        <f t="shared" si="10"/>
        <v>0</v>
      </c>
      <c r="AF29" s="11">
        <f t="shared" si="11"/>
        <v>290000</v>
      </c>
      <c r="AG29" s="11">
        <f t="shared" si="12"/>
        <v>400000</v>
      </c>
      <c r="AH29" s="11">
        <f t="shared" si="13"/>
        <v>1000000</v>
      </c>
      <c r="AI29" s="11">
        <f t="shared" si="14"/>
        <v>0</v>
      </c>
      <c r="AJ29" s="11"/>
      <c r="AK29" s="11">
        <f t="shared" si="15"/>
        <v>0</v>
      </c>
      <c r="AL29" s="13">
        <f t="shared" si="16"/>
        <v>563333.33333333337</v>
      </c>
      <c r="AM29" t="e">
        <f t="shared" si="17"/>
        <v>#NUM!</v>
      </c>
      <c r="AN29">
        <f t="shared" si="18"/>
        <v>5.7507654498940113</v>
      </c>
      <c r="AO29" s="11"/>
      <c r="AP29" s="11">
        <f>'Growth Parameters'!G24</f>
        <v>8.5690000000000008</v>
      </c>
      <c r="AQ29" s="11"/>
      <c r="AR29" s="11">
        <f t="shared" si="19"/>
        <v>0</v>
      </c>
      <c r="AS29" s="13">
        <f t="shared" si="20"/>
        <v>65740.848796047765</v>
      </c>
      <c r="AT29" t="e">
        <f t="shared" si="21"/>
        <v>#NUM!</v>
      </c>
      <c r="AU29">
        <f t="shared" si="22"/>
        <v>4.8178353070632216</v>
      </c>
      <c r="AW29">
        <f t="shared" si="23"/>
        <v>6</v>
      </c>
      <c r="AX29" t="s">
        <v>20</v>
      </c>
      <c r="AY29" t="s">
        <v>19</v>
      </c>
      <c r="AZ29" s="16" t="s">
        <v>13</v>
      </c>
      <c r="BA29" s="6"/>
    </row>
    <row r="30" spans="1:53" x14ac:dyDescent="0.3">
      <c r="A30" t="s">
        <v>22</v>
      </c>
      <c r="B30" s="3">
        <v>44741</v>
      </c>
      <c r="C30">
        <f t="shared" si="0"/>
        <v>6</v>
      </c>
      <c r="D30" t="s">
        <v>20</v>
      </c>
      <c r="E30" t="s">
        <v>19</v>
      </c>
      <c r="F30" s="16" t="s">
        <v>14</v>
      </c>
      <c r="G30" s="16"/>
      <c r="H30" s="16"/>
      <c r="I30" s="16"/>
      <c r="J30" s="19">
        <v>0</v>
      </c>
      <c r="K30" s="16">
        <v>0</v>
      </c>
      <c r="L30" s="16">
        <v>0</v>
      </c>
      <c r="M30" s="18"/>
      <c r="Q30" s="19">
        <v>30</v>
      </c>
      <c r="R30">
        <v>11</v>
      </c>
      <c r="S30">
        <v>3</v>
      </c>
      <c r="V30" s="11">
        <f t="shared" si="1"/>
        <v>0</v>
      </c>
      <c r="W30" s="11">
        <f t="shared" si="2"/>
        <v>0</v>
      </c>
      <c r="X30" s="11">
        <f t="shared" si="3"/>
        <v>0</v>
      </c>
      <c r="Y30" s="11">
        <f t="shared" si="4"/>
        <v>0</v>
      </c>
      <c r="Z30" s="11">
        <f t="shared" si="5"/>
        <v>0</v>
      </c>
      <c r="AA30" s="11">
        <f t="shared" si="6"/>
        <v>0</v>
      </c>
      <c r="AB30" s="13">
        <f t="shared" si="7"/>
        <v>0</v>
      </c>
      <c r="AC30" s="11">
        <f t="shared" si="8"/>
        <v>0</v>
      </c>
      <c r="AD30" s="11">
        <f t="shared" si="9"/>
        <v>0</v>
      </c>
      <c r="AE30" s="11">
        <f t="shared" si="10"/>
        <v>0</v>
      </c>
      <c r="AF30" s="11">
        <f t="shared" si="11"/>
        <v>300000</v>
      </c>
      <c r="AG30" s="11">
        <f t="shared" si="12"/>
        <v>1100000</v>
      </c>
      <c r="AH30" s="11">
        <f t="shared" si="13"/>
        <v>3000000</v>
      </c>
      <c r="AI30" s="11">
        <f t="shared" si="14"/>
        <v>0</v>
      </c>
      <c r="AJ30" s="11"/>
      <c r="AK30" s="11">
        <f t="shared" si="15"/>
        <v>0</v>
      </c>
      <c r="AL30" s="13">
        <f t="shared" si="16"/>
        <v>1466666.6666666667</v>
      </c>
      <c r="AM30" t="e">
        <f t="shared" si="17"/>
        <v>#NUM!</v>
      </c>
      <c r="AN30">
        <f t="shared" si="18"/>
        <v>6.1663314217665253</v>
      </c>
      <c r="AO30" s="11"/>
      <c r="AP30" s="11">
        <f>'Growth Parameters'!G25</f>
        <v>6.17</v>
      </c>
      <c r="AQ30" s="11"/>
      <c r="AR30" s="11">
        <f t="shared" si="19"/>
        <v>0</v>
      </c>
      <c r="AS30" s="13">
        <f t="shared" si="20"/>
        <v>237709.3462992977</v>
      </c>
      <c r="AT30" t="e">
        <f t="shared" si="21"/>
        <v>#NUM!</v>
      </c>
      <c r="AU30">
        <f t="shared" si="22"/>
        <v>5.3760462577332833</v>
      </c>
      <c r="AW30">
        <f t="shared" si="23"/>
        <v>6</v>
      </c>
      <c r="AX30" t="s">
        <v>20</v>
      </c>
      <c r="AY30" t="s">
        <v>19</v>
      </c>
      <c r="AZ30" s="16" t="s">
        <v>14</v>
      </c>
      <c r="BA30" s="6"/>
    </row>
    <row r="31" spans="1:53" x14ac:dyDescent="0.3">
      <c r="A31" t="s">
        <v>22</v>
      </c>
      <c r="B31" s="3">
        <v>44743</v>
      </c>
      <c r="C31">
        <f t="shared" si="0"/>
        <v>8</v>
      </c>
      <c r="D31" t="s">
        <v>23</v>
      </c>
      <c r="E31" t="s">
        <v>17</v>
      </c>
      <c r="F31" s="16" t="s">
        <v>11</v>
      </c>
      <c r="G31" s="16"/>
      <c r="H31" s="16"/>
      <c r="I31" s="16"/>
      <c r="J31" s="16"/>
      <c r="K31" s="16" t="s">
        <v>79</v>
      </c>
      <c r="L31" s="19">
        <v>91</v>
      </c>
      <c r="M31" s="18">
        <v>9</v>
      </c>
      <c r="R31" t="s">
        <v>79</v>
      </c>
      <c r="S31">
        <v>152</v>
      </c>
      <c r="T31">
        <v>17</v>
      </c>
      <c r="V31" s="11">
        <f t="shared" si="1"/>
        <v>0</v>
      </c>
      <c r="W31" s="11">
        <f t="shared" si="2"/>
        <v>0</v>
      </c>
      <c r="X31" s="11">
        <f t="shared" si="3"/>
        <v>0</v>
      </c>
      <c r="Y31" s="11">
        <f t="shared" si="4"/>
        <v>0</v>
      </c>
      <c r="Z31" s="38" t="e">
        <f>K31*$Z$6</f>
        <v>#VALUE!</v>
      </c>
      <c r="AA31" s="11">
        <f t="shared" si="6"/>
        <v>91000000</v>
      </c>
      <c r="AB31" s="13">
        <f t="shared" si="7"/>
        <v>90000000</v>
      </c>
      <c r="AC31" s="11">
        <f t="shared" si="8"/>
        <v>0</v>
      </c>
      <c r="AD31" s="11">
        <f t="shared" si="9"/>
        <v>0</v>
      </c>
      <c r="AE31" s="11">
        <f t="shared" si="10"/>
        <v>0</v>
      </c>
      <c r="AF31" s="11">
        <f t="shared" si="11"/>
        <v>0</v>
      </c>
      <c r="AG31" s="11" t="e">
        <f t="shared" si="12"/>
        <v>#VALUE!</v>
      </c>
      <c r="AH31" s="11">
        <f t="shared" si="13"/>
        <v>152000000</v>
      </c>
      <c r="AI31" s="11">
        <f t="shared" si="14"/>
        <v>170000000</v>
      </c>
      <c r="AJ31" s="11"/>
      <c r="AK31" s="11">
        <f>AVERAGEIFS(V31:AB31,G31:M31,"&lt;=400",G31:M31,"&gt;=10")</f>
        <v>91000000</v>
      </c>
      <c r="AL31" s="13">
        <f>AVERAGEIFS(AC31:AI31,N31:T31,"&lt;=400",N31:T31,"&gt;=20")</f>
        <v>152000000</v>
      </c>
      <c r="AM31">
        <f t="shared" si="17"/>
        <v>7.9590413923210939</v>
      </c>
      <c r="AN31">
        <f t="shared" si="18"/>
        <v>8.1818435879447726</v>
      </c>
      <c r="AO31" s="11"/>
      <c r="AP31" s="11">
        <f>'Growth Parameters'!G26</f>
        <v>12.67</v>
      </c>
      <c r="AQ31" s="11"/>
      <c r="AR31" s="11">
        <f t="shared" si="19"/>
        <v>7182320.4419889506</v>
      </c>
      <c r="AS31" s="13">
        <f t="shared" si="20"/>
        <v>11996842.936069455</v>
      </c>
      <c r="AT31">
        <f t="shared" si="21"/>
        <v>6.8562647774376524</v>
      </c>
      <c r="AU31">
        <f t="shared" si="22"/>
        <v>7.0790669730613311</v>
      </c>
      <c r="AW31">
        <f t="shared" si="23"/>
        <v>8</v>
      </c>
      <c r="AX31" t="s">
        <v>23</v>
      </c>
      <c r="AY31" t="s">
        <v>17</v>
      </c>
      <c r="AZ31" s="16" t="s">
        <v>11</v>
      </c>
    </row>
    <row r="32" spans="1:53" x14ac:dyDescent="0.3">
      <c r="A32" t="s">
        <v>22</v>
      </c>
      <c r="B32" s="3">
        <v>44743</v>
      </c>
      <c r="C32">
        <f t="shared" si="0"/>
        <v>8</v>
      </c>
      <c r="D32" t="s">
        <v>23</v>
      </c>
      <c r="E32" t="s">
        <v>17</v>
      </c>
      <c r="F32" s="16" t="s">
        <v>12</v>
      </c>
      <c r="G32" s="16"/>
      <c r="H32" s="16"/>
      <c r="I32" s="16"/>
      <c r="J32" s="16"/>
      <c r="K32" s="19">
        <v>368</v>
      </c>
      <c r="L32" s="19">
        <v>24</v>
      </c>
      <c r="M32" s="18">
        <v>0</v>
      </c>
      <c r="R32">
        <v>427</v>
      </c>
      <c r="S32">
        <v>27</v>
      </c>
      <c r="T32">
        <v>1</v>
      </c>
      <c r="V32" s="11">
        <f t="shared" si="1"/>
        <v>0</v>
      </c>
      <c r="W32" s="11">
        <f t="shared" si="2"/>
        <v>0</v>
      </c>
      <c r="X32" s="11">
        <f t="shared" si="3"/>
        <v>0</v>
      </c>
      <c r="Y32" s="11">
        <f t="shared" si="4"/>
        <v>0</v>
      </c>
      <c r="Z32" s="11">
        <f t="shared" si="5"/>
        <v>36800000</v>
      </c>
      <c r="AA32" s="11">
        <f t="shared" si="6"/>
        <v>24000000</v>
      </c>
      <c r="AB32" s="13">
        <f t="shared" si="7"/>
        <v>0</v>
      </c>
      <c r="AC32" s="11">
        <f t="shared" si="8"/>
        <v>0</v>
      </c>
      <c r="AD32" s="11">
        <f t="shared" si="9"/>
        <v>0</v>
      </c>
      <c r="AE32" s="11">
        <f t="shared" si="10"/>
        <v>0</v>
      </c>
      <c r="AF32" s="11">
        <f t="shared" si="11"/>
        <v>0</v>
      </c>
      <c r="AG32" s="11">
        <f t="shared" si="12"/>
        <v>42700000</v>
      </c>
      <c r="AH32" s="11">
        <f t="shared" si="13"/>
        <v>27000000</v>
      </c>
      <c r="AI32" s="11">
        <f t="shared" si="14"/>
        <v>10000000</v>
      </c>
      <c r="AJ32" s="11"/>
      <c r="AK32" s="11">
        <f>AVERAGEIFS(V32:AB32,G32:M32,"&lt;=400",G32:M32,"&gt;=10")</f>
        <v>30400000</v>
      </c>
      <c r="AL32" s="13">
        <f>AVERAGEIFS(AC32:AI32,N32:T32,"&lt;=500",N32:T32,"&gt;=20")</f>
        <v>34850000</v>
      </c>
      <c r="AM32">
        <f t="shared" si="17"/>
        <v>7.4828735836087539</v>
      </c>
      <c r="AN32">
        <f t="shared" si="18"/>
        <v>7.5422027824340283</v>
      </c>
      <c r="AO32" s="11"/>
      <c r="AP32" s="11">
        <f>'Growth Parameters'!G27</f>
        <v>12.704000000000001</v>
      </c>
      <c r="AQ32" s="11"/>
      <c r="AR32" s="11">
        <f t="shared" si="19"/>
        <v>2392947.1032745591</v>
      </c>
      <c r="AS32" s="13">
        <f t="shared" si="20"/>
        <v>2743230.4785894207</v>
      </c>
      <c r="AT32">
        <f t="shared" si="21"/>
        <v>6.3789330985257324</v>
      </c>
      <c r="AU32">
        <f t="shared" si="22"/>
        <v>6.4382622973510069</v>
      </c>
      <c r="AW32">
        <f t="shared" si="23"/>
        <v>8</v>
      </c>
      <c r="AX32" t="s">
        <v>23</v>
      </c>
      <c r="AY32" t="s">
        <v>17</v>
      </c>
      <c r="AZ32" s="16" t="s">
        <v>12</v>
      </c>
    </row>
    <row r="33" spans="1:52" x14ac:dyDescent="0.3">
      <c r="A33" t="s">
        <v>22</v>
      </c>
      <c r="B33" s="3">
        <v>44743</v>
      </c>
      <c r="C33">
        <f t="shared" si="0"/>
        <v>8</v>
      </c>
      <c r="D33" t="s">
        <v>23</v>
      </c>
      <c r="E33" t="s">
        <v>17</v>
      </c>
      <c r="F33" s="16" t="s">
        <v>13</v>
      </c>
      <c r="G33" s="16"/>
      <c r="H33" s="16"/>
      <c r="I33" s="16"/>
      <c r="J33" s="16"/>
      <c r="K33" s="19">
        <v>51</v>
      </c>
      <c r="L33" s="19">
        <v>70</v>
      </c>
      <c r="M33" s="18">
        <v>1</v>
      </c>
      <c r="R33">
        <v>83</v>
      </c>
      <c r="S33">
        <v>73</v>
      </c>
      <c r="T33">
        <v>1</v>
      </c>
      <c r="V33" s="11">
        <f t="shared" si="1"/>
        <v>0</v>
      </c>
      <c r="W33" s="11">
        <f t="shared" si="2"/>
        <v>0</v>
      </c>
      <c r="X33" s="11">
        <f t="shared" si="3"/>
        <v>0</v>
      </c>
      <c r="Y33" s="11">
        <f t="shared" si="4"/>
        <v>0</v>
      </c>
      <c r="Z33" s="11">
        <f t="shared" si="5"/>
        <v>5100000</v>
      </c>
      <c r="AA33" s="11">
        <f t="shared" si="6"/>
        <v>70000000</v>
      </c>
      <c r="AB33" s="13">
        <f t="shared" si="7"/>
        <v>10000000</v>
      </c>
      <c r="AC33" s="11">
        <f t="shared" si="8"/>
        <v>0</v>
      </c>
      <c r="AD33" s="11">
        <f t="shared" si="9"/>
        <v>0</v>
      </c>
      <c r="AE33" s="11">
        <f t="shared" si="10"/>
        <v>0</v>
      </c>
      <c r="AF33" s="11">
        <f t="shared" si="11"/>
        <v>0</v>
      </c>
      <c r="AG33" s="11">
        <f t="shared" si="12"/>
        <v>8300000</v>
      </c>
      <c r="AH33" s="11">
        <f t="shared" si="13"/>
        <v>73000000</v>
      </c>
      <c r="AI33" s="11">
        <f t="shared" si="14"/>
        <v>10000000</v>
      </c>
      <c r="AJ33" s="11"/>
      <c r="AK33" s="11">
        <f t="shared" ref="AK33:AK95" si="24">AVERAGEIFS(V33:AB33,G33:M33,"&lt;=400",G33:M33,"&gt;=10")</f>
        <v>37550000</v>
      </c>
      <c r="AL33" s="13">
        <f t="shared" ref="AL33:AL95" si="25">AVERAGEIFS(AC33:AI33,N33:T33,"&lt;=400",N33:T33,"&gt;=20")</f>
        <v>40650000</v>
      </c>
      <c r="AM33">
        <f t="shared" si="17"/>
        <v>7.5746099413401868</v>
      </c>
      <c r="AN33">
        <f t="shared" si="18"/>
        <v>7.6090605499300867</v>
      </c>
      <c r="AO33" s="11"/>
      <c r="AP33" s="11">
        <f>'Growth Parameters'!G28</f>
        <v>9.5280000000000005</v>
      </c>
      <c r="AQ33" s="11"/>
      <c r="AR33" s="11">
        <f t="shared" si="19"/>
        <v>3941015.9529806883</v>
      </c>
      <c r="AS33" s="13">
        <f t="shared" si="20"/>
        <v>4266372.7959697731</v>
      </c>
      <c r="AT33">
        <f t="shared" si="21"/>
        <v>6.5956081928654662</v>
      </c>
      <c r="AU33">
        <f t="shared" si="22"/>
        <v>6.6300588014553661</v>
      </c>
      <c r="AW33">
        <f t="shared" si="23"/>
        <v>8</v>
      </c>
      <c r="AX33" t="s">
        <v>23</v>
      </c>
      <c r="AY33" t="s">
        <v>17</v>
      </c>
      <c r="AZ33" s="16" t="s">
        <v>13</v>
      </c>
    </row>
    <row r="34" spans="1:52" x14ac:dyDescent="0.3">
      <c r="A34" t="s">
        <v>22</v>
      </c>
      <c r="B34" s="3">
        <v>44743</v>
      </c>
      <c r="C34">
        <f t="shared" si="0"/>
        <v>8</v>
      </c>
      <c r="D34" t="s">
        <v>23</v>
      </c>
      <c r="E34" t="s">
        <v>17</v>
      </c>
      <c r="F34" s="16" t="s">
        <v>14</v>
      </c>
      <c r="G34" s="16"/>
      <c r="H34" s="16"/>
      <c r="I34" s="16"/>
      <c r="J34" s="16"/>
      <c r="K34" s="19">
        <v>128</v>
      </c>
      <c r="L34" s="19">
        <v>20</v>
      </c>
      <c r="M34" s="18">
        <v>1</v>
      </c>
      <c r="R34">
        <v>218</v>
      </c>
      <c r="S34">
        <v>28</v>
      </c>
      <c r="T34">
        <v>2</v>
      </c>
      <c r="V34" s="11">
        <f t="shared" si="1"/>
        <v>0</v>
      </c>
      <c r="W34" s="11">
        <f t="shared" si="2"/>
        <v>0</v>
      </c>
      <c r="X34" s="11">
        <f t="shared" si="3"/>
        <v>0</v>
      </c>
      <c r="Y34" s="11">
        <f t="shared" si="4"/>
        <v>0</v>
      </c>
      <c r="Z34" s="11">
        <f t="shared" si="5"/>
        <v>12800000</v>
      </c>
      <c r="AA34" s="11">
        <f t="shared" si="6"/>
        <v>20000000</v>
      </c>
      <c r="AB34" s="13">
        <f t="shared" si="7"/>
        <v>10000000</v>
      </c>
      <c r="AC34" s="11">
        <f t="shared" si="8"/>
        <v>0</v>
      </c>
      <c r="AD34" s="11">
        <f t="shared" si="9"/>
        <v>0</v>
      </c>
      <c r="AE34" s="11">
        <f t="shared" si="10"/>
        <v>0</v>
      </c>
      <c r="AF34" s="11">
        <f t="shared" si="11"/>
        <v>0</v>
      </c>
      <c r="AG34" s="11">
        <f t="shared" si="12"/>
        <v>21800000</v>
      </c>
      <c r="AH34" s="11">
        <f t="shared" si="13"/>
        <v>28000000</v>
      </c>
      <c r="AI34" s="11">
        <f t="shared" si="14"/>
        <v>20000000</v>
      </c>
      <c r="AJ34" s="11"/>
      <c r="AK34" s="11">
        <f t="shared" si="24"/>
        <v>16400000</v>
      </c>
      <c r="AL34" s="13">
        <f t="shared" si="25"/>
        <v>24900000</v>
      </c>
      <c r="AM34">
        <f t="shared" si="17"/>
        <v>7.214843848047698</v>
      </c>
      <c r="AN34">
        <f t="shared" si="18"/>
        <v>7.3961993470957363</v>
      </c>
      <c r="AO34" s="11"/>
      <c r="AP34" s="11">
        <f>'Growth Parameters'!G29</f>
        <v>12.941000000000001</v>
      </c>
      <c r="AQ34" s="11"/>
      <c r="AR34" s="11">
        <f t="shared" si="19"/>
        <v>1267290.0085001159</v>
      </c>
      <c r="AS34" s="13">
        <f t="shared" si="20"/>
        <v>1924117.1470520052</v>
      </c>
      <c r="AT34">
        <f t="shared" si="21"/>
        <v>6.1028760108416247</v>
      </c>
      <c r="AU34">
        <f t="shared" si="22"/>
        <v>6.2842315098896631</v>
      </c>
      <c r="AW34">
        <f t="shared" si="23"/>
        <v>8</v>
      </c>
      <c r="AX34" t="s">
        <v>23</v>
      </c>
      <c r="AY34" t="s">
        <v>17</v>
      </c>
      <c r="AZ34" s="16" t="s">
        <v>14</v>
      </c>
    </row>
    <row r="35" spans="1:52" x14ac:dyDescent="0.3">
      <c r="A35" t="s">
        <v>22</v>
      </c>
      <c r="B35" s="3">
        <v>44743</v>
      </c>
      <c r="C35">
        <f t="shared" si="0"/>
        <v>8</v>
      </c>
      <c r="D35" t="s">
        <v>23</v>
      </c>
      <c r="E35" t="s">
        <v>91</v>
      </c>
      <c r="F35" s="16" t="s">
        <v>11</v>
      </c>
      <c r="G35" s="16"/>
      <c r="H35" s="16"/>
      <c r="I35" s="16"/>
      <c r="J35" s="16"/>
      <c r="K35" s="19">
        <v>172</v>
      </c>
      <c r="L35" s="19">
        <v>16</v>
      </c>
      <c r="M35" s="18">
        <v>2</v>
      </c>
      <c r="R35">
        <v>196</v>
      </c>
      <c r="S35">
        <v>19</v>
      </c>
      <c r="T35">
        <v>3</v>
      </c>
      <c r="V35" s="11">
        <f t="shared" si="1"/>
        <v>0</v>
      </c>
      <c r="W35" s="11">
        <f t="shared" si="2"/>
        <v>0</v>
      </c>
      <c r="X35" s="11">
        <f t="shared" si="3"/>
        <v>0</v>
      </c>
      <c r="Y35" s="11">
        <f t="shared" si="4"/>
        <v>0</v>
      </c>
      <c r="Z35" s="11">
        <f t="shared" si="5"/>
        <v>17200000</v>
      </c>
      <c r="AA35" s="11">
        <f t="shared" si="6"/>
        <v>16000000</v>
      </c>
      <c r="AB35" s="13">
        <f t="shared" si="7"/>
        <v>20000000</v>
      </c>
      <c r="AC35" s="11">
        <f t="shared" si="8"/>
        <v>0</v>
      </c>
      <c r="AD35" s="11">
        <f t="shared" si="9"/>
        <v>0</v>
      </c>
      <c r="AE35" s="11">
        <f t="shared" si="10"/>
        <v>0</v>
      </c>
      <c r="AF35" s="11">
        <f t="shared" si="11"/>
        <v>0</v>
      </c>
      <c r="AG35" s="11">
        <f t="shared" si="12"/>
        <v>19600000</v>
      </c>
      <c r="AH35" s="11">
        <f t="shared" si="13"/>
        <v>19000000</v>
      </c>
      <c r="AI35" s="11">
        <f t="shared" si="14"/>
        <v>30000000</v>
      </c>
      <c r="AJ35" s="11"/>
      <c r="AK35" s="11">
        <f t="shared" si="24"/>
        <v>16600000</v>
      </c>
      <c r="AL35" s="13">
        <f t="shared" si="25"/>
        <v>19600000</v>
      </c>
      <c r="AM35">
        <f t="shared" si="17"/>
        <v>7.220108088040055</v>
      </c>
      <c r="AN35">
        <f t="shared" si="18"/>
        <v>7.2922560713564764</v>
      </c>
      <c r="AO35" s="11"/>
      <c r="AP35" s="11">
        <f>'Growth Parameters'!G30</f>
        <v>9.4730000000000008</v>
      </c>
      <c r="AQ35" s="11"/>
      <c r="AR35" s="11">
        <f t="shared" si="19"/>
        <v>1752348.780745276</v>
      </c>
      <c r="AS35" s="13">
        <f t="shared" si="20"/>
        <v>2069038.3194341811</v>
      </c>
      <c r="AT35">
        <f t="shared" si="21"/>
        <v>6.2436205507348648</v>
      </c>
      <c r="AU35">
        <f t="shared" si="22"/>
        <v>6.3157685340512861</v>
      </c>
      <c r="AW35">
        <f t="shared" si="23"/>
        <v>8</v>
      </c>
      <c r="AX35" t="s">
        <v>23</v>
      </c>
      <c r="AY35" t="s">
        <v>91</v>
      </c>
      <c r="AZ35" s="16" t="s">
        <v>11</v>
      </c>
    </row>
    <row r="36" spans="1:52" x14ac:dyDescent="0.3">
      <c r="A36" t="s">
        <v>22</v>
      </c>
      <c r="B36" s="3">
        <v>44743</v>
      </c>
      <c r="C36">
        <f t="shared" si="0"/>
        <v>8</v>
      </c>
      <c r="D36" t="s">
        <v>23</v>
      </c>
      <c r="E36" t="s">
        <v>91</v>
      </c>
      <c r="F36" s="16" t="s">
        <v>12</v>
      </c>
      <c r="G36" s="16"/>
      <c r="H36" s="16"/>
      <c r="I36" s="16"/>
      <c r="J36" s="16"/>
      <c r="K36" s="19">
        <v>505</v>
      </c>
      <c r="L36" s="19">
        <v>19</v>
      </c>
      <c r="M36" s="18">
        <v>5</v>
      </c>
      <c r="R36">
        <v>248</v>
      </c>
      <c r="S36">
        <v>22</v>
      </c>
      <c r="T36">
        <v>5</v>
      </c>
      <c r="V36" s="11">
        <f t="shared" si="1"/>
        <v>0</v>
      </c>
      <c r="W36" s="11">
        <f t="shared" si="2"/>
        <v>0</v>
      </c>
      <c r="X36" s="11">
        <f t="shared" si="3"/>
        <v>0</v>
      </c>
      <c r="Y36" s="11">
        <f t="shared" si="4"/>
        <v>0</v>
      </c>
      <c r="Z36" s="11">
        <f t="shared" si="5"/>
        <v>50500000</v>
      </c>
      <c r="AA36" s="11">
        <f t="shared" si="6"/>
        <v>19000000</v>
      </c>
      <c r="AB36" s="13">
        <f t="shared" si="7"/>
        <v>50000000</v>
      </c>
      <c r="AC36" s="11">
        <f t="shared" si="8"/>
        <v>0</v>
      </c>
      <c r="AD36" s="11">
        <f t="shared" si="9"/>
        <v>0</v>
      </c>
      <c r="AE36" s="11">
        <f t="shared" si="10"/>
        <v>0</v>
      </c>
      <c r="AF36" s="11">
        <f t="shared" si="11"/>
        <v>0</v>
      </c>
      <c r="AG36" s="11">
        <f t="shared" si="12"/>
        <v>24800000</v>
      </c>
      <c r="AH36" s="11">
        <f t="shared" si="13"/>
        <v>22000000</v>
      </c>
      <c r="AI36" s="11">
        <f t="shared" si="14"/>
        <v>50000000</v>
      </c>
      <c r="AJ36" s="11"/>
      <c r="AK36" s="11">
        <f t="shared" si="24"/>
        <v>19000000</v>
      </c>
      <c r="AL36" s="13">
        <f t="shared" si="25"/>
        <v>23400000</v>
      </c>
      <c r="AM36">
        <f t="shared" si="17"/>
        <v>7.2787536009528289</v>
      </c>
      <c r="AN36">
        <f t="shared" si="18"/>
        <v>7.3692158574101425</v>
      </c>
      <c r="AO36" s="11"/>
      <c r="AP36" s="11">
        <f>'Growth Parameters'!G31</f>
        <v>11.395</v>
      </c>
      <c r="AQ36" s="11"/>
      <c r="AR36" s="11">
        <f t="shared" si="19"/>
        <v>1667397.9815708646</v>
      </c>
      <c r="AS36" s="13">
        <f t="shared" si="20"/>
        <v>2053532.2509872753</v>
      </c>
      <c r="AT36">
        <f t="shared" si="21"/>
        <v>6.2220392714364348</v>
      </c>
      <c r="AU36">
        <f t="shared" si="22"/>
        <v>6.3125015278937484</v>
      </c>
      <c r="AW36">
        <f t="shared" si="23"/>
        <v>8</v>
      </c>
      <c r="AX36" t="s">
        <v>23</v>
      </c>
      <c r="AY36" t="s">
        <v>91</v>
      </c>
      <c r="AZ36" s="16" t="s">
        <v>12</v>
      </c>
    </row>
    <row r="37" spans="1:52" x14ac:dyDescent="0.3">
      <c r="A37" t="s">
        <v>22</v>
      </c>
      <c r="B37" s="3">
        <v>44743</v>
      </c>
      <c r="C37">
        <f t="shared" si="0"/>
        <v>8</v>
      </c>
      <c r="D37" t="s">
        <v>23</v>
      </c>
      <c r="E37" t="s">
        <v>91</v>
      </c>
      <c r="F37" s="16" t="s">
        <v>13</v>
      </c>
      <c r="G37" s="16"/>
      <c r="H37" s="16"/>
      <c r="I37" s="16"/>
      <c r="J37" s="16"/>
      <c r="K37" s="19">
        <v>74</v>
      </c>
      <c r="L37" s="19">
        <v>2</v>
      </c>
      <c r="M37" s="18">
        <v>3</v>
      </c>
      <c r="R37">
        <v>116</v>
      </c>
      <c r="S37">
        <v>6</v>
      </c>
      <c r="T37">
        <v>4</v>
      </c>
      <c r="V37" s="11">
        <f t="shared" si="1"/>
        <v>0</v>
      </c>
      <c r="W37" s="11">
        <f t="shared" si="2"/>
        <v>0</v>
      </c>
      <c r="X37" s="11">
        <f t="shared" si="3"/>
        <v>0</v>
      </c>
      <c r="Y37" s="11">
        <f t="shared" si="4"/>
        <v>0</v>
      </c>
      <c r="Z37" s="11">
        <f t="shared" si="5"/>
        <v>7400000</v>
      </c>
      <c r="AA37" s="11">
        <f t="shared" si="6"/>
        <v>2000000</v>
      </c>
      <c r="AB37" s="13">
        <f t="shared" si="7"/>
        <v>30000000</v>
      </c>
      <c r="AC37" s="11">
        <f t="shared" si="8"/>
        <v>0</v>
      </c>
      <c r="AD37" s="11">
        <f t="shared" si="9"/>
        <v>0</v>
      </c>
      <c r="AE37" s="11">
        <f t="shared" si="10"/>
        <v>0</v>
      </c>
      <c r="AF37" s="11">
        <f t="shared" si="11"/>
        <v>0</v>
      </c>
      <c r="AG37" s="11">
        <f t="shared" si="12"/>
        <v>11600000</v>
      </c>
      <c r="AH37" s="11">
        <f t="shared" si="13"/>
        <v>6000000</v>
      </c>
      <c r="AI37" s="11">
        <f t="shared" si="14"/>
        <v>40000000</v>
      </c>
      <c r="AJ37" s="11"/>
      <c r="AK37" s="11">
        <f t="shared" si="24"/>
        <v>7400000</v>
      </c>
      <c r="AL37" s="13">
        <f t="shared" si="25"/>
        <v>11600000</v>
      </c>
      <c r="AM37">
        <f t="shared" si="17"/>
        <v>6.8692317197309762</v>
      </c>
      <c r="AN37">
        <f t="shared" si="18"/>
        <v>7.0644579892269181</v>
      </c>
      <c r="AO37" s="11"/>
      <c r="AP37" s="11">
        <f>'Growth Parameters'!G32</f>
        <v>14.653</v>
      </c>
      <c r="AQ37" s="11"/>
      <c r="AR37" s="11">
        <f t="shared" si="19"/>
        <v>505016.03767146659</v>
      </c>
      <c r="AS37" s="13">
        <f t="shared" si="20"/>
        <v>791646.76175527193</v>
      </c>
      <c r="AT37">
        <f t="shared" si="21"/>
        <v>5.7033051701218795</v>
      </c>
      <c r="AU37">
        <f t="shared" si="22"/>
        <v>5.8985314396178223</v>
      </c>
      <c r="AW37">
        <f t="shared" si="23"/>
        <v>8</v>
      </c>
      <c r="AX37" t="s">
        <v>23</v>
      </c>
      <c r="AY37" t="s">
        <v>91</v>
      </c>
      <c r="AZ37" s="16" t="s">
        <v>13</v>
      </c>
    </row>
    <row r="38" spans="1:52" x14ac:dyDescent="0.3">
      <c r="A38" t="s">
        <v>22</v>
      </c>
      <c r="B38" s="3">
        <v>44743</v>
      </c>
      <c r="C38">
        <f t="shared" si="0"/>
        <v>8</v>
      </c>
      <c r="D38" t="s">
        <v>23</v>
      </c>
      <c r="E38" t="s">
        <v>91</v>
      </c>
      <c r="F38" s="16" t="s">
        <v>14</v>
      </c>
      <c r="G38" s="16"/>
      <c r="H38" s="16"/>
      <c r="I38" s="16"/>
      <c r="J38" s="16"/>
      <c r="K38" s="19">
        <v>142</v>
      </c>
      <c r="L38" s="19">
        <v>9</v>
      </c>
      <c r="M38" s="18">
        <v>1</v>
      </c>
      <c r="R38">
        <v>186</v>
      </c>
      <c r="S38">
        <v>14</v>
      </c>
      <c r="T38">
        <v>1</v>
      </c>
      <c r="V38" s="11">
        <f t="shared" si="1"/>
        <v>0</v>
      </c>
      <c r="W38" s="11">
        <f t="shared" si="2"/>
        <v>0</v>
      </c>
      <c r="X38" s="11">
        <f t="shared" si="3"/>
        <v>0</v>
      </c>
      <c r="Y38" s="11">
        <f t="shared" si="4"/>
        <v>0</v>
      </c>
      <c r="Z38" s="11">
        <f t="shared" si="5"/>
        <v>14200000</v>
      </c>
      <c r="AA38" s="11">
        <f t="shared" si="6"/>
        <v>9000000</v>
      </c>
      <c r="AB38" s="13">
        <f t="shared" si="7"/>
        <v>10000000</v>
      </c>
      <c r="AC38" s="11">
        <f t="shared" si="8"/>
        <v>0</v>
      </c>
      <c r="AD38" s="11">
        <f t="shared" si="9"/>
        <v>0</v>
      </c>
      <c r="AE38" s="11">
        <f t="shared" si="10"/>
        <v>0</v>
      </c>
      <c r="AF38" s="11">
        <f t="shared" si="11"/>
        <v>0</v>
      </c>
      <c r="AG38" s="11">
        <f t="shared" si="12"/>
        <v>18600000</v>
      </c>
      <c r="AH38" s="11">
        <f t="shared" si="13"/>
        <v>14000000</v>
      </c>
      <c r="AI38" s="11">
        <f t="shared" si="14"/>
        <v>10000000</v>
      </c>
      <c r="AJ38" s="11"/>
      <c r="AK38" s="11">
        <f t="shared" si="24"/>
        <v>14200000</v>
      </c>
      <c r="AL38" s="13">
        <f t="shared" si="25"/>
        <v>18600000</v>
      </c>
      <c r="AM38">
        <f t="shared" si="17"/>
        <v>7.1522883443830567</v>
      </c>
      <c r="AN38">
        <f t="shared" si="18"/>
        <v>7.2695129442179161</v>
      </c>
      <c r="AO38" s="11"/>
      <c r="AP38" s="11">
        <f>'Growth Parameters'!G33</f>
        <v>10.327999999999999</v>
      </c>
      <c r="AQ38" s="11"/>
      <c r="AR38" s="11">
        <f t="shared" si="19"/>
        <v>1374903.1758326879</v>
      </c>
      <c r="AS38" s="13">
        <f t="shared" si="20"/>
        <v>1800929.5120061969</v>
      </c>
      <c r="AT38">
        <f t="shared" si="21"/>
        <v>6.1382721151246926</v>
      </c>
      <c r="AU38">
        <f t="shared" si="22"/>
        <v>6.2554967149595528</v>
      </c>
      <c r="AW38">
        <f t="shared" si="23"/>
        <v>8</v>
      </c>
      <c r="AX38" t="s">
        <v>23</v>
      </c>
      <c r="AY38" t="s">
        <v>91</v>
      </c>
      <c r="AZ38" s="16" t="s">
        <v>14</v>
      </c>
    </row>
    <row r="39" spans="1:52" x14ac:dyDescent="0.3">
      <c r="A39" t="s">
        <v>22</v>
      </c>
      <c r="B39" s="3">
        <v>44743</v>
      </c>
      <c r="C39">
        <f t="shared" si="0"/>
        <v>8</v>
      </c>
      <c r="D39" t="s">
        <v>23</v>
      </c>
      <c r="E39" t="s">
        <v>18</v>
      </c>
      <c r="F39" s="16" t="s">
        <v>11</v>
      </c>
      <c r="G39" s="16"/>
      <c r="H39" s="16"/>
      <c r="I39" s="16"/>
      <c r="J39" s="16"/>
      <c r="K39" s="19">
        <v>53</v>
      </c>
      <c r="L39" s="19">
        <v>4</v>
      </c>
      <c r="M39" s="18">
        <v>0</v>
      </c>
      <c r="R39">
        <v>75</v>
      </c>
      <c r="S39">
        <v>5</v>
      </c>
      <c r="T39">
        <v>0</v>
      </c>
      <c r="V39" s="11">
        <f t="shared" si="1"/>
        <v>0</v>
      </c>
      <c r="W39" s="11">
        <f t="shared" si="2"/>
        <v>0</v>
      </c>
      <c r="X39" s="11">
        <f t="shared" si="3"/>
        <v>0</v>
      </c>
      <c r="Y39" s="11">
        <f t="shared" si="4"/>
        <v>0</v>
      </c>
      <c r="Z39" s="11">
        <f t="shared" si="5"/>
        <v>5300000</v>
      </c>
      <c r="AA39" s="11">
        <f t="shared" si="6"/>
        <v>4000000</v>
      </c>
      <c r="AB39" s="13">
        <f t="shared" si="7"/>
        <v>0</v>
      </c>
      <c r="AC39" s="11">
        <f t="shared" si="8"/>
        <v>0</v>
      </c>
      <c r="AD39" s="11">
        <f t="shared" si="9"/>
        <v>0</v>
      </c>
      <c r="AE39" s="11">
        <f t="shared" si="10"/>
        <v>0</v>
      </c>
      <c r="AF39" s="11">
        <f t="shared" si="11"/>
        <v>0</v>
      </c>
      <c r="AG39" s="11">
        <f t="shared" si="12"/>
        <v>7500000</v>
      </c>
      <c r="AH39" s="11">
        <f t="shared" si="13"/>
        <v>5000000</v>
      </c>
      <c r="AI39" s="11">
        <f t="shared" si="14"/>
        <v>0</v>
      </c>
      <c r="AJ39" s="11"/>
      <c r="AK39" s="11">
        <f t="shared" si="24"/>
        <v>5300000</v>
      </c>
      <c r="AL39" s="13">
        <f t="shared" si="25"/>
        <v>7500000</v>
      </c>
      <c r="AM39">
        <f t="shared" si="17"/>
        <v>6.7242758696007892</v>
      </c>
      <c r="AN39">
        <f t="shared" si="18"/>
        <v>6.8750612633917001</v>
      </c>
      <c r="AO39" s="11"/>
      <c r="AP39" s="11">
        <f>'Growth Parameters'!G34</f>
        <v>8.6280000000000001</v>
      </c>
      <c r="AQ39" s="11"/>
      <c r="AR39" s="11">
        <f t="shared" si="19"/>
        <v>614279.09133055166</v>
      </c>
      <c r="AS39" s="13">
        <f t="shared" si="20"/>
        <v>869262.86509040336</v>
      </c>
      <c r="AT39">
        <f t="shared" si="21"/>
        <v>5.7883657331702816</v>
      </c>
      <c r="AU39">
        <f t="shared" si="22"/>
        <v>5.9391511269611925</v>
      </c>
      <c r="AW39">
        <f t="shared" si="23"/>
        <v>8</v>
      </c>
      <c r="AX39" t="s">
        <v>23</v>
      </c>
      <c r="AY39" t="s">
        <v>18</v>
      </c>
      <c r="AZ39" s="16" t="s">
        <v>11</v>
      </c>
    </row>
    <row r="40" spans="1:52" x14ac:dyDescent="0.3">
      <c r="A40" t="s">
        <v>22</v>
      </c>
      <c r="B40" s="3">
        <v>44743</v>
      </c>
      <c r="C40">
        <f t="shared" si="0"/>
        <v>8</v>
      </c>
      <c r="D40" t="s">
        <v>23</v>
      </c>
      <c r="E40" t="s">
        <v>18</v>
      </c>
      <c r="F40" s="16" t="s">
        <v>12</v>
      </c>
      <c r="G40" s="16"/>
      <c r="H40" s="16"/>
      <c r="I40" s="16"/>
      <c r="J40" s="16"/>
      <c r="K40" s="19">
        <v>252</v>
      </c>
      <c r="L40" s="19">
        <v>40</v>
      </c>
      <c r="M40" s="18">
        <v>0</v>
      </c>
      <c r="R40">
        <v>345</v>
      </c>
      <c r="S40">
        <v>44</v>
      </c>
      <c r="T40">
        <v>0</v>
      </c>
      <c r="V40" s="11">
        <f t="shared" si="1"/>
        <v>0</v>
      </c>
      <c r="W40" s="11">
        <f t="shared" si="2"/>
        <v>0</v>
      </c>
      <c r="X40" s="11">
        <f t="shared" si="3"/>
        <v>0</v>
      </c>
      <c r="Y40" s="11">
        <f t="shared" si="4"/>
        <v>0</v>
      </c>
      <c r="Z40" s="11">
        <f t="shared" si="5"/>
        <v>25200000</v>
      </c>
      <c r="AA40" s="11">
        <f t="shared" si="6"/>
        <v>40000000</v>
      </c>
      <c r="AB40" s="13">
        <f t="shared" si="7"/>
        <v>0</v>
      </c>
      <c r="AC40" s="11">
        <f t="shared" si="8"/>
        <v>0</v>
      </c>
      <c r="AD40" s="11">
        <f t="shared" si="9"/>
        <v>0</v>
      </c>
      <c r="AE40" s="11">
        <f t="shared" si="10"/>
        <v>0</v>
      </c>
      <c r="AF40" s="11">
        <f t="shared" si="11"/>
        <v>0</v>
      </c>
      <c r="AG40" s="11">
        <f t="shared" si="12"/>
        <v>34500000</v>
      </c>
      <c r="AH40" s="11">
        <f t="shared" si="13"/>
        <v>44000000</v>
      </c>
      <c r="AI40" s="11">
        <f t="shared" si="14"/>
        <v>0</v>
      </c>
      <c r="AJ40" s="11"/>
      <c r="AK40" s="11">
        <f t="shared" si="24"/>
        <v>32600000</v>
      </c>
      <c r="AL40" s="13">
        <f t="shared" si="25"/>
        <v>39250000</v>
      </c>
      <c r="AM40">
        <f t="shared" si="17"/>
        <v>7.5132176000679394</v>
      </c>
      <c r="AN40">
        <f t="shared" si="18"/>
        <v>7.5938396610812715</v>
      </c>
      <c r="AO40" s="11"/>
      <c r="AP40" s="11">
        <f>'Growth Parameters'!G35</f>
        <v>12.27</v>
      </c>
      <c r="AQ40" s="11"/>
      <c r="AR40" s="11">
        <f t="shared" si="19"/>
        <v>2656886.7155664223</v>
      </c>
      <c r="AS40" s="13">
        <f t="shared" si="20"/>
        <v>3198859.0057049715</v>
      </c>
      <c r="AT40">
        <f t="shared" si="21"/>
        <v>6.4243730373409349</v>
      </c>
      <c r="AU40">
        <f t="shared" si="22"/>
        <v>6.504995098354267</v>
      </c>
      <c r="AW40">
        <f t="shared" si="23"/>
        <v>8</v>
      </c>
      <c r="AX40" t="s">
        <v>23</v>
      </c>
      <c r="AY40" t="s">
        <v>18</v>
      </c>
      <c r="AZ40" s="16" t="s">
        <v>12</v>
      </c>
    </row>
    <row r="41" spans="1:52" x14ac:dyDescent="0.3">
      <c r="A41" t="s">
        <v>22</v>
      </c>
      <c r="B41" s="3">
        <v>44743</v>
      </c>
      <c r="C41">
        <f t="shared" si="0"/>
        <v>8</v>
      </c>
      <c r="D41" t="s">
        <v>23</v>
      </c>
      <c r="E41" t="s">
        <v>18</v>
      </c>
      <c r="F41" s="16" t="s">
        <v>13</v>
      </c>
      <c r="G41" s="16"/>
      <c r="H41" s="16"/>
      <c r="I41" s="16"/>
      <c r="J41" s="16"/>
      <c r="K41" s="19">
        <v>86</v>
      </c>
      <c r="L41" s="19">
        <v>41</v>
      </c>
      <c r="M41" s="18">
        <v>1</v>
      </c>
      <c r="R41">
        <v>117</v>
      </c>
      <c r="S41">
        <v>48</v>
      </c>
      <c r="T41">
        <v>1</v>
      </c>
      <c r="V41" s="11">
        <f t="shared" si="1"/>
        <v>0</v>
      </c>
      <c r="W41" s="11">
        <f t="shared" si="2"/>
        <v>0</v>
      </c>
      <c r="X41" s="11">
        <f t="shared" si="3"/>
        <v>0</v>
      </c>
      <c r="Y41" s="11">
        <f t="shared" si="4"/>
        <v>0</v>
      </c>
      <c r="Z41" s="11">
        <f t="shared" si="5"/>
        <v>8600000</v>
      </c>
      <c r="AA41" s="11">
        <f t="shared" si="6"/>
        <v>41000000</v>
      </c>
      <c r="AB41" s="13">
        <f t="shared" si="7"/>
        <v>10000000</v>
      </c>
      <c r="AC41" s="11">
        <f t="shared" si="8"/>
        <v>0</v>
      </c>
      <c r="AD41" s="11">
        <f t="shared" si="9"/>
        <v>0</v>
      </c>
      <c r="AE41" s="11">
        <f t="shared" si="10"/>
        <v>0</v>
      </c>
      <c r="AF41" s="11">
        <f t="shared" si="11"/>
        <v>0</v>
      </c>
      <c r="AG41" s="11">
        <f t="shared" si="12"/>
        <v>11700000</v>
      </c>
      <c r="AH41" s="11">
        <f t="shared" si="13"/>
        <v>48000000</v>
      </c>
      <c r="AI41" s="11">
        <f t="shared" si="14"/>
        <v>10000000</v>
      </c>
      <c r="AJ41" s="11"/>
      <c r="AK41" s="11">
        <f t="shared" si="24"/>
        <v>24800000</v>
      </c>
      <c r="AL41" s="13">
        <f t="shared" si="25"/>
        <v>29850000</v>
      </c>
      <c r="AM41">
        <f t="shared" si="17"/>
        <v>7.394451680826216</v>
      </c>
      <c r="AN41">
        <f t="shared" si="18"/>
        <v>7.4749443354653877</v>
      </c>
      <c r="AO41" s="11"/>
      <c r="AP41" s="11">
        <f>'Growth Parameters'!G36</f>
        <v>11.087</v>
      </c>
      <c r="AQ41" s="11"/>
      <c r="AR41" s="11">
        <f t="shared" si="19"/>
        <v>2236853.9731216743</v>
      </c>
      <c r="AS41" s="13">
        <f t="shared" si="20"/>
        <v>2692342.3829710474</v>
      </c>
      <c r="AT41">
        <f t="shared" si="21"/>
        <v>6.3496376332975784</v>
      </c>
      <c r="AU41">
        <f t="shared" si="22"/>
        <v>6.4301302879367501</v>
      </c>
      <c r="AW41">
        <f t="shared" si="23"/>
        <v>8</v>
      </c>
      <c r="AX41" t="s">
        <v>23</v>
      </c>
      <c r="AY41" t="s">
        <v>18</v>
      </c>
      <c r="AZ41" s="16" t="s">
        <v>13</v>
      </c>
    </row>
    <row r="42" spans="1:52" x14ac:dyDescent="0.3">
      <c r="A42" t="s">
        <v>22</v>
      </c>
      <c r="B42" s="3">
        <v>44743</v>
      </c>
      <c r="C42">
        <f t="shared" si="0"/>
        <v>8</v>
      </c>
      <c r="D42" t="s">
        <v>23</v>
      </c>
      <c r="E42" t="s">
        <v>18</v>
      </c>
      <c r="F42" s="16" t="s">
        <v>14</v>
      </c>
      <c r="G42" s="16"/>
      <c r="H42" s="16"/>
      <c r="I42" s="16"/>
      <c r="J42" s="16"/>
      <c r="K42" s="19">
        <v>136</v>
      </c>
      <c r="L42" s="19">
        <v>12</v>
      </c>
      <c r="M42" s="18">
        <v>1</v>
      </c>
      <c r="R42">
        <v>157</v>
      </c>
      <c r="S42">
        <v>19</v>
      </c>
      <c r="T42">
        <v>1</v>
      </c>
      <c r="V42" s="11">
        <f t="shared" si="1"/>
        <v>0</v>
      </c>
      <c r="W42" s="11">
        <f t="shared" si="2"/>
        <v>0</v>
      </c>
      <c r="X42" s="11">
        <f t="shared" si="3"/>
        <v>0</v>
      </c>
      <c r="Y42" s="11">
        <f t="shared" si="4"/>
        <v>0</v>
      </c>
      <c r="Z42" s="11">
        <f t="shared" si="5"/>
        <v>13600000</v>
      </c>
      <c r="AA42" s="11">
        <f t="shared" si="6"/>
        <v>12000000</v>
      </c>
      <c r="AB42" s="13">
        <f t="shared" si="7"/>
        <v>10000000</v>
      </c>
      <c r="AC42" s="11">
        <f t="shared" si="8"/>
        <v>0</v>
      </c>
      <c r="AD42" s="11">
        <f t="shared" si="9"/>
        <v>0</v>
      </c>
      <c r="AE42" s="11">
        <f t="shared" si="10"/>
        <v>0</v>
      </c>
      <c r="AF42" s="11">
        <f t="shared" si="11"/>
        <v>0</v>
      </c>
      <c r="AG42" s="11">
        <f t="shared" si="12"/>
        <v>15700000</v>
      </c>
      <c r="AH42" s="11">
        <f t="shared" si="13"/>
        <v>19000000</v>
      </c>
      <c r="AI42" s="11">
        <f t="shared" si="14"/>
        <v>10000000</v>
      </c>
      <c r="AJ42" s="11"/>
      <c r="AK42" s="11">
        <f t="shared" si="24"/>
        <v>12800000</v>
      </c>
      <c r="AL42" s="13">
        <f t="shared" si="25"/>
        <v>15700000</v>
      </c>
      <c r="AM42">
        <f t="shared" si="17"/>
        <v>7.1072099696478688</v>
      </c>
      <c r="AN42">
        <f t="shared" si="18"/>
        <v>7.195899652409234</v>
      </c>
      <c r="AO42" s="11"/>
      <c r="AP42" s="11">
        <f>'Growth Parameters'!G37</f>
        <v>12.561999999999999</v>
      </c>
      <c r="AQ42" s="11"/>
      <c r="AR42" s="11">
        <f t="shared" si="19"/>
        <v>1018946.0277025952</v>
      </c>
      <c r="AS42" s="13">
        <f t="shared" si="20"/>
        <v>1249800.9871039644</v>
      </c>
      <c r="AT42">
        <f t="shared" si="21"/>
        <v>6.008151180579814</v>
      </c>
      <c r="AU42">
        <f t="shared" si="22"/>
        <v>6.0968408633411793</v>
      </c>
      <c r="AW42">
        <f t="shared" si="23"/>
        <v>8</v>
      </c>
      <c r="AX42" t="s">
        <v>23</v>
      </c>
      <c r="AY42" t="s">
        <v>18</v>
      </c>
      <c r="AZ42" s="16" t="s">
        <v>14</v>
      </c>
    </row>
    <row r="43" spans="1:52" x14ac:dyDescent="0.3">
      <c r="A43" t="s">
        <v>22</v>
      </c>
      <c r="B43" s="3">
        <v>44743</v>
      </c>
      <c r="C43">
        <f t="shared" si="0"/>
        <v>8</v>
      </c>
      <c r="D43" t="s">
        <v>23</v>
      </c>
      <c r="E43" t="s">
        <v>19</v>
      </c>
      <c r="F43" s="16" t="s">
        <v>11</v>
      </c>
      <c r="G43" s="16"/>
      <c r="H43" s="16"/>
      <c r="I43" s="16"/>
      <c r="J43" s="16">
        <v>52</v>
      </c>
      <c r="K43" s="19">
        <v>4</v>
      </c>
      <c r="L43" s="19">
        <v>0</v>
      </c>
      <c r="M43" s="18">
        <v>0</v>
      </c>
      <c r="R43">
        <v>23</v>
      </c>
      <c r="S43">
        <v>0</v>
      </c>
      <c r="T43">
        <v>0</v>
      </c>
      <c r="V43" s="11">
        <f t="shared" si="1"/>
        <v>0</v>
      </c>
      <c r="W43" s="11">
        <f t="shared" si="2"/>
        <v>0</v>
      </c>
      <c r="X43" s="11">
        <f t="shared" si="3"/>
        <v>0</v>
      </c>
      <c r="Y43" s="11">
        <f t="shared" si="4"/>
        <v>520000</v>
      </c>
      <c r="Z43" s="11">
        <f t="shared" si="5"/>
        <v>400000</v>
      </c>
      <c r="AA43" s="11">
        <f t="shared" si="6"/>
        <v>0</v>
      </c>
      <c r="AB43" s="13">
        <f t="shared" si="7"/>
        <v>0</v>
      </c>
      <c r="AC43" s="11">
        <f t="shared" si="8"/>
        <v>0</v>
      </c>
      <c r="AD43" s="11">
        <f t="shared" si="9"/>
        <v>0</v>
      </c>
      <c r="AE43" s="11">
        <f t="shared" si="10"/>
        <v>0</v>
      </c>
      <c r="AF43" s="11">
        <f t="shared" si="11"/>
        <v>0</v>
      </c>
      <c r="AG43" s="11">
        <f t="shared" si="12"/>
        <v>2300000</v>
      </c>
      <c r="AH43" s="11">
        <f t="shared" si="13"/>
        <v>0</v>
      </c>
      <c r="AI43" s="11">
        <f t="shared" si="14"/>
        <v>0</v>
      </c>
      <c r="AJ43" s="11"/>
      <c r="AK43" s="11">
        <f t="shared" si="24"/>
        <v>520000</v>
      </c>
      <c r="AL43" s="13">
        <f t="shared" si="25"/>
        <v>2300000</v>
      </c>
      <c r="AM43">
        <f t="shared" si="17"/>
        <v>5.7160033436347994</v>
      </c>
      <c r="AN43">
        <f t="shared" si="18"/>
        <v>6.3617278360175931</v>
      </c>
      <c r="AO43" s="11"/>
      <c r="AP43" s="11">
        <f>'Growth Parameters'!G38</f>
        <v>6.702</v>
      </c>
      <c r="AQ43" s="11"/>
      <c r="AR43" s="11">
        <f t="shared" si="19"/>
        <v>77588.779468815279</v>
      </c>
      <c r="AS43" s="13">
        <f t="shared" si="20"/>
        <v>343181.13995822141</v>
      </c>
      <c r="AT43">
        <f t="shared" si="21"/>
        <v>4.8897989201355463</v>
      </c>
      <c r="AU43">
        <f t="shared" si="22"/>
        <v>5.5355234125183399</v>
      </c>
      <c r="AW43">
        <f t="shared" si="23"/>
        <v>8</v>
      </c>
      <c r="AX43" t="s">
        <v>23</v>
      </c>
      <c r="AY43" t="s">
        <v>19</v>
      </c>
      <c r="AZ43" s="16" t="s">
        <v>11</v>
      </c>
    </row>
    <row r="44" spans="1:52" x14ac:dyDescent="0.3">
      <c r="A44" t="s">
        <v>22</v>
      </c>
      <c r="B44" s="3">
        <v>44743</v>
      </c>
      <c r="C44">
        <f t="shared" si="0"/>
        <v>8</v>
      </c>
      <c r="D44" t="s">
        <v>23</v>
      </c>
      <c r="E44" t="s">
        <v>19</v>
      </c>
      <c r="F44" s="16" t="s">
        <v>12</v>
      </c>
      <c r="G44" s="16"/>
      <c r="H44" s="16"/>
      <c r="I44" s="16"/>
      <c r="J44" s="16"/>
      <c r="K44" s="19">
        <v>22</v>
      </c>
      <c r="L44" s="19">
        <v>1</v>
      </c>
      <c r="M44" s="18">
        <v>0</v>
      </c>
      <c r="R44">
        <v>58</v>
      </c>
      <c r="S44">
        <v>2</v>
      </c>
      <c r="T44">
        <v>0</v>
      </c>
      <c r="V44" s="11">
        <f t="shared" si="1"/>
        <v>0</v>
      </c>
      <c r="W44" s="11">
        <f t="shared" si="2"/>
        <v>0</v>
      </c>
      <c r="X44" s="11">
        <f t="shared" si="3"/>
        <v>0</v>
      </c>
      <c r="Y44" s="11">
        <f t="shared" si="4"/>
        <v>0</v>
      </c>
      <c r="Z44" s="11">
        <f t="shared" si="5"/>
        <v>2200000</v>
      </c>
      <c r="AA44" s="11">
        <f t="shared" si="6"/>
        <v>1000000</v>
      </c>
      <c r="AB44" s="13">
        <f t="shared" si="7"/>
        <v>0</v>
      </c>
      <c r="AC44" s="11">
        <f t="shared" si="8"/>
        <v>0</v>
      </c>
      <c r="AD44" s="11">
        <f t="shared" si="9"/>
        <v>0</v>
      </c>
      <c r="AE44" s="11">
        <f t="shared" si="10"/>
        <v>0</v>
      </c>
      <c r="AF44" s="11">
        <f t="shared" si="11"/>
        <v>0</v>
      </c>
      <c r="AG44" s="11">
        <f t="shared" si="12"/>
        <v>5800000</v>
      </c>
      <c r="AH44" s="11">
        <f t="shared" si="13"/>
        <v>2000000</v>
      </c>
      <c r="AI44" s="11">
        <f t="shared" si="14"/>
        <v>0</v>
      </c>
      <c r="AJ44" s="11"/>
      <c r="AK44" s="11">
        <f t="shared" si="24"/>
        <v>2200000</v>
      </c>
      <c r="AL44" s="13">
        <f t="shared" si="25"/>
        <v>5800000</v>
      </c>
      <c r="AM44">
        <f t="shared" si="17"/>
        <v>6.3424226808222066</v>
      </c>
      <c r="AN44">
        <f t="shared" si="18"/>
        <v>6.7634279935629369</v>
      </c>
      <c r="AO44" s="11"/>
      <c r="AP44" s="11">
        <f>'Growth Parameters'!G39</f>
        <v>6.9249999999999998</v>
      </c>
      <c r="AQ44" s="11"/>
      <c r="AR44" s="11">
        <f t="shared" si="19"/>
        <v>317689.53068592056</v>
      </c>
      <c r="AS44" s="13">
        <f t="shared" si="20"/>
        <v>837545.12635379063</v>
      </c>
      <c r="AT44">
        <f t="shared" si="21"/>
        <v>5.50200290308572</v>
      </c>
      <c r="AU44">
        <f t="shared" si="22"/>
        <v>5.9230082158264512</v>
      </c>
      <c r="AW44">
        <f t="shared" si="23"/>
        <v>8</v>
      </c>
      <c r="AX44" t="s">
        <v>23</v>
      </c>
      <c r="AY44" t="s">
        <v>19</v>
      </c>
      <c r="AZ44" s="16" t="s">
        <v>12</v>
      </c>
    </row>
    <row r="45" spans="1:52" x14ac:dyDescent="0.3">
      <c r="A45" t="s">
        <v>22</v>
      </c>
      <c r="B45" s="3">
        <v>44743</v>
      </c>
      <c r="C45">
        <f t="shared" si="0"/>
        <v>8</v>
      </c>
      <c r="D45" t="s">
        <v>23</v>
      </c>
      <c r="E45" t="s">
        <v>19</v>
      </c>
      <c r="F45" s="16" t="s">
        <v>13</v>
      </c>
      <c r="G45" s="16"/>
      <c r="H45" s="16"/>
      <c r="I45" s="16"/>
      <c r="J45" s="16"/>
      <c r="K45" s="19">
        <v>46</v>
      </c>
      <c r="L45" s="19">
        <v>0</v>
      </c>
      <c r="M45" s="18">
        <v>0</v>
      </c>
      <c r="R45">
        <v>86</v>
      </c>
      <c r="S45">
        <v>6</v>
      </c>
      <c r="T45">
        <v>1</v>
      </c>
      <c r="V45" s="11">
        <f t="shared" si="1"/>
        <v>0</v>
      </c>
      <c r="W45" s="11">
        <f t="shared" si="2"/>
        <v>0</v>
      </c>
      <c r="X45" s="11">
        <f t="shared" si="3"/>
        <v>0</v>
      </c>
      <c r="Y45" s="11">
        <f t="shared" si="4"/>
        <v>0</v>
      </c>
      <c r="Z45" s="11">
        <f t="shared" si="5"/>
        <v>4600000</v>
      </c>
      <c r="AA45" s="11">
        <f t="shared" si="6"/>
        <v>0</v>
      </c>
      <c r="AB45" s="13">
        <f t="shared" si="7"/>
        <v>0</v>
      </c>
      <c r="AC45" s="11">
        <f t="shared" si="8"/>
        <v>0</v>
      </c>
      <c r="AD45" s="11">
        <f t="shared" si="9"/>
        <v>0</v>
      </c>
      <c r="AE45" s="11">
        <f t="shared" si="10"/>
        <v>0</v>
      </c>
      <c r="AF45" s="11">
        <f t="shared" si="11"/>
        <v>0</v>
      </c>
      <c r="AG45" s="11">
        <f t="shared" si="12"/>
        <v>8600000</v>
      </c>
      <c r="AH45" s="11">
        <f t="shared" si="13"/>
        <v>6000000</v>
      </c>
      <c r="AI45" s="11">
        <f t="shared" si="14"/>
        <v>10000000</v>
      </c>
      <c r="AJ45" s="11"/>
      <c r="AK45" s="11">
        <f t="shared" si="24"/>
        <v>4600000</v>
      </c>
      <c r="AL45" s="13">
        <f t="shared" si="25"/>
        <v>8600000</v>
      </c>
      <c r="AM45">
        <f t="shared" si="17"/>
        <v>6.6627578316815743</v>
      </c>
      <c r="AN45">
        <f t="shared" si="18"/>
        <v>6.9344984512435675</v>
      </c>
      <c r="AO45" s="11"/>
      <c r="AP45" s="11">
        <f>'Growth Parameters'!G40</f>
        <v>7.5880000000000001</v>
      </c>
      <c r="AQ45" s="11"/>
      <c r="AR45" s="11">
        <f t="shared" si="19"/>
        <v>606220.34791776491</v>
      </c>
      <c r="AS45" s="13">
        <f t="shared" si="20"/>
        <v>1133368.4765419082</v>
      </c>
      <c r="AT45">
        <f t="shared" si="21"/>
        <v>5.7826305094649495</v>
      </c>
      <c r="AU45">
        <f t="shared" si="22"/>
        <v>6.0543711290269426</v>
      </c>
      <c r="AW45">
        <f t="shared" si="23"/>
        <v>8</v>
      </c>
      <c r="AX45" t="s">
        <v>23</v>
      </c>
      <c r="AY45" t="s">
        <v>19</v>
      </c>
      <c r="AZ45" s="16" t="s">
        <v>13</v>
      </c>
    </row>
    <row r="46" spans="1:52" x14ac:dyDescent="0.3">
      <c r="A46" t="s">
        <v>22</v>
      </c>
      <c r="B46" s="3">
        <v>44743</v>
      </c>
      <c r="C46">
        <f t="shared" si="0"/>
        <v>8</v>
      </c>
      <c r="D46" t="s">
        <v>23</v>
      </c>
      <c r="E46" t="s">
        <v>19</v>
      </c>
      <c r="F46" s="16" t="s">
        <v>14</v>
      </c>
      <c r="G46" s="16"/>
      <c r="H46" s="16"/>
      <c r="I46" s="16"/>
      <c r="J46" s="16"/>
      <c r="K46" s="19">
        <v>15</v>
      </c>
      <c r="L46" s="19">
        <v>11</v>
      </c>
      <c r="M46" s="18">
        <v>0</v>
      </c>
      <c r="R46">
        <v>43</v>
      </c>
      <c r="S46">
        <v>31</v>
      </c>
      <c r="T46">
        <v>0</v>
      </c>
      <c r="V46" s="11">
        <f t="shared" si="1"/>
        <v>0</v>
      </c>
      <c r="W46" s="11">
        <f t="shared" si="2"/>
        <v>0</v>
      </c>
      <c r="X46" s="11">
        <f t="shared" si="3"/>
        <v>0</v>
      </c>
      <c r="Y46" s="11">
        <f t="shared" si="4"/>
        <v>0</v>
      </c>
      <c r="Z46" s="11">
        <f t="shared" si="5"/>
        <v>1500000</v>
      </c>
      <c r="AA46" s="11">
        <f t="shared" si="6"/>
        <v>11000000</v>
      </c>
      <c r="AB46" s="13">
        <f t="shared" si="7"/>
        <v>0</v>
      </c>
      <c r="AC46" s="11">
        <f t="shared" si="8"/>
        <v>0</v>
      </c>
      <c r="AD46" s="11">
        <f t="shared" si="9"/>
        <v>0</v>
      </c>
      <c r="AE46" s="11">
        <f t="shared" si="10"/>
        <v>0</v>
      </c>
      <c r="AF46" s="11">
        <f t="shared" si="11"/>
        <v>0</v>
      </c>
      <c r="AG46" s="11">
        <f t="shared" si="12"/>
        <v>4300000</v>
      </c>
      <c r="AH46" s="11">
        <f t="shared" si="13"/>
        <v>31000000</v>
      </c>
      <c r="AI46" s="11">
        <f t="shared" si="14"/>
        <v>0</v>
      </c>
      <c r="AJ46" s="11"/>
      <c r="AK46" s="11">
        <f t="shared" si="24"/>
        <v>6250000</v>
      </c>
      <c r="AL46" s="13">
        <f t="shared" si="25"/>
        <v>17650000</v>
      </c>
      <c r="AM46">
        <f t="shared" si="17"/>
        <v>6.795880017344075</v>
      </c>
      <c r="AN46">
        <f t="shared" si="18"/>
        <v>7.2467447097238411</v>
      </c>
      <c r="AO46" s="11"/>
      <c r="AP46" s="11">
        <f>'Growth Parameters'!G41</f>
        <v>5.7039999999999997</v>
      </c>
      <c r="AQ46" s="11"/>
      <c r="AR46" s="11">
        <f t="shared" si="19"/>
        <v>1095722.3001402526</v>
      </c>
      <c r="AS46" s="13">
        <f t="shared" si="20"/>
        <v>3094319.7755960729</v>
      </c>
      <c r="AT46">
        <f t="shared" si="21"/>
        <v>6.039700500500266</v>
      </c>
      <c r="AU46">
        <f t="shared" si="22"/>
        <v>6.4905651928800321</v>
      </c>
      <c r="AW46">
        <f t="shared" si="23"/>
        <v>8</v>
      </c>
      <c r="AX46" t="s">
        <v>23</v>
      </c>
      <c r="AY46" t="s">
        <v>19</v>
      </c>
      <c r="AZ46" s="16" t="s">
        <v>14</v>
      </c>
    </row>
    <row r="47" spans="1:52" x14ac:dyDescent="0.3">
      <c r="A47" t="s">
        <v>22</v>
      </c>
      <c r="B47" s="3">
        <v>44746</v>
      </c>
      <c r="C47">
        <f t="shared" si="0"/>
        <v>11</v>
      </c>
      <c r="D47" t="s">
        <v>23</v>
      </c>
      <c r="E47" t="s">
        <v>17</v>
      </c>
      <c r="F47" s="16" t="s">
        <v>11</v>
      </c>
      <c r="G47" s="16"/>
      <c r="H47" s="16"/>
      <c r="I47" s="16"/>
      <c r="J47" s="16">
        <v>137</v>
      </c>
      <c r="K47" s="19">
        <v>13</v>
      </c>
      <c r="L47" s="19">
        <v>1</v>
      </c>
      <c r="M47" s="18"/>
      <c r="Q47">
        <v>177</v>
      </c>
      <c r="R47">
        <v>16</v>
      </c>
      <c r="S47">
        <v>1</v>
      </c>
      <c r="V47" s="11">
        <f t="shared" si="1"/>
        <v>0</v>
      </c>
      <c r="W47" s="11">
        <f t="shared" si="2"/>
        <v>0</v>
      </c>
      <c r="X47" s="11">
        <f t="shared" si="3"/>
        <v>0</v>
      </c>
      <c r="Y47" s="11">
        <f t="shared" si="4"/>
        <v>1370000</v>
      </c>
      <c r="Z47" s="11">
        <f t="shared" si="5"/>
        <v>1300000</v>
      </c>
      <c r="AA47" s="11">
        <f t="shared" si="6"/>
        <v>1000000</v>
      </c>
      <c r="AB47" s="13">
        <f t="shared" si="7"/>
        <v>0</v>
      </c>
      <c r="AC47" s="11">
        <f t="shared" si="8"/>
        <v>0</v>
      </c>
      <c r="AD47" s="11">
        <f t="shared" si="9"/>
        <v>0</v>
      </c>
      <c r="AE47" s="11">
        <f t="shared" si="10"/>
        <v>0</v>
      </c>
      <c r="AF47" s="11">
        <f t="shared" si="11"/>
        <v>1770000</v>
      </c>
      <c r="AG47" s="11">
        <f t="shared" si="12"/>
        <v>1600000</v>
      </c>
      <c r="AH47" s="11">
        <f t="shared" si="13"/>
        <v>1000000</v>
      </c>
      <c r="AI47" s="11">
        <f t="shared" si="14"/>
        <v>0</v>
      </c>
      <c r="AJ47" s="11"/>
      <c r="AK47" s="11">
        <f t="shared" si="24"/>
        <v>1335000</v>
      </c>
      <c r="AL47" s="13">
        <f t="shared" si="25"/>
        <v>1770000</v>
      </c>
      <c r="AM47">
        <f t="shared" si="17"/>
        <v>6.1254812657005937</v>
      </c>
      <c r="AN47">
        <f t="shared" si="18"/>
        <v>6.2479732663618064</v>
      </c>
      <c r="AO47" s="11"/>
      <c r="AP47" s="11">
        <f>'Growth Parameters'!G42</f>
        <v>14.493</v>
      </c>
      <c r="AQ47" s="11"/>
      <c r="AR47" s="11">
        <f t="shared" si="19"/>
        <v>92113.434071620781</v>
      </c>
      <c r="AS47" s="13">
        <f t="shared" si="20"/>
        <v>122127.92382529497</v>
      </c>
      <c r="AT47">
        <f t="shared" si="21"/>
        <v>4.9643229734944114</v>
      </c>
      <c r="AU47">
        <f t="shared" si="22"/>
        <v>5.0868149741556241</v>
      </c>
      <c r="AW47">
        <f t="shared" si="23"/>
        <v>11</v>
      </c>
      <c r="AX47" t="s">
        <v>23</v>
      </c>
      <c r="AY47" t="s">
        <v>17</v>
      </c>
      <c r="AZ47" s="16" t="s">
        <v>11</v>
      </c>
    </row>
    <row r="48" spans="1:52" x14ac:dyDescent="0.3">
      <c r="A48" t="s">
        <v>22</v>
      </c>
      <c r="B48" s="3">
        <v>44746</v>
      </c>
      <c r="C48">
        <f t="shared" si="0"/>
        <v>11</v>
      </c>
      <c r="D48" t="s">
        <v>23</v>
      </c>
      <c r="E48" t="s">
        <v>17</v>
      </c>
      <c r="F48" s="16" t="s">
        <v>12</v>
      </c>
      <c r="G48" s="16"/>
      <c r="H48" s="16"/>
      <c r="I48" s="16"/>
      <c r="J48" s="16">
        <v>304</v>
      </c>
      <c r="K48" s="19">
        <v>33</v>
      </c>
      <c r="L48" s="19">
        <v>1</v>
      </c>
      <c r="M48" s="18"/>
      <c r="Q48">
        <v>430</v>
      </c>
      <c r="R48">
        <v>47</v>
      </c>
      <c r="S48">
        <v>5</v>
      </c>
      <c r="V48" s="11">
        <f t="shared" si="1"/>
        <v>0</v>
      </c>
      <c r="W48" s="11">
        <f t="shared" si="2"/>
        <v>0</v>
      </c>
      <c r="X48" s="11">
        <f t="shared" si="3"/>
        <v>0</v>
      </c>
      <c r="Y48" s="11">
        <f t="shared" si="4"/>
        <v>3040000</v>
      </c>
      <c r="Z48" s="11">
        <f t="shared" si="5"/>
        <v>3300000</v>
      </c>
      <c r="AA48" s="11">
        <f t="shared" si="6"/>
        <v>1000000</v>
      </c>
      <c r="AB48" s="13">
        <f t="shared" si="7"/>
        <v>0</v>
      </c>
      <c r="AC48" s="11">
        <f t="shared" si="8"/>
        <v>0</v>
      </c>
      <c r="AD48" s="11">
        <f t="shared" si="9"/>
        <v>0</v>
      </c>
      <c r="AE48" s="11">
        <f t="shared" si="10"/>
        <v>0</v>
      </c>
      <c r="AF48" s="11">
        <f t="shared" si="11"/>
        <v>4300000</v>
      </c>
      <c r="AG48" s="11">
        <f t="shared" si="12"/>
        <v>4700000</v>
      </c>
      <c r="AH48" s="11">
        <f t="shared" si="13"/>
        <v>5000000</v>
      </c>
      <c r="AI48" s="11">
        <f t="shared" si="14"/>
        <v>0</v>
      </c>
      <c r="AJ48" s="11"/>
      <c r="AK48" s="11">
        <f t="shared" si="24"/>
        <v>3170000</v>
      </c>
      <c r="AL48" s="13">
        <f t="shared" si="25"/>
        <v>4700000</v>
      </c>
      <c r="AM48">
        <f t="shared" si="17"/>
        <v>6.5010592622177512</v>
      </c>
      <c r="AN48">
        <f t="shared" si="18"/>
        <v>6.6720978579357171</v>
      </c>
      <c r="AO48" s="11"/>
      <c r="AP48" s="11">
        <f>'Growth Parameters'!G43</f>
        <v>13.449</v>
      </c>
      <c r="AQ48" s="11"/>
      <c r="AR48" s="11">
        <f t="shared" si="19"/>
        <v>235705.25689642353</v>
      </c>
      <c r="AS48" s="13">
        <f t="shared" si="20"/>
        <v>349468.36195999704</v>
      </c>
      <c r="AT48">
        <f t="shared" si="21"/>
        <v>5.3723692686322968</v>
      </c>
      <c r="AU48">
        <f t="shared" si="22"/>
        <v>5.5434078643502636</v>
      </c>
      <c r="AW48">
        <f t="shared" si="23"/>
        <v>11</v>
      </c>
      <c r="AX48" t="s">
        <v>23</v>
      </c>
      <c r="AY48" t="s">
        <v>17</v>
      </c>
      <c r="AZ48" s="16" t="s">
        <v>12</v>
      </c>
    </row>
    <row r="49" spans="1:52" x14ac:dyDescent="0.3">
      <c r="A49" t="s">
        <v>22</v>
      </c>
      <c r="B49" s="3">
        <v>44746</v>
      </c>
      <c r="C49">
        <f t="shared" si="0"/>
        <v>11</v>
      </c>
      <c r="D49" t="s">
        <v>23</v>
      </c>
      <c r="E49" t="s">
        <v>17</v>
      </c>
      <c r="F49" s="16" t="s">
        <v>13</v>
      </c>
      <c r="G49" s="16"/>
      <c r="H49" s="16"/>
      <c r="I49" s="16"/>
      <c r="J49" s="16" t="s">
        <v>79</v>
      </c>
      <c r="K49" s="19">
        <v>14</v>
      </c>
      <c r="L49" s="19">
        <v>0</v>
      </c>
      <c r="M49" s="18"/>
      <c r="Q49" t="s">
        <v>79</v>
      </c>
      <c r="R49">
        <v>27</v>
      </c>
      <c r="S49">
        <v>1</v>
      </c>
      <c r="V49" s="11">
        <f t="shared" si="1"/>
        <v>0</v>
      </c>
      <c r="W49" s="11">
        <f t="shared" si="2"/>
        <v>0</v>
      </c>
      <c r="X49" s="11">
        <f t="shared" si="3"/>
        <v>0</v>
      </c>
      <c r="Y49" s="11" t="e">
        <f t="shared" si="4"/>
        <v>#VALUE!</v>
      </c>
      <c r="Z49" s="11">
        <f t="shared" si="5"/>
        <v>1400000</v>
      </c>
      <c r="AA49" s="11">
        <f t="shared" si="6"/>
        <v>0</v>
      </c>
      <c r="AB49" s="13">
        <f t="shared" si="7"/>
        <v>0</v>
      </c>
      <c r="AC49" s="11">
        <f t="shared" si="8"/>
        <v>0</v>
      </c>
      <c r="AD49" s="11">
        <f t="shared" si="9"/>
        <v>0</v>
      </c>
      <c r="AE49" s="11">
        <f t="shared" si="10"/>
        <v>0</v>
      </c>
      <c r="AF49" s="11" t="e">
        <f t="shared" si="11"/>
        <v>#VALUE!</v>
      </c>
      <c r="AG49" s="11">
        <f t="shared" si="12"/>
        <v>2700000</v>
      </c>
      <c r="AH49" s="11">
        <f t="shared" si="13"/>
        <v>1000000</v>
      </c>
      <c r="AI49" s="11">
        <f t="shared" si="14"/>
        <v>0</v>
      </c>
      <c r="AJ49" s="11"/>
      <c r="AK49" s="11">
        <f t="shared" si="24"/>
        <v>1400000</v>
      </c>
      <c r="AL49" s="13">
        <f t="shared" si="25"/>
        <v>2700000</v>
      </c>
      <c r="AM49">
        <f t="shared" si="17"/>
        <v>6.1461280356782382</v>
      </c>
      <c r="AN49">
        <f t="shared" si="18"/>
        <v>6.4313637641589869</v>
      </c>
      <c r="AO49" s="11"/>
      <c r="AP49" s="11">
        <f>'Growth Parameters'!G44</f>
        <v>17.585000000000001</v>
      </c>
      <c r="AQ49" s="11"/>
      <c r="AR49" s="11">
        <f t="shared" si="19"/>
        <v>79613.306795564393</v>
      </c>
      <c r="AS49" s="13">
        <f t="shared" si="20"/>
        <v>153539.94882001705</v>
      </c>
      <c r="AT49">
        <f t="shared" si="21"/>
        <v>4.9009856630252768</v>
      </c>
      <c r="AU49">
        <f t="shared" si="22"/>
        <v>5.1862213915060256</v>
      </c>
      <c r="AW49">
        <f t="shared" si="23"/>
        <v>11</v>
      </c>
      <c r="AX49" t="s">
        <v>23</v>
      </c>
      <c r="AY49" t="s">
        <v>17</v>
      </c>
      <c r="AZ49" s="16" t="s">
        <v>13</v>
      </c>
    </row>
    <row r="50" spans="1:52" x14ac:dyDescent="0.3">
      <c r="A50" t="s">
        <v>22</v>
      </c>
      <c r="B50" s="3">
        <v>44746</v>
      </c>
      <c r="C50">
        <f t="shared" si="0"/>
        <v>11</v>
      </c>
      <c r="D50" t="s">
        <v>23</v>
      </c>
      <c r="E50" t="s">
        <v>17</v>
      </c>
      <c r="F50" s="16" t="s">
        <v>14</v>
      </c>
      <c r="G50" s="16"/>
      <c r="H50" s="16"/>
      <c r="I50" s="16"/>
      <c r="J50" s="16">
        <v>66</v>
      </c>
      <c r="K50" s="19">
        <v>4</v>
      </c>
      <c r="L50" s="19">
        <v>0</v>
      </c>
      <c r="M50" s="18"/>
      <c r="Q50">
        <v>141</v>
      </c>
      <c r="R50">
        <v>6</v>
      </c>
      <c r="S50">
        <v>0</v>
      </c>
      <c r="V50" s="11">
        <f t="shared" si="1"/>
        <v>0</v>
      </c>
      <c r="W50" s="11">
        <f t="shared" si="2"/>
        <v>0</v>
      </c>
      <c r="X50" s="11">
        <f t="shared" si="3"/>
        <v>0</v>
      </c>
      <c r="Y50" s="11">
        <f t="shared" si="4"/>
        <v>660000</v>
      </c>
      <c r="Z50" s="11">
        <f t="shared" si="5"/>
        <v>400000</v>
      </c>
      <c r="AA50" s="11">
        <f t="shared" si="6"/>
        <v>0</v>
      </c>
      <c r="AB50" s="13">
        <f t="shared" si="7"/>
        <v>0</v>
      </c>
      <c r="AC50" s="11">
        <f t="shared" si="8"/>
        <v>0</v>
      </c>
      <c r="AD50" s="11">
        <f t="shared" si="9"/>
        <v>0</v>
      </c>
      <c r="AE50" s="11">
        <f t="shared" si="10"/>
        <v>0</v>
      </c>
      <c r="AF50" s="11">
        <f t="shared" si="11"/>
        <v>1410000</v>
      </c>
      <c r="AG50" s="11">
        <f t="shared" si="12"/>
        <v>600000</v>
      </c>
      <c r="AH50" s="11">
        <f t="shared" si="13"/>
        <v>0</v>
      </c>
      <c r="AI50" s="11">
        <f t="shared" si="14"/>
        <v>0</v>
      </c>
      <c r="AJ50" s="11"/>
      <c r="AK50" s="11">
        <f t="shared" si="24"/>
        <v>660000</v>
      </c>
      <c r="AL50" s="13">
        <f t="shared" si="25"/>
        <v>1410000</v>
      </c>
      <c r="AM50">
        <f t="shared" si="17"/>
        <v>5.8195439355418683</v>
      </c>
      <c r="AN50">
        <f t="shared" si="18"/>
        <v>6.1492191126553797</v>
      </c>
      <c r="AO50" s="11"/>
      <c r="AP50" s="11">
        <f>'Growth Parameters'!G45</f>
        <v>15.137</v>
      </c>
      <c r="AQ50" s="11"/>
      <c r="AR50" s="11">
        <f t="shared" si="19"/>
        <v>43601.770496135294</v>
      </c>
      <c r="AS50" s="13">
        <f t="shared" si="20"/>
        <v>93149.236969016318</v>
      </c>
      <c r="AT50">
        <f t="shared" si="21"/>
        <v>4.6395041246146924</v>
      </c>
      <c r="AU50">
        <f t="shared" si="22"/>
        <v>4.9691793017282038</v>
      </c>
      <c r="AW50">
        <f t="shared" si="23"/>
        <v>11</v>
      </c>
      <c r="AX50" t="s">
        <v>23</v>
      </c>
      <c r="AY50" t="s">
        <v>17</v>
      </c>
      <c r="AZ50" s="16" t="s">
        <v>14</v>
      </c>
    </row>
    <row r="51" spans="1:52" x14ac:dyDescent="0.3">
      <c r="A51" t="s">
        <v>22</v>
      </c>
      <c r="B51" s="3">
        <v>44746</v>
      </c>
      <c r="C51">
        <f t="shared" si="0"/>
        <v>11</v>
      </c>
      <c r="D51" t="s">
        <v>23</v>
      </c>
      <c r="E51" t="s">
        <v>91</v>
      </c>
      <c r="F51" s="16" t="s">
        <v>11</v>
      </c>
      <c r="G51" s="16"/>
      <c r="H51" s="16"/>
      <c r="I51" s="16"/>
      <c r="J51" s="19">
        <v>13</v>
      </c>
      <c r="K51" s="19">
        <v>3</v>
      </c>
      <c r="L51" s="19">
        <v>1</v>
      </c>
      <c r="M51" s="18"/>
      <c r="Q51">
        <v>164</v>
      </c>
      <c r="R51">
        <v>28</v>
      </c>
      <c r="S51">
        <v>6</v>
      </c>
      <c r="V51" s="11">
        <f t="shared" si="1"/>
        <v>0</v>
      </c>
      <c r="W51" s="11">
        <f t="shared" si="2"/>
        <v>0</v>
      </c>
      <c r="X51" s="11">
        <f t="shared" si="3"/>
        <v>0</v>
      </c>
      <c r="Y51" s="11">
        <f t="shared" si="4"/>
        <v>130000</v>
      </c>
      <c r="Z51" s="11">
        <f t="shared" si="5"/>
        <v>300000</v>
      </c>
      <c r="AA51" s="11">
        <f t="shared" si="6"/>
        <v>1000000</v>
      </c>
      <c r="AB51" s="13">
        <f t="shared" si="7"/>
        <v>0</v>
      </c>
      <c r="AC51" s="11">
        <f t="shared" si="8"/>
        <v>0</v>
      </c>
      <c r="AD51" s="11">
        <f t="shared" si="9"/>
        <v>0</v>
      </c>
      <c r="AE51" s="11">
        <f t="shared" si="10"/>
        <v>0</v>
      </c>
      <c r="AF51" s="11">
        <f t="shared" si="11"/>
        <v>1640000</v>
      </c>
      <c r="AG51" s="11">
        <f t="shared" si="12"/>
        <v>2800000</v>
      </c>
      <c r="AH51" s="11">
        <f t="shared" si="13"/>
        <v>6000000</v>
      </c>
      <c r="AI51" s="11">
        <f t="shared" si="14"/>
        <v>0</v>
      </c>
      <c r="AJ51" s="11"/>
      <c r="AK51" s="11">
        <f t="shared" si="24"/>
        <v>130000</v>
      </c>
      <c r="AL51" s="13">
        <f t="shared" si="25"/>
        <v>2220000</v>
      </c>
      <c r="AM51">
        <f t="shared" si="17"/>
        <v>5.1139433523068369</v>
      </c>
      <c r="AN51">
        <f t="shared" si="18"/>
        <v>6.3463529744506388</v>
      </c>
      <c r="AO51" s="11"/>
      <c r="AP51" s="11">
        <f>'Growth Parameters'!G46</f>
        <v>22.145</v>
      </c>
      <c r="AQ51" s="11"/>
      <c r="AR51" s="11">
        <f t="shared" si="19"/>
        <v>5870.3996387446377</v>
      </c>
      <c r="AS51" s="13">
        <f t="shared" si="20"/>
        <v>100248.3630616392</v>
      </c>
      <c r="AT51">
        <f t="shared" si="21"/>
        <v>3.7686676676860591</v>
      </c>
      <c r="AU51">
        <f t="shared" si="22"/>
        <v>5.001077289829861</v>
      </c>
      <c r="AW51">
        <f t="shared" si="23"/>
        <v>11</v>
      </c>
      <c r="AX51" t="s">
        <v>23</v>
      </c>
      <c r="AY51" t="s">
        <v>91</v>
      </c>
      <c r="AZ51" s="16" t="s">
        <v>11</v>
      </c>
    </row>
    <row r="52" spans="1:52" x14ac:dyDescent="0.3">
      <c r="A52" t="s">
        <v>22</v>
      </c>
      <c r="B52" s="3">
        <v>44746</v>
      </c>
      <c r="C52">
        <f t="shared" si="0"/>
        <v>11</v>
      </c>
      <c r="D52" t="s">
        <v>23</v>
      </c>
      <c r="E52" t="s">
        <v>91</v>
      </c>
      <c r="F52" s="16" t="s">
        <v>12</v>
      </c>
      <c r="G52" s="16"/>
      <c r="H52" s="16"/>
      <c r="I52" s="16"/>
      <c r="J52" s="19">
        <v>43</v>
      </c>
      <c r="K52" s="19">
        <v>3</v>
      </c>
      <c r="L52" s="19">
        <v>0</v>
      </c>
      <c r="M52" s="18"/>
      <c r="Q52">
        <v>342</v>
      </c>
      <c r="R52">
        <v>32</v>
      </c>
      <c r="S52">
        <v>6</v>
      </c>
      <c r="V52" s="11">
        <f t="shared" si="1"/>
        <v>0</v>
      </c>
      <c r="W52" s="11">
        <f t="shared" si="2"/>
        <v>0</v>
      </c>
      <c r="X52" s="11">
        <f t="shared" si="3"/>
        <v>0</v>
      </c>
      <c r="Y52" s="11">
        <f t="shared" si="4"/>
        <v>430000</v>
      </c>
      <c r="Z52" s="11">
        <f t="shared" si="5"/>
        <v>300000</v>
      </c>
      <c r="AA52" s="11">
        <f t="shared" si="6"/>
        <v>0</v>
      </c>
      <c r="AB52" s="13">
        <f t="shared" si="7"/>
        <v>0</v>
      </c>
      <c r="AC52" s="11">
        <f t="shared" si="8"/>
        <v>0</v>
      </c>
      <c r="AD52" s="11">
        <f t="shared" si="9"/>
        <v>0</v>
      </c>
      <c r="AE52" s="11">
        <f t="shared" si="10"/>
        <v>0</v>
      </c>
      <c r="AF52" s="11">
        <f t="shared" si="11"/>
        <v>3420000</v>
      </c>
      <c r="AG52" s="11">
        <f t="shared" si="12"/>
        <v>3200000</v>
      </c>
      <c r="AH52" s="11">
        <f t="shared" si="13"/>
        <v>6000000</v>
      </c>
      <c r="AI52" s="11">
        <f t="shared" si="14"/>
        <v>0</v>
      </c>
      <c r="AJ52" s="11"/>
      <c r="AK52" s="11">
        <f t="shared" si="24"/>
        <v>430000</v>
      </c>
      <c r="AL52" s="13">
        <f t="shared" si="25"/>
        <v>3310000</v>
      </c>
      <c r="AM52">
        <f t="shared" si="17"/>
        <v>5.6334684555795862</v>
      </c>
      <c r="AN52">
        <f t="shared" si="18"/>
        <v>6.5198279937757189</v>
      </c>
      <c r="AO52" s="11"/>
      <c r="AP52" s="11">
        <f>'Growth Parameters'!G47</f>
        <v>18.998000000000001</v>
      </c>
      <c r="AQ52" s="11"/>
      <c r="AR52" s="11">
        <f t="shared" si="19"/>
        <v>22633.961469628379</v>
      </c>
      <c r="AS52" s="13">
        <f t="shared" si="20"/>
        <v>174228.86619644173</v>
      </c>
      <c r="AT52">
        <f t="shared" si="21"/>
        <v>4.3547605722416112</v>
      </c>
      <c r="AU52">
        <f t="shared" si="22"/>
        <v>5.2411201104377438</v>
      </c>
      <c r="AW52">
        <f t="shared" si="23"/>
        <v>11</v>
      </c>
      <c r="AX52" t="s">
        <v>23</v>
      </c>
      <c r="AY52" t="s">
        <v>91</v>
      </c>
      <c r="AZ52" s="16" t="s">
        <v>12</v>
      </c>
    </row>
    <row r="53" spans="1:52" x14ac:dyDescent="0.3">
      <c r="A53" t="s">
        <v>22</v>
      </c>
      <c r="B53" s="3">
        <v>44746</v>
      </c>
      <c r="C53">
        <f t="shared" si="0"/>
        <v>11</v>
      </c>
      <c r="D53" t="s">
        <v>23</v>
      </c>
      <c r="E53" t="s">
        <v>91</v>
      </c>
      <c r="F53" s="16" t="s">
        <v>13</v>
      </c>
      <c r="G53" s="16"/>
      <c r="H53" s="16"/>
      <c r="I53" s="16"/>
      <c r="J53" s="19">
        <v>180</v>
      </c>
      <c r="K53" s="19">
        <v>7</v>
      </c>
      <c r="L53" s="19">
        <v>0</v>
      </c>
      <c r="M53" s="18"/>
      <c r="Q53" t="s">
        <v>79</v>
      </c>
      <c r="R53">
        <v>43</v>
      </c>
      <c r="S53">
        <v>3</v>
      </c>
      <c r="V53" s="11">
        <f t="shared" si="1"/>
        <v>0</v>
      </c>
      <c r="W53" s="11">
        <f t="shared" si="2"/>
        <v>0</v>
      </c>
      <c r="X53" s="11">
        <f t="shared" si="3"/>
        <v>0</v>
      </c>
      <c r="Y53" s="11">
        <f t="shared" si="4"/>
        <v>1800000</v>
      </c>
      <c r="Z53" s="11">
        <f t="shared" si="5"/>
        <v>700000</v>
      </c>
      <c r="AA53" s="11">
        <f t="shared" si="6"/>
        <v>0</v>
      </c>
      <c r="AB53" s="13">
        <f t="shared" si="7"/>
        <v>0</v>
      </c>
      <c r="AC53" s="11">
        <f t="shared" si="8"/>
        <v>0</v>
      </c>
      <c r="AD53" s="11">
        <f t="shared" si="9"/>
        <v>0</v>
      </c>
      <c r="AE53" s="11">
        <f t="shared" si="10"/>
        <v>0</v>
      </c>
      <c r="AF53" s="11" t="e">
        <f t="shared" si="11"/>
        <v>#VALUE!</v>
      </c>
      <c r="AG53" s="11">
        <f t="shared" si="12"/>
        <v>4300000</v>
      </c>
      <c r="AH53" s="11">
        <f t="shared" si="13"/>
        <v>3000000</v>
      </c>
      <c r="AI53" s="11">
        <f t="shared" si="14"/>
        <v>0</v>
      </c>
      <c r="AJ53" s="11"/>
      <c r="AK53" s="11">
        <f t="shared" si="24"/>
        <v>1800000</v>
      </c>
      <c r="AL53" s="13">
        <f t="shared" si="25"/>
        <v>4300000</v>
      </c>
      <c r="AM53">
        <f t="shared" si="17"/>
        <v>6.2552725051033065</v>
      </c>
      <c r="AN53">
        <f t="shared" si="18"/>
        <v>6.6334684555795862</v>
      </c>
      <c r="AO53" s="11"/>
      <c r="AP53" s="11">
        <f>'Growth Parameters'!G48</f>
        <v>14.523999999999999</v>
      </c>
      <c r="AQ53" s="11"/>
      <c r="AR53" s="11">
        <f t="shared" si="19"/>
        <v>123932.80088129992</v>
      </c>
      <c r="AS53" s="13">
        <f t="shared" si="20"/>
        <v>296061.69099421648</v>
      </c>
      <c r="AT53">
        <f t="shared" si="21"/>
        <v>5.0931862648624513</v>
      </c>
      <c r="AU53">
        <f t="shared" si="22"/>
        <v>5.4713822153387319</v>
      </c>
      <c r="AW53">
        <f t="shared" si="23"/>
        <v>11</v>
      </c>
      <c r="AX53" t="s">
        <v>23</v>
      </c>
      <c r="AY53" t="s">
        <v>91</v>
      </c>
      <c r="AZ53" s="16" t="s">
        <v>13</v>
      </c>
    </row>
    <row r="54" spans="1:52" x14ac:dyDescent="0.3">
      <c r="A54" t="s">
        <v>22</v>
      </c>
      <c r="B54" s="3">
        <v>44746</v>
      </c>
      <c r="C54">
        <f t="shared" si="0"/>
        <v>11</v>
      </c>
      <c r="D54" t="s">
        <v>23</v>
      </c>
      <c r="E54" t="s">
        <v>91</v>
      </c>
      <c r="F54" s="16" t="s">
        <v>14</v>
      </c>
      <c r="G54" s="16"/>
      <c r="H54" s="16"/>
      <c r="I54" s="16"/>
      <c r="J54" s="16" t="s">
        <v>79</v>
      </c>
      <c r="K54" s="19">
        <v>41</v>
      </c>
      <c r="L54" s="19">
        <v>2</v>
      </c>
      <c r="M54" s="18"/>
      <c r="Q54" t="s">
        <v>79</v>
      </c>
      <c r="R54">
        <v>71</v>
      </c>
      <c r="S54">
        <v>19</v>
      </c>
      <c r="V54" s="11">
        <f t="shared" si="1"/>
        <v>0</v>
      </c>
      <c r="W54" s="11">
        <f t="shared" si="2"/>
        <v>0</v>
      </c>
      <c r="X54" s="11">
        <f t="shared" si="3"/>
        <v>0</v>
      </c>
      <c r="Y54" s="11" t="e">
        <f t="shared" si="4"/>
        <v>#VALUE!</v>
      </c>
      <c r="Z54" s="11">
        <f t="shared" si="5"/>
        <v>4100000</v>
      </c>
      <c r="AA54" s="11">
        <f t="shared" si="6"/>
        <v>2000000</v>
      </c>
      <c r="AB54" s="13">
        <f t="shared" si="7"/>
        <v>0</v>
      </c>
      <c r="AC54" s="11">
        <f t="shared" si="8"/>
        <v>0</v>
      </c>
      <c r="AD54" s="11">
        <f t="shared" si="9"/>
        <v>0</v>
      </c>
      <c r="AE54" s="11">
        <f t="shared" si="10"/>
        <v>0</v>
      </c>
      <c r="AF54" s="11" t="e">
        <f t="shared" si="11"/>
        <v>#VALUE!</v>
      </c>
      <c r="AG54" s="11">
        <f t="shared" si="12"/>
        <v>7100000</v>
      </c>
      <c r="AH54" s="11">
        <f t="shared" si="13"/>
        <v>19000000</v>
      </c>
      <c r="AI54" s="11">
        <f t="shared" si="14"/>
        <v>0</v>
      </c>
      <c r="AJ54" s="11"/>
      <c r="AK54" s="11">
        <f t="shared" si="24"/>
        <v>4100000</v>
      </c>
      <c r="AL54" s="13">
        <f t="shared" si="25"/>
        <v>7100000</v>
      </c>
      <c r="AM54">
        <f t="shared" si="17"/>
        <v>6.6127838567197355</v>
      </c>
      <c r="AN54">
        <f t="shared" si="18"/>
        <v>6.8512583487190755</v>
      </c>
      <c r="AO54" s="11"/>
      <c r="AP54" s="11">
        <f>'Growth Parameters'!G49</f>
        <v>15.544</v>
      </c>
      <c r="AQ54" s="11"/>
      <c r="AR54" s="11">
        <f t="shared" si="19"/>
        <v>263767.37004632014</v>
      </c>
      <c r="AS54" s="13">
        <f t="shared" si="20"/>
        <v>456767.88471435924</v>
      </c>
      <c r="AT54">
        <f t="shared" si="21"/>
        <v>5.4212210691280092</v>
      </c>
      <c r="AU54">
        <f t="shared" si="22"/>
        <v>5.6596955611273492</v>
      </c>
      <c r="AW54">
        <f t="shared" si="23"/>
        <v>11</v>
      </c>
      <c r="AX54" t="s">
        <v>23</v>
      </c>
      <c r="AY54" t="s">
        <v>91</v>
      </c>
      <c r="AZ54" s="16" t="s">
        <v>14</v>
      </c>
    </row>
    <row r="55" spans="1:52" x14ac:dyDescent="0.3">
      <c r="A55" t="s">
        <v>22</v>
      </c>
      <c r="B55" s="3">
        <v>44746</v>
      </c>
      <c r="C55">
        <f t="shared" si="0"/>
        <v>11</v>
      </c>
      <c r="D55" t="s">
        <v>23</v>
      </c>
      <c r="E55" t="s">
        <v>18</v>
      </c>
      <c r="F55" s="16" t="s">
        <v>11</v>
      </c>
      <c r="G55" s="16"/>
      <c r="H55" s="16"/>
      <c r="I55" s="16"/>
      <c r="J55" s="19">
        <v>164</v>
      </c>
      <c r="K55" s="19">
        <v>11</v>
      </c>
      <c r="L55" s="19">
        <v>1</v>
      </c>
      <c r="M55" s="18"/>
      <c r="Q55">
        <v>462</v>
      </c>
      <c r="R55">
        <v>20</v>
      </c>
      <c r="S55">
        <v>3</v>
      </c>
      <c r="V55" s="11">
        <f t="shared" si="1"/>
        <v>0</v>
      </c>
      <c r="W55" s="11">
        <f t="shared" si="2"/>
        <v>0</v>
      </c>
      <c r="X55" s="11">
        <f t="shared" si="3"/>
        <v>0</v>
      </c>
      <c r="Y55" s="11">
        <f t="shared" si="4"/>
        <v>1640000</v>
      </c>
      <c r="Z55" s="11">
        <f t="shared" si="5"/>
        <v>1100000</v>
      </c>
      <c r="AA55" s="11">
        <f t="shared" si="6"/>
        <v>1000000</v>
      </c>
      <c r="AB55" s="13">
        <f t="shared" si="7"/>
        <v>0</v>
      </c>
      <c r="AC55" s="11">
        <f t="shared" si="8"/>
        <v>0</v>
      </c>
      <c r="AD55" s="11">
        <f t="shared" si="9"/>
        <v>0</v>
      </c>
      <c r="AE55" s="11">
        <f t="shared" si="10"/>
        <v>0</v>
      </c>
      <c r="AF55" s="11">
        <f t="shared" si="11"/>
        <v>4620000</v>
      </c>
      <c r="AG55" s="11">
        <f t="shared" si="12"/>
        <v>2000000</v>
      </c>
      <c r="AH55" s="11">
        <f t="shared" si="13"/>
        <v>3000000</v>
      </c>
      <c r="AI55" s="11">
        <f t="shared" si="14"/>
        <v>0</v>
      </c>
      <c r="AJ55" s="11"/>
      <c r="AK55" s="11">
        <f t="shared" si="24"/>
        <v>1370000</v>
      </c>
      <c r="AL55" s="13">
        <f t="shared" si="25"/>
        <v>2000000</v>
      </c>
      <c r="AM55">
        <f t="shared" si="17"/>
        <v>6.1367205671564067</v>
      </c>
      <c r="AN55">
        <f t="shared" si="18"/>
        <v>6.3010299956639813</v>
      </c>
      <c r="AO55" s="11"/>
      <c r="AP55" s="11">
        <f>'Growth Parameters'!G50</f>
        <v>17.414000000000001</v>
      </c>
      <c r="AQ55" s="11"/>
      <c r="AR55" s="11">
        <f t="shared" si="19"/>
        <v>78672.332605949225</v>
      </c>
      <c r="AS55" s="13">
        <f t="shared" si="20"/>
        <v>114850.12059262661</v>
      </c>
      <c r="AT55">
        <f t="shared" si="21"/>
        <v>4.8958220270329154</v>
      </c>
      <c r="AU55">
        <f t="shared" si="22"/>
        <v>5.0601314555404899</v>
      </c>
      <c r="AW55">
        <f t="shared" si="23"/>
        <v>11</v>
      </c>
      <c r="AX55" t="s">
        <v>23</v>
      </c>
      <c r="AY55" t="s">
        <v>18</v>
      </c>
      <c r="AZ55" s="16" t="s">
        <v>11</v>
      </c>
    </row>
    <row r="56" spans="1:52" x14ac:dyDescent="0.3">
      <c r="A56" t="s">
        <v>22</v>
      </c>
      <c r="B56" s="3">
        <v>44746</v>
      </c>
      <c r="C56">
        <f t="shared" si="0"/>
        <v>11</v>
      </c>
      <c r="D56" t="s">
        <v>23</v>
      </c>
      <c r="E56" t="s">
        <v>18</v>
      </c>
      <c r="F56" s="16" t="s">
        <v>12</v>
      </c>
      <c r="G56" s="16"/>
      <c r="H56" s="16"/>
      <c r="I56" s="16"/>
      <c r="J56" s="19">
        <v>104</v>
      </c>
      <c r="K56" s="19">
        <v>4</v>
      </c>
      <c r="L56" s="19">
        <v>1</v>
      </c>
      <c r="M56" s="18"/>
      <c r="Q56" t="s">
        <v>79</v>
      </c>
      <c r="R56">
        <v>60</v>
      </c>
      <c r="S56">
        <v>2</v>
      </c>
      <c r="V56" s="11">
        <f t="shared" si="1"/>
        <v>0</v>
      </c>
      <c r="W56" s="11">
        <f t="shared" si="2"/>
        <v>0</v>
      </c>
      <c r="X56" s="11">
        <f t="shared" si="3"/>
        <v>0</v>
      </c>
      <c r="Y56" s="11">
        <f t="shared" si="4"/>
        <v>1040000</v>
      </c>
      <c r="Z56" s="11">
        <f t="shared" si="5"/>
        <v>400000</v>
      </c>
      <c r="AA56" s="11">
        <f t="shared" si="6"/>
        <v>1000000</v>
      </c>
      <c r="AB56" s="13">
        <f t="shared" si="7"/>
        <v>0</v>
      </c>
      <c r="AC56" s="11">
        <f t="shared" si="8"/>
        <v>0</v>
      </c>
      <c r="AD56" s="11">
        <f t="shared" si="9"/>
        <v>0</v>
      </c>
      <c r="AE56" s="11">
        <f t="shared" si="10"/>
        <v>0</v>
      </c>
      <c r="AF56" s="11" t="e">
        <f t="shared" si="11"/>
        <v>#VALUE!</v>
      </c>
      <c r="AG56" s="11">
        <f t="shared" si="12"/>
        <v>6000000</v>
      </c>
      <c r="AH56" s="11">
        <f t="shared" si="13"/>
        <v>2000000</v>
      </c>
      <c r="AI56" s="11">
        <f t="shared" si="14"/>
        <v>0</v>
      </c>
      <c r="AJ56" s="11"/>
      <c r="AK56" s="11">
        <f t="shared" si="24"/>
        <v>1040000</v>
      </c>
      <c r="AL56" s="13">
        <f t="shared" si="25"/>
        <v>6000000</v>
      </c>
      <c r="AM56">
        <f t="shared" si="17"/>
        <v>6.0170333392987807</v>
      </c>
      <c r="AN56">
        <f t="shared" si="18"/>
        <v>6.7781512503836439</v>
      </c>
      <c r="AO56" s="11"/>
      <c r="AP56" s="11">
        <f>'Growth Parameters'!G51</f>
        <v>11.787000000000001</v>
      </c>
      <c r="AQ56" s="11"/>
      <c r="AR56" s="11">
        <f t="shared" si="19"/>
        <v>88232.798846186473</v>
      </c>
      <c r="AS56" s="13">
        <f t="shared" si="20"/>
        <v>509035.37795876811</v>
      </c>
      <c r="AT56">
        <f t="shared" si="21"/>
        <v>4.9456300557673121</v>
      </c>
      <c r="AU56">
        <f t="shared" si="22"/>
        <v>5.7067479668521752</v>
      </c>
      <c r="AW56">
        <f t="shared" si="23"/>
        <v>11</v>
      </c>
      <c r="AX56" t="s">
        <v>23</v>
      </c>
      <c r="AY56" t="s">
        <v>18</v>
      </c>
      <c r="AZ56" s="16" t="s">
        <v>12</v>
      </c>
    </row>
    <row r="57" spans="1:52" x14ac:dyDescent="0.3">
      <c r="A57" t="s">
        <v>22</v>
      </c>
      <c r="B57" s="3">
        <v>44746</v>
      </c>
      <c r="C57">
        <f t="shared" si="0"/>
        <v>11</v>
      </c>
      <c r="D57" t="s">
        <v>23</v>
      </c>
      <c r="E57" t="s">
        <v>18</v>
      </c>
      <c r="F57" s="16" t="s">
        <v>13</v>
      </c>
      <c r="G57" s="16"/>
      <c r="H57" s="16"/>
      <c r="I57" s="16"/>
      <c r="J57" s="16" t="s">
        <v>79</v>
      </c>
      <c r="K57" s="19">
        <v>24</v>
      </c>
      <c r="L57" s="19">
        <v>2</v>
      </c>
      <c r="M57" s="18"/>
      <c r="Q57" t="s">
        <v>79</v>
      </c>
      <c r="R57" s="16">
        <v>73</v>
      </c>
      <c r="S57">
        <v>7</v>
      </c>
      <c r="V57" s="11">
        <f t="shared" si="1"/>
        <v>0</v>
      </c>
      <c r="W57" s="11">
        <f t="shared" si="2"/>
        <v>0</v>
      </c>
      <c r="X57" s="11">
        <f t="shared" si="3"/>
        <v>0</v>
      </c>
      <c r="Y57" s="11" t="e">
        <f t="shared" si="4"/>
        <v>#VALUE!</v>
      </c>
      <c r="Z57" s="11">
        <f t="shared" si="5"/>
        <v>2400000</v>
      </c>
      <c r="AA57" s="11">
        <f t="shared" si="6"/>
        <v>2000000</v>
      </c>
      <c r="AB57" s="13">
        <f t="shared" si="7"/>
        <v>0</v>
      </c>
      <c r="AC57" s="11">
        <f t="shared" si="8"/>
        <v>0</v>
      </c>
      <c r="AD57" s="11">
        <f t="shared" si="9"/>
        <v>0</v>
      </c>
      <c r="AE57" s="11">
        <f t="shared" si="10"/>
        <v>0</v>
      </c>
      <c r="AF57" s="11" t="e">
        <f t="shared" si="11"/>
        <v>#VALUE!</v>
      </c>
      <c r="AG57" s="11">
        <f t="shared" si="12"/>
        <v>7300000</v>
      </c>
      <c r="AH57" s="11">
        <f t="shared" si="13"/>
        <v>7000000</v>
      </c>
      <c r="AI57" s="11">
        <f t="shared" si="14"/>
        <v>0</v>
      </c>
      <c r="AJ57" s="11"/>
      <c r="AK57" s="11">
        <f t="shared" si="24"/>
        <v>2400000</v>
      </c>
      <c r="AL57" s="13">
        <f t="shared" si="25"/>
        <v>7300000</v>
      </c>
      <c r="AM57">
        <f t="shared" si="17"/>
        <v>6.3802112417116064</v>
      </c>
      <c r="AN57">
        <f t="shared" si="18"/>
        <v>6.8633228601204559</v>
      </c>
      <c r="AO57" s="11"/>
      <c r="AP57" s="11">
        <f>'Growth Parameters'!G52</f>
        <v>16.451000000000001</v>
      </c>
      <c r="AQ57" s="11"/>
      <c r="AR57" s="11">
        <f t="shared" si="19"/>
        <v>145887.78797641481</v>
      </c>
      <c r="AS57" s="13">
        <f t="shared" si="20"/>
        <v>443742.02176159504</v>
      </c>
      <c r="AT57">
        <f t="shared" si="21"/>
        <v>5.1640189393476801</v>
      </c>
      <c r="AU57">
        <f t="shared" si="22"/>
        <v>5.6471305577565296</v>
      </c>
      <c r="AW57">
        <f t="shared" si="23"/>
        <v>11</v>
      </c>
      <c r="AX57" t="s">
        <v>23</v>
      </c>
      <c r="AY57" t="s">
        <v>18</v>
      </c>
      <c r="AZ57" s="16" t="s">
        <v>13</v>
      </c>
    </row>
    <row r="58" spans="1:52" x14ac:dyDescent="0.3">
      <c r="A58" t="s">
        <v>22</v>
      </c>
      <c r="B58" s="3">
        <v>44746</v>
      </c>
      <c r="C58">
        <f t="shared" si="0"/>
        <v>11</v>
      </c>
      <c r="D58" t="s">
        <v>23</v>
      </c>
      <c r="E58" t="s">
        <v>18</v>
      </c>
      <c r="F58" s="16" t="s">
        <v>14</v>
      </c>
      <c r="G58" s="16"/>
      <c r="H58" s="16"/>
      <c r="I58" s="16"/>
      <c r="J58" s="19">
        <v>23</v>
      </c>
      <c r="K58" s="19">
        <v>2</v>
      </c>
      <c r="L58" s="19">
        <v>1</v>
      </c>
      <c r="M58" s="18"/>
      <c r="Q58">
        <v>82</v>
      </c>
      <c r="R58" s="19">
        <v>10</v>
      </c>
      <c r="S58">
        <v>1</v>
      </c>
      <c r="V58" s="11">
        <f t="shared" si="1"/>
        <v>0</v>
      </c>
      <c r="W58" s="11">
        <f t="shared" si="2"/>
        <v>0</v>
      </c>
      <c r="X58" s="11">
        <f t="shared" si="3"/>
        <v>0</v>
      </c>
      <c r="Y58" s="11">
        <f t="shared" si="4"/>
        <v>230000</v>
      </c>
      <c r="Z58" s="11">
        <f t="shared" si="5"/>
        <v>200000</v>
      </c>
      <c r="AA58" s="11">
        <f t="shared" si="6"/>
        <v>1000000</v>
      </c>
      <c r="AB58" s="13">
        <f t="shared" si="7"/>
        <v>0</v>
      </c>
      <c r="AC58" s="11">
        <f t="shared" si="8"/>
        <v>0</v>
      </c>
      <c r="AD58" s="11">
        <f t="shared" si="9"/>
        <v>0</v>
      </c>
      <c r="AE58" s="11">
        <f t="shared" si="10"/>
        <v>0</v>
      </c>
      <c r="AF58" s="11">
        <f t="shared" si="11"/>
        <v>820000</v>
      </c>
      <c r="AG58" s="11">
        <f t="shared" si="12"/>
        <v>1000000</v>
      </c>
      <c r="AH58" s="11">
        <f t="shared" si="13"/>
        <v>1000000</v>
      </c>
      <c r="AI58" s="11">
        <f t="shared" si="14"/>
        <v>0</v>
      </c>
      <c r="AJ58" s="11"/>
      <c r="AK58" s="11">
        <f>AVERAGEIFS(V58:AB58,G58:M58,"&lt;=400",G58:M58,"&gt;=10")</f>
        <v>230000</v>
      </c>
      <c r="AL58" s="13">
        <f>AVERAGEIFS(AC58:AI58,N58:T58,"&lt;=400",N58:T58,"&gt;=20")</f>
        <v>820000</v>
      </c>
      <c r="AM58">
        <f t="shared" si="17"/>
        <v>5.3617278360175931</v>
      </c>
      <c r="AN58">
        <f t="shared" si="18"/>
        <v>5.9138138523837167</v>
      </c>
      <c r="AO58" s="11"/>
      <c r="AP58" s="11">
        <f>'Growth Parameters'!G53</f>
        <v>18.556000000000001</v>
      </c>
      <c r="AQ58" s="11"/>
      <c r="AR58" s="11">
        <f t="shared" si="19"/>
        <v>12394.912696701875</v>
      </c>
      <c r="AS58" s="13">
        <f t="shared" si="20"/>
        <v>44190.558309980595</v>
      </c>
      <c r="AT58">
        <f t="shared" si="21"/>
        <v>4.0932434721708706</v>
      </c>
      <c r="AU58">
        <f t="shared" si="22"/>
        <v>4.6453294885369942</v>
      </c>
      <c r="AW58">
        <f t="shared" si="23"/>
        <v>11</v>
      </c>
      <c r="AX58" t="s">
        <v>23</v>
      </c>
      <c r="AY58" t="s">
        <v>18</v>
      </c>
      <c r="AZ58" s="16" t="s">
        <v>14</v>
      </c>
    </row>
    <row r="59" spans="1:52" x14ac:dyDescent="0.3">
      <c r="A59" t="s">
        <v>22</v>
      </c>
      <c r="B59" s="3">
        <v>44746</v>
      </c>
      <c r="C59">
        <f t="shared" si="0"/>
        <v>11</v>
      </c>
      <c r="D59" t="s">
        <v>23</v>
      </c>
      <c r="E59" t="s">
        <v>19</v>
      </c>
      <c r="F59" s="16" t="s">
        <v>11</v>
      </c>
      <c r="G59" s="16"/>
      <c r="H59" s="16"/>
      <c r="I59" s="16"/>
      <c r="J59" s="16" t="s">
        <v>79</v>
      </c>
      <c r="K59" s="19">
        <v>8</v>
      </c>
      <c r="L59" s="19">
        <v>0</v>
      </c>
      <c r="M59" s="18"/>
      <c r="Q59" t="s">
        <v>79</v>
      </c>
      <c r="R59" s="19">
        <v>22</v>
      </c>
      <c r="S59">
        <v>2</v>
      </c>
      <c r="V59" s="11">
        <f t="shared" si="1"/>
        <v>0</v>
      </c>
      <c r="W59" s="11">
        <f t="shared" si="2"/>
        <v>0</v>
      </c>
      <c r="X59" s="11">
        <f t="shared" si="3"/>
        <v>0</v>
      </c>
      <c r="Y59" s="11" t="e">
        <f t="shared" si="4"/>
        <v>#VALUE!</v>
      </c>
      <c r="Z59" s="11">
        <f t="shared" si="5"/>
        <v>800000</v>
      </c>
      <c r="AA59" s="11">
        <f t="shared" si="6"/>
        <v>0</v>
      </c>
      <c r="AB59" s="13">
        <f t="shared" si="7"/>
        <v>0</v>
      </c>
      <c r="AC59" s="11">
        <f t="shared" si="8"/>
        <v>0</v>
      </c>
      <c r="AD59" s="11">
        <f t="shared" si="9"/>
        <v>0</v>
      </c>
      <c r="AE59" s="11">
        <f t="shared" si="10"/>
        <v>0</v>
      </c>
      <c r="AF59" s="11" t="e">
        <f t="shared" si="11"/>
        <v>#VALUE!</v>
      </c>
      <c r="AG59" s="11">
        <f t="shared" si="12"/>
        <v>2200000</v>
      </c>
      <c r="AH59" s="11">
        <f t="shared" si="13"/>
        <v>2000000</v>
      </c>
      <c r="AI59" s="11">
        <f t="shared" si="14"/>
        <v>0</v>
      </c>
      <c r="AJ59" s="11"/>
      <c r="AK59" s="11">
        <f>AVERAGEIFS(V59:AB59,G59:M59,"&lt;=400",G59:M59,"&gt;=8")</f>
        <v>800000</v>
      </c>
      <c r="AL59" s="13">
        <f t="shared" si="25"/>
        <v>2200000</v>
      </c>
      <c r="AM59">
        <f t="shared" si="17"/>
        <v>5.9030899869919438</v>
      </c>
      <c r="AN59">
        <f t="shared" si="18"/>
        <v>6.3424226808222066</v>
      </c>
      <c r="AO59" s="11"/>
      <c r="AP59" s="11">
        <f>'Growth Parameters'!G54</f>
        <v>6.5309999999999997</v>
      </c>
      <c r="AQ59" s="11"/>
      <c r="AR59" s="11">
        <f t="shared" si="19"/>
        <v>122492.72699433472</v>
      </c>
      <c r="AS59" s="13">
        <f t="shared" si="20"/>
        <v>336854.99923442048</v>
      </c>
      <c r="AT59">
        <f t="shared" si="21"/>
        <v>5.0881103032311872</v>
      </c>
      <c r="AU59">
        <f t="shared" si="22"/>
        <v>5.5274429970614491</v>
      </c>
      <c r="AW59">
        <f t="shared" si="23"/>
        <v>11</v>
      </c>
      <c r="AX59" t="s">
        <v>23</v>
      </c>
      <c r="AY59" t="s">
        <v>19</v>
      </c>
      <c r="AZ59" s="16" t="s">
        <v>11</v>
      </c>
    </row>
    <row r="60" spans="1:52" x14ac:dyDescent="0.3">
      <c r="A60" t="s">
        <v>22</v>
      </c>
      <c r="B60" s="3">
        <v>44746</v>
      </c>
      <c r="C60">
        <f t="shared" si="0"/>
        <v>11</v>
      </c>
      <c r="D60" t="s">
        <v>23</v>
      </c>
      <c r="E60" t="s">
        <v>19</v>
      </c>
      <c r="F60" s="16" t="s">
        <v>12</v>
      </c>
      <c r="G60" s="16"/>
      <c r="H60" s="16"/>
      <c r="I60" s="16"/>
      <c r="J60" s="19">
        <v>40</v>
      </c>
      <c r="K60" s="19">
        <v>5</v>
      </c>
      <c r="L60" s="19">
        <v>0</v>
      </c>
      <c r="M60" s="18"/>
      <c r="Q60">
        <v>333</v>
      </c>
      <c r="R60" s="19">
        <v>18</v>
      </c>
      <c r="S60">
        <v>4</v>
      </c>
      <c r="V60" s="11">
        <f t="shared" si="1"/>
        <v>0</v>
      </c>
      <c r="W60" s="11">
        <f t="shared" si="2"/>
        <v>0</v>
      </c>
      <c r="X60" s="11">
        <f t="shared" si="3"/>
        <v>0</v>
      </c>
      <c r="Y60" s="11">
        <f t="shared" si="4"/>
        <v>400000</v>
      </c>
      <c r="Z60" s="11">
        <f t="shared" si="5"/>
        <v>500000</v>
      </c>
      <c r="AA60" s="11">
        <f t="shared" si="6"/>
        <v>0</v>
      </c>
      <c r="AB60" s="13">
        <f t="shared" si="7"/>
        <v>0</v>
      </c>
      <c r="AC60" s="11">
        <f t="shared" si="8"/>
        <v>0</v>
      </c>
      <c r="AD60" s="11">
        <f t="shared" si="9"/>
        <v>0</v>
      </c>
      <c r="AE60" s="11">
        <f t="shared" si="10"/>
        <v>0</v>
      </c>
      <c r="AF60" s="11">
        <f t="shared" si="11"/>
        <v>3330000</v>
      </c>
      <c r="AG60" s="11">
        <f t="shared" si="12"/>
        <v>1800000</v>
      </c>
      <c r="AH60" s="11">
        <f t="shared" si="13"/>
        <v>4000000</v>
      </c>
      <c r="AI60" s="11">
        <f t="shared" si="14"/>
        <v>0</v>
      </c>
      <c r="AJ60" s="11"/>
      <c r="AK60" s="11">
        <f t="shared" si="24"/>
        <v>400000</v>
      </c>
      <c r="AL60" s="13">
        <f t="shared" si="25"/>
        <v>3330000</v>
      </c>
      <c r="AM60">
        <f t="shared" si="17"/>
        <v>5.6020599913279625</v>
      </c>
      <c r="AN60">
        <f t="shared" si="18"/>
        <v>6.5224442335063202</v>
      </c>
      <c r="AO60" s="11"/>
      <c r="AP60" s="11">
        <f>'Growth Parameters'!G55</f>
        <v>7.9420000000000002</v>
      </c>
      <c r="AQ60" s="11"/>
      <c r="AR60" s="11">
        <f t="shared" si="19"/>
        <v>50365.147318055904</v>
      </c>
      <c r="AS60" s="13">
        <f t="shared" si="20"/>
        <v>419289.85142281541</v>
      </c>
      <c r="AT60">
        <f t="shared" si="21"/>
        <v>4.7021301086000982</v>
      </c>
      <c r="AU60">
        <f t="shared" si="22"/>
        <v>5.6225143507784558</v>
      </c>
      <c r="AW60">
        <f t="shared" si="23"/>
        <v>11</v>
      </c>
      <c r="AX60" t="s">
        <v>23</v>
      </c>
      <c r="AY60" t="s">
        <v>19</v>
      </c>
      <c r="AZ60" s="16" t="s">
        <v>12</v>
      </c>
    </row>
    <row r="61" spans="1:52" x14ac:dyDescent="0.3">
      <c r="A61" t="s">
        <v>22</v>
      </c>
      <c r="B61" s="3">
        <v>44746</v>
      </c>
      <c r="C61">
        <f t="shared" si="0"/>
        <v>11</v>
      </c>
      <c r="D61" t="s">
        <v>23</v>
      </c>
      <c r="E61" t="s">
        <v>19</v>
      </c>
      <c r="F61" s="16" t="s">
        <v>13</v>
      </c>
      <c r="G61" s="16"/>
      <c r="H61" s="16"/>
      <c r="I61" s="16"/>
      <c r="J61" s="16" t="s">
        <v>79</v>
      </c>
      <c r="K61" s="19">
        <v>3</v>
      </c>
      <c r="L61" s="19">
        <v>0</v>
      </c>
      <c r="M61" s="18"/>
      <c r="Q61" t="s">
        <v>79</v>
      </c>
      <c r="R61" s="19">
        <v>29</v>
      </c>
      <c r="S61">
        <v>3</v>
      </c>
      <c r="V61" s="11">
        <f t="shared" si="1"/>
        <v>0</v>
      </c>
      <c r="W61" s="11">
        <f t="shared" si="2"/>
        <v>0</v>
      </c>
      <c r="X61" s="11">
        <f t="shared" si="3"/>
        <v>0</v>
      </c>
      <c r="Y61" s="11" t="e">
        <f t="shared" si="4"/>
        <v>#VALUE!</v>
      </c>
      <c r="Z61" s="11">
        <f t="shared" si="5"/>
        <v>300000</v>
      </c>
      <c r="AA61" s="11">
        <f t="shared" si="6"/>
        <v>0</v>
      </c>
      <c r="AB61" s="13">
        <f t="shared" si="7"/>
        <v>0</v>
      </c>
      <c r="AC61" s="11">
        <f t="shared" si="8"/>
        <v>0</v>
      </c>
      <c r="AD61" s="11">
        <f t="shared" si="9"/>
        <v>0</v>
      </c>
      <c r="AE61" s="11">
        <f t="shared" si="10"/>
        <v>0</v>
      </c>
      <c r="AF61" s="11" t="e">
        <f t="shared" si="11"/>
        <v>#VALUE!</v>
      </c>
      <c r="AG61" s="11">
        <f t="shared" si="12"/>
        <v>2900000</v>
      </c>
      <c r="AH61" s="11">
        <f t="shared" si="13"/>
        <v>3000000</v>
      </c>
      <c r="AI61" s="11">
        <f t="shared" si="14"/>
        <v>0</v>
      </c>
      <c r="AJ61" s="11"/>
      <c r="AK61" s="11">
        <f>AVERAGEIFS(V61:AB61,G61:M61,"&lt;=400",G61:M61,"&gt;=3")</f>
        <v>300000</v>
      </c>
      <c r="AL61" s="13">
        <f t="shared" si="25"/>
        <v>2900000</v>
      </c>
      <c r="AM61">
        <f t="shared" si="17"/>
        <v>5.4771212547196626</v>
      </c>
      <c r="AN61">
        <f t="shared" si="18"/>
        <v>6.4623979978989565</v>
      </c>
      <c r="AO61" s="11"/>
      <c r="AP61" s="11">
        <f>'Growth Parameters'!G56</f>
        <v>7.593</v>
      </c>
      <c r="AQ61" s="11"/>
      <c r="AR61" s="11">
        <f t="shared" si="19"/>
        <v>39510.075069142629</v>
      </c>
      <c r="AS61" s="13">
        <f t="shared" si="20"/>
        <v>381930.72566837876</v>
      </c>
      <c r="AT61">
        <f t="shared" si="21"/>
        <v>4.5967078548417462</v>
      </c>
      <c r="AU61">
        <f t="shared" si="22"/>
        <v>5.5819845980210392</v>
      </c>
      <c r="AW61">
        <f t="shared" si="23"/>
        <v>11</v>
      </c>
      <c r="AX61" t="s">
        <v>23</v>
      </c>
      <c r="AY61" t="s">
        <v>19</v>
      </c>
      <c r="AZ61" s="16" t="s">
        <v>13</v>
      </c>
    </row>
    <row r="62" spans="1:52" x14ac:dyDescent="0.3">
      <c r="A62" t="s">
        <v>22</v>
      </c>
      <c r="B62" s="3">
        <v>44746</v>
      </c>
      <c r="C62">
        <f t="shared" si="0"/>
        <v>11</v>
      </c>
      <c r="D62" t="s">
        <v>23</v>
      </c>
      <c r="E62" t="s">
        <v>19</v>
      </c>
      <c r="F62" s="16" t="s">
        <v>14</v>
      </c>
      <c r="G62" s="16"/>
      <c r="H62" s="16"/>
      <c r="I62" s="16"/>
      <c r="J62" s="16">
        <v>36</v>
      </c>
      <c r="K62" s="19">
        <v>7</v>
      </c>
      <c r="L62" s="19">
        <v>1</v>
      </c>
      <c r="M62" s="18"/>
      <c r="Q62">
        <v>173</v>
      </c>
      <c r="R62" s="19">
        <v>16</v>
      </c>
      <c r="S62">
        <v>3</v>
      </c>
      <c r="V62" s="11">
        <f t="shared" si="1"/>
        <v>0</v>
      </c>
      <c r="W62" s="11">
        <f t="shared" si="2"/>
        <v>0</v>
      </c>
      <c r="X62" s="11">
        <f t="shared" si="3"/>
        <v>0</v>
      </c>
      <c r="Y62" s="11">
        <f t="shared" si="4"/>
        <v>360000</v>
      </c>
      <c r="Z62" s="11">
        <f t="shared" si="5"/>
        <v>700000</v>
      </c>
      <c r="AA62" s="11">
        <f t="shared" si="6"/>
        <v>1000000</v>
      </c>
      <c r="AB62" s="13">
        <f t="shared" si="7"/>
        <v>0</v>
      </c>
      <c r="AC62" s="11">
        <f t="shared" si="8"/>
        <v>0</v>
      </c>
      <c r="AD62" s="11">
        <f t="shared" si="9"/>
        <v>0</v>
      </c>
      <c r="AE62" s="11">
        <f t="shared" si="10"/>
        <v>0</v>
      </c>
      <c r="AF62" s="11">
        <f t="shared" si="11"/>
        <v>1730000</v>
      </c>
      <c r="AG62" s="11">
        <f t="shared" si="12"/>
        <v>1600000</v>
      </c>
      <c r="AH62" s="11">
        <f t="shared" si="13"/>
        <v>3000000</v>
      </c>
      <c r="AI62" s="11">
        <f t="shared" si="14"/>
        <v>0</v>
      </c>
      <c r="AJ62" s="11"/>
      <c r="AK62" s="11">
        <f t="shared" si="24"/>
        <v>360000</v>
      </c>
      <c r="AL62" s="13">
        <f t="shared" si="25"/>
        <v>1730000</v>
      </c>
      <c r="AM62">
        <f t="shared" si="17"/>
        <v>5.5563025007672868</v>
      </c>
      <c r="AN62">
        <f t="shared" si="18"/>
        <v>6.238046103128795</v>
      </c>
      <c r="AO62" s="11"/>
      <c r="AP62" s="11">
        <f>'Growth Parameters'!G57</f>
        <v>6.117</v>
      </c>
      <c r="AQ62" s="11"/>
      <c r="AR62" s="11">
        <f t="shared" si="19"/>
        <v>58852.378616969101</v>
      </c>
      <c r="AS62" s="13">
        <f t="shared" si="20"/>
        <v>282818.37502043485</v>
      </c>
      <c r="AT62">
        <f t="shared" si="21"/>
        <v>4.7697640202694851</v>
      </c>
      <c r="AU62">
        <f t="shared" si="22"/>
        <v>5.4515076226309933</v>
      </c>
      <c r="AW62">
        <f t="shared" si="23"/>
        <v>11</v>
      </c>
      <c r="AX62" t="s">
        <v>23</v>
      </c>
      <c r="AY62" t="s">
        <v>19</v>
      </c>
      <c r="AZ62" s="16" t="s">
        <v>14</v>
      </c>
    </row>
    <row r="63" spans="1:52" x14ac:dyDescent="0.3">
      <c r="A63" t="s">
        <v>22</v>
      </c>
      <c r="B63" s="3">
        <v>44748</v>
      </c>
      <c r="C63">
        <f t="shared" si="0"/>
        <v>13</v>
      </c>
      <c r="D63" t="s">
        <v>23</v>
      </c>
      <c r="E63" t="s">
        <v>17</v>
      </c>
      <c r="F63" s="16" t="s">
        <v>11</v>
      </c>
      <c r="G63" s="16"/>
      <c r="H63" s="16"/>
      <c r="I63" s="19">
        <v>205</v>
      </c>
      <c r="J63" s="19">
        <v>14</v>
      </c>
      <c r="K63" s="19">
        <v>3</v>
      </c>
      <c r="L63" s="19"/>
      <c r="M63" s="18"/>
      <c r="P63" t="s">
        <v>79</v>
      </c>
      <c r="Q63" s="19">
        <v>98</v>
      </c>
      <c r="R63">
        <v>8</v>
      </c>
      <c r="V63" s="11">
        <f t="shared" si="1"/>
        <v>0</v>
      </c>
      <c r="W63" s="11">
        <f t="shared" si="2"/>
        <v>0</v>
      </c>
      <c r="X63" s="11">
        <f t="shared" si="3"/>
        <v>205000</v>
      </c>
      <c r="Y63" s="11">
        <f t="shared" si="4"/>
        <v>140000</v>
      </c>
      <c r="Z63" s="11">
        <f t="shared" si="5"/>
        <v>300000</v>
      </c>
      <c r="AA63" s="11">
        <f t="shared" si="6"/>
        <v>0</v>
      </c>
      <c r="AB63" s="13">
        <f t="shared" si="7"/>
        <v>0</v>
      </c>
      <c r="AC63" s="11">
        <f t="shared" si="8"/>
        <v>0</v>
      </c>
      <c r="AD63" s="11">
        <f t="shared" si="9"/>
        <v>0</v>
      </c>
      <c r="AE63" s="11" t="e">
        <f t="shared" si="10"/>
        <v>#VALUE!</v>
      </c>
      <c r="AF63" s="11">
        <f t="shared" si="11"/>
        <v>980000</v>
      </c>
      <c r="AG63" s="11">
        <f t="shared" si="12"/>
        <v>800000</v>
      </c>
      <c r="AH63" s="11">
        <f t="shared" si="13"/>
        <v>0</v>
      </c>
      <c r="AI63" s="11">
        <f t="shared" si="14"/>
        <v>0</v>
      </c>
      <c r="AJ63" s="11"/>
      <c r="AK63" s="11">
        <f t="shared" si="24"/>
        <v>172500</v>
      </c>
      <c r="AL63" s="13">
        <f t="shared" si="25"/>
        <v>980000</v>
      </c>
      <c r="AM63">
        <f t="shared" si="17"/>
        <v>5.2367890994092932</v>
      </c>
      <c r="AN63">
        <f t="shared" si="18"/>
        <v>5.9912260756924951</v>
      </c>
      <c r="AO63" s="11"/>
      <c r="AP63" s="11">
        <f>'Growth Parameters'!G58</f>
        <v>16.786000000000001</v>
      </c>
      <c r="AQ63" s="11"/>
      <c r="AR63" s="11">
        <f t="shared" si="19"/>
        <v>10276.420826879541</v>
      </c>
      <c r="AS63" s="13">
        <f t="shared" si="20"/>
        <v>58381.984987489566</v>
      </c>
      <c r="AT63">
        <f t="shared" si="21"/>
        <v>4.0118418806322058</v>
      </c>
      <c r="AU63">
        <f t="shared" si="22"/>
        <v>4.7662788569154078</v>
      </c>
      <c r="AW63">
        <f t="shared" si="23"/>
        <v>13</v>
      </c>
      <c r="AX63" t="s">
        <v>23</v>
      </c>
      <c r="AY63" t="s">
        <v>17</v>
      </c>
      <c r="AZ63" s="16" t="s">
        <v>11</v>
      </c>
    </row>
    <row r="64" spans="1:52" x14ac:dyDescent="0.3">
      <c r="A64" t="s">
        <v>22</v>
      </c>
      <c r="B64" s="3">
        <v>44748</v>
      </c>
      <c r="C64">
        <f t="shared" si="0"/>
        <v>13</v>
      </c>
      <c r="D64" t="s">
        <v>23</v>
      </c>
      <c r="E64" t="s">
        <v>17</v>
      </c>
      <c r="F64" s="16" t="s">
        <v>12</v>
      </c>
      <c r="G64" s="16"/>
      <c r="H64" s="16"/>
      <c r="I64" s="16" t="s">
        <v>79</v>
      </c>
      <c r="J64" s="19">
        <v>18</v>
      </c>
      <c r="K64" s="19">
        <v>1</v>
      </c>
      <c r="L64" s="19"/>
      <c r="M64" s="18"/>
      <c r="P64" t="s">
        <v>79</v>
      </c>
      <c r="Q64" s="19">
        <v>258</v>
      </c>
      <c r="R64">
        <v>19</v>
      </c>
      <c r="V64" s="11">
        <f t="shared" si="1"/>
        <v>0</v>
      </c>
      <c r="W64" s="11">
        <f t="shared" si="2"/>
        <v>0</v>
      </c>
      <c r="X64" s="11" t="e">
        <f t="shared" si="3"/>
        <v>#VALUE!</v>
      </c>
      <c r="Y64" s="11">
        <f t="shared" si="4"/>
        <v>180000</v>
      </c>
      <c r="Z64" s="11">
        <f t="shared" si="5"/>
        <v>100000</v>
      </c>
      <c r="AA64" s="11">
        <f t="shared" si="6"/>
        <v>0</v>
      </c>
      <c r="AB64" s="13">
        <f t="shared" si="7"/>
        <v>0</v>
      </c>
      <c r="AC64" s="11">
        <f t="shared" si="8"/>
        <v>0</v>
      </c>
      <c r="AD64" s="11">
        <f t="shared" si="9"/>
        <v>0</v>
      </c>
      <c r="AE64" s="11" t="e">
        <f t="shared" si="10"/>
        <v>#VALUE!</v>
      </c>
      <c r="AF64" s="11">
        <f t="shared" si="11"/>
        <v>2580000</v>
      </c>
      <c r="AG64" s="11">
        <f t="shared" si="12"/>
        <v>1900000</v>
      </c>
      <c r="AH64" s="11">
        <f t="shared" si="13"/>
        <v>0</v>
      </c>
      <c r="AI64" s="11">
        <f t="shared" si="14"/>
        <v>0</v>
      </c>
      <c r="AJ64" s="11"/>
      <c r="AK64" s="11">
        <f t="shared" si="24"/>
        <v>180000</v>
      </c>
      <c r="AL64" s="13">
        <f t="shared" si="25"/>
        <v>2580000</v>
      </c>
      <c r="AM64">
        <f t="shared" si="17"/>
        <v>5.2552725051033065</v>
      </c>
      <c r="AN64">
        <f t="shared" si="18"/>
        <v>6.4116197059632301</v>
      </c>
      <c r="AO64" s="11"/>
      <c r="AP64" s="11">
        <f>'Growth Parameters'!G59</f>
        <v>16.091000000000001</v>
      </c>
      <c r="AQ64" s="11"/>
      <c r="AR64" s="11">
        <f t="shared" si="19"/>
        <v>11186.377478093344</v>
      </c>
      <c r="AS64" s="13">
        <f t="shared" si="20"/>
        <v>160338.07718600458</v>
      </c>
      <c r="AT64">
        <f t="shared" si="21"/>
        <v>4.048689470265515</v>
      </c>
      <c r="AU64">
        <f t="shared" si="22"/>
        <v>5.2050366711254386</v>
      </c>
      <c r="AW64">
        <f t="shared" si="23"/>
        <v>13</v>
      </c>
      <c r="AX64" t="s">
        <v>23</v>
      </c>
      <c r="AY64" t="s">
        <v>17</v>
      </c>
      <c r="AZ64" s="16" t="s">
        <v>12</v>
      </c>
    </row>
    <row r="65" spans="1:52" x14ac:dyDescent="0.3">
      <c r="A65" t="s">
        <v>22</v>
      </c>
      <c r="B65" s="3">
        <v>44748</v>
      </c>
      <c r="C65">
        <f t="shared" si="0"/>
        <v>13</v>
      </c>
      <c r="D65" t="s">
        <v>23</v>
      </c>
      <c r="E65" t="s">
        <v>17</v>
      </c>
      <c r="F65" s="16" t="s">
        <v>13</v>
      </c>
      <c r="G65" s="16"/>
      <c r="H65" s="16"/>
      <c r="I65" s="16" t="s">
        <v>79</v>
      </c>
      <c r="J65" s="16" t="s">
        <v>79</v>
      </c>
      <c r="K65" s="19">
        <v>26</v>
      </c>
      <c r="L65" s="19"/>
      <c r="M65" s="18"/>
      <c r="P65" t="s">
        <v>79</v>
      </c>
      <c r="Q65" s="19" t="s">
        <v>79</v>
      </c>
      <c r="R65">
        <v>133</v>
      </c>
      <c r="V65" s="11">
        <f t="shared" si="1"/>
        <v>0</v>
      </c>
      <c r="W65" s="11">
        <f t="shared" si="2"/>
        <v>0</v>
      </c>
      <c r="X65" s="11" t="e">
        <f t="shared" si="3"/>
        <v>#VALUE!</v>
      </c>
      <c r="Y65" s="11" t="e">
        <f t="shared" si="4"/>
        <v>#VALUE!</v>
      </c>
      <c r="Z65" s="11">
        <f t="shared" si="5"/>
        <v>2600000</v>
      </c>
      <c r="AA65" s="11">
        <f t="shared" si="6"/>
        <v>0</v>
      </c>
      <c r="AB65" s="13">
        <f t="shared" si="7"/>
        <v>0</v>
      </c>
      <c r="AC65" s="11">
        <f t="shared" si="8"/>
        <v>0</v>
      </c>
      <c r="AD65" s="11">
        <f t="shared" si="9"/>
        <v>0</v>
      </c>
      <c r="AE65" s="11" t="e">
        <f t="shared" si="10"/>
        <v>#VALUE!</v>
      </c>
      <c r="AF65" s="11" t="e">
        <f t="shared" si="11"/>
        <v>#VALUE!</v>
      </c>
      <c r="AG65" s="11">
        <f t="shared" si="12"/>
        <v>13300000</v>
      </c>
      <c r="AH65" s="11">
        <f t="shared" si="13"/>
        <v>0</v>
      </c>
      <c r="AI65" s="11">
        <f t="shared" si="14"/>
        <v>0</v>
      </c>
      <c r="AJ65" s="11"/>
      <c r="AK65" s="11">
        <f t="shared" si="24"/>
        <v>2600000</v>
      </c>
      <c r="AL65" s="13">
        <f t="shared" si="25"/>
        <v>13300000</v>
      </c>
      <c r="AM65">
        <f t="shared" si="17"/>
        <v>6.4149733479708182</v>
      </c>
      <c r="AN65">
        <f t="shared" si="18"/>
        <v>7.1238516409670858</v>
      </c>
      <c r="AO65" s="11"/>
      <c r="AP65" s="11">
        <f>'Growth Parameters'!G60</f>
        <v>18.384</v>
      </c>
      <c r="AQ65" s="11"/>
      <c r="AR65" s="11">
        <f t="shared" si="19"/>
        <v>141427.32811140121</v>
      </c>
      <c r="AS65" s="13">
        <f t="shared" si="20"/>
        <v>723455.17841601395</v>
      </c>
      <c r="AT65">
        <f t="shared" si="21"/>
        <v>5.1505333366266077</v>
      </c>
      <c r="AU65">
        <f t="shared" si="22"/>
        <v>5.8594116296228762</v>
      </c>
      <c r="AW65">
        <f t="shared" si="23"/>
        <v>13</v>
      </c>
      <c r="AX65" t="s">
        <v>23</v>
      </c>
      <c r="AY65" t="s">
        <v>17</v>
      </c>
      <c r="AZ65" s="16" t="s">
        <v>13</v>
      </c>
    </row>
    <row r="66" spans="1:52" x14ac:dyDescent="0.3">
      <c r="A66" t="s">
        <v>22</v>
      </c>
      <c r="B66" s="3">
        <v>44748</v>
      </c>
      <c r="C66">
        <f t="shared" si="0"/>
        <v>13</v>
      </c>
      <c r="D66" t="s">
        <v>23</v>
      </c>
      <c r="E66" t="s">
        <v>17</v>
      </c>
      <c r="F66" s="16" t="s">
        <v>14</v>
      </c>
      <c r="G66" s="16"/>
      <c r="H66" s="16"/>
      <c r="I66" s="19" t="s">
        <v>79</v>
      </c>
      <c r="J66" s="19">
        <v>51</v>
      </c>
      <c r="K66" s="19">
        <v>4</v>
      </c>
      <c r="L66" s="19"/>
      <c r="M66" s="18"/>
      <c r="P66" t="s">
        <v>79</v>
      </c>
      <c r="Q66" s="19">
        <v>384</v>
      </c>
      <c r="R66">
        <v>26</v>
      </c>
      <c r="V66" s="11">
        <f t="shared" si="1"/>
        <v>0</v>
      </c>
      <c r="W66" s="11">
        <f t="shared" si="2"/>
        <v>0</v>
      </c>
      <c r="X66" s="11" t="e">
        <f t="shared" si="3"/>
        <v>#VALUE!</v>
      </c>
      <c r="Y66" s="11">
        <f t="shared" si="4"/>
        <v>510000</v>
      </c>
      <c r="Z66" s="11">
        <f t="shared" si="5"/>
        <v>400000</v>
      </c>
      <c r="AA66" s="11">
        <f t="shared" si="6"/>
        <v>0</v>
      </c>
      <c r="AB66" s="13">
        <f t="shared" si="7"/>
        <v>0</v>
      </c>
      <c r="AC66" s="11">
        <f t="shared" si="8"/>
        <v>0</v>
      </c>
      <c r="AD66" s="11">
        <f t="shared" si="9"/>
        <v>0</v>
      </c>
      <c r="AE66" s="11" t="e">
        <f t="shared" si="10"/>
        <v>#VALUE!</v>
      </c>
      <c r="AF66" s="11">
        <f t="shared" si="11"/>
        <v>3840000</v>
      </c>
      <c r="AG66" s="11">
        <f t="shared" si="12"/>
        <v>2600000</v>
      </c>
      <c r="AH66" s="11">
        <f t="shared" si="13"/>
        <v>0</v>
      </c>
      <c r="AI66" s="11">
        <f t="shared" si="14"/>
        <v>0</v>
      </c>
      <c r="AJ66" s="11"/>
      <c r="AK66" s="11">
        <f t="shared" si="24"/>
        <v>510000</v>
      </c>
      <c r="AL66" s="13">
        <f t="shared" si="25"/>
        <v>3220000</v>
      </c>
      <c r="AM66">
        <f t="shared" si="17"/>
        <v>5.7075701760979367</v>
      </c>
      <c r="AN66">
        <f t="shared" si="18"/>
        <v>6.5078558716958312</v>
      </c>
      <c r="AO66" s="11"/>
      <c r="AP66" s="11">
        <f>'Growth Parameters'!G61</f>
        <v>20.821999999999999</v>
      </c>
      <c r="AQ66" s="11"/>
      <c r="AR66" s="11">
        <f t="shared" si="19"/>
        <v>24493.32436845644</v>
      </c>
      <c r="AS66" s="13">
        <f t="shared" si="20"/>
        <v>154644.12640476419</v>
      </c>
      <c r="AT66">
        <f t="shared" si="21"/>
        <v>4.38904773395668</v>
      </c>
      <c r="AU66">
        <f t="shared" si="22"/>
        <v>5.1893334295545746</v>
      </c>
      <c r="AW66">
        <f t="shared" si="23"/>
        <v>13</v>
      </c>
      <c r="AX66" t="s">
        <v>23</v>
      </c>
      <c r="AY66" t="s">
        <v>17</v>
      </c>
      <c r="AZ66" s="16" t="s">
        <v>14</v>
      </c>
    </row>
    <row r="67" spans="1:52" x14ac:dyDescent="0.3">
      <c r="A67" t="s">
        <v>22</v>
      </c>
      <c r="B67" s="3">
        <v>44748</v>
      </c>
      <c r="C67">
        <f t="shared" si="0"/>
        <v>13</v>
      </c>
      <c r="D67" t="s">
        <v>23</v>
      </c>
      <c r="E67" t="s">
        <v>91</v>
      </c>
      <c r="F67" s="16" t="s">
        <v>11</v>
      </c>
      <c r="G67" s="16"/>
      <c r="H67" s="16"/>
      <c r="I67" s="19" t="s">
        <v>79</v>
      </c>
      <c r="J67" s="19">
        <v>75</v>
      </c>
      <c r="K67" s="19">
        <v>2</v>
      </c>
      <c r="L67" s="19"/>
      <c r="M67" s="18"/>
      <c r="P67" t="s">
        <v>79</v>
      </c>
      <c r="Q67" s="16" t="s">
        <v>79</v>
      </c>
      <c r="R67">
        <v>40</v>
      </c>
      <c r="V67" s="11">
        <f t="shared" si="1"/>
        <v>0</v>
      </c>
      <c r="W67" s="11">
        <f t="shared" si="2"/>
        <v>0</v>
      </c>
      <c r="X67" s="11" t="e">
        <f t="shared" si="3"/>
        <v>#VALUE!</v>
      </c>
      <c r="Y67" s="11">
        <f t="shared" si="4"/>
        <v>750000</v>
      </c>
      <c r="Z67" s="11">
        <f t="shared" si="5"/>
        <v>200000</v>
      </c>
      <c r="AA67" s="11">
        <f t="shared" si="6"/>
        <v>0</v>
      </c>
      <c r="AB67" s="13">
        <f t="shared" si="7"/>
        <v>0</v>
      </c>
      <c r="AC67" s="11">
        <f t="shared" si="8"/>
        <v>0</v>
      </c>
      <c r="AD67" s="11">
        <f t="shared" si="9"/>
        <v>0</v>
      </c>
      <c r="AE67" s="11" t="e">
        <f t="shared" si="10"/>
        <v>#VALUE!</v>
      </c>
      <c r="AF67" s="11" t="e">
        <f t="shared" si="11"/>
        <v>#VALUE!</v>
      </c>
      <c r="AG67" s="11">
        <f t="shared" si="12"/>
        <v>4000000</v>
      </c>
      <c r="AH67" s="11">
        <f t="shared" si="13"/>
        <v>0</v>
      </c>
      <c r="AI67" s="11">
        <f t="shared" si="14"/>
        <v>0</v>
      </c>
      <c r="AJ67" s="11"/>
      <c r="AK67" s="11">
        <f t="shared" si="24"/>
        <v>750000</v>
      </c>
      <c r="AL67" s="13">
        <f t="shared" si="25"/>
        <v>4000000</v>
      </c>
      <c r="AM67">
        <f t="shared" si="17"/>
        <v>5.8750612633917001</v>
      </c>
      <c r="AN67">
        <f t="shared" si="18"/>
        <v>6.6020599913279625</v>
      </c>
      <c r="AO67" s="11"/>
      <c r="AP67" s="11">
        <f>'Growth Parameters'!G62</f>
        <v>16.82</v>
      </c>
      <c r="AQ67" s="11"/>
      <c r="AR67" s="11">
        <f t="shared" si="19"/>
        <v>44589.774078478004</v>
      </c>
      <c r="AS67" s="13">
        <f t="shared" si="20"/>
        <v>237812.12841854934</v>
      </c>
      <c r="AT67">
        <f t="shared" si="21"/>
        <v>4.6492352719298067</v>
      </c>
      <c r="AU67">
        <f t="shared" si="22"/>
        <v>5.3762339998660691</v>
      </c>
      <c r="AW67">
        <f t="shared" si="23"/>
        <v>13</v>
      </c>
      <c r="AX67" t="s">
        <v>23</v>
      </c>
      <c r="AY67" t="s">
        <v>91</v>
      </c>
      <c r="AZ67" s="16" t="s">
        <v>11</v>
      </c>
    </row>
    <row r="68" spans="1:52" x14ac:dyDescent="0.3">
      <c r="A68" t="s">
        <v>22</v>
      </c>
      <c r="B68" s="3">
        <v>44748</v>
      </c>
      <c r="C68">
        <f t="shared" si="0"/>
        <v>13</v>
      </c>
      <c r="D68" t="s">
        <v>23</v>
      </c>
      <c r="E68" t="s">
        <v>91</v>
      </c>
      <c r="F68" s="16" t="s">
        <v>12</v>
      </c>
      <c r="G68" s="16"/>
      <c r="H68" s="16"/>
      <c r="I68" s="19" t="s">
        <v>79</v>
      </c>
      <c r="J68" s="19">
        <v>79</v>
      </c>
      <c r="K68" s="19">
        <v>8</v>
      </c>
      <c r="L68" s="19"/>
      <c r="M68" s="18"/>
      <c r="P68" t="s">
        <v>79</v>
      </c>
      <c r="Q68" s="19">
        <v>210</v>
      </c>
      <c r="R68">
        <v>27</v>
      </c>
      <c r="V68" s="11">
        <f t="shared" si="1"/>
        <v>0</v>
      </c>
      <c r="W68" s="11">
        <f t="shared" si="2"/>
        <v>0</v>
      </c>
      <c r="X68" s="11" t="e">
        <f t="shared" si="3"/>
        <v>#VALUE!</v>
      </c>
      <c r="Y68" s="11">
        <f t="shared" si="4"/>
        <v>790000</v>
      </c>
      <c r="Z68" s="11">
        <f t="shared" si="5"/>
        <v>800000</v>
      </c>
      <c r="AA68" s="11">
        <f t="shared" si="6"/>
        <v>0</v>
      </c>
      <c r="AB68" s="13">
        <f t="shared" si="7"/>
        <v>0</v>
      </c>
      <c r="AC68" s="11">
        <f t="shared" si="8"/>
        <v>0</v>
      </c>
      <c r="AD68" s="11">
        <f t="shared" si="9"/>
        <v>0</v>
      </c>
      <c r="AE68" s="11" t="e">
        <f t="shared" si="10"/>
        <v>#VALUE!</v>
      </c>
      <c r="AF68" s="11">
        <f t="shared" si="11"/>
        <v>2100000</v>
      </c>
      <c r="AG68" s="11">
        <f t="shared" si="12"/>
        <v>2700000</v>
      </c>
      <c r="AH68" s="11">
        <f t="shared" si="13"/>
        <v>0</v>
      </c>
      <c r="AI68" s="11">
        <f t="shared" si="14"/>
        <v>0</v>
      </c>
      <c r="AJ68" s="11"/>
      <c r="AK68" s="11">
        <f t="shared" si="24"/>
        <v>790000</v>
      </c>
      <c r="AL68" s="13">
        <f t="shared" si="25"/>
        <v>2400000</v>
      </c>
      <c r="AM68">
        <f t="shared" si="17"/>
        <v>5.8976270912904418</v>
      </c>
      <c r="AN68">
        <f t="shared" si="18"/>
        <v>6.3802112417116064</v>
      </c>
      <c r="AO68" s="11"/>
      <c r="AP68" s="11">
        <f>'Growth Parameters'!G63</f>
        <v>19.404</v>
      </c>
      <c r="AQ68" s="11"/>
      <c r="AR68" s="11">
        <f t="shared" si="19"/>
        <v>40713.254998969285</v>
      </c>
      <c r="AS68" s="13">
        <f t="shared" si="20"/>
        <v>123685.83797155226</v>
      </c>
      <c r="AT68">
        <f t="shared" si="21"/>
        <v>4.6097358253364158</v>
      </c>
      <c r="AU68">
        <f t="shared" si="22"/>
        <v>5.0923199757575803</v>
      </c>
      <c r="AW68">
        <f t="shared" si="23"/>
        <v>13</v>
      </c>
      <c r="AX68" t="s">
        <v>23</v>
      </c>
      <c r="AY68" t="s">
        <v>91</v>
      </c>
      <c r="AZ68" s="16" t="s">
        <v>12</v>
      </c>
    </row>
    <row r="69" spans="1:52" x14ac:dyDescent="0.3">
      <c r="A69" t="s">
        <v>22</v>
      </c>
      <c r="B69" s="3">
        <v>44748</v>
      </c>
      <c r="C69">
        <f t="shared" si="0"/>
        <v>13</v>
      </c>
      <c r="D69" t="s">
        <v>23</v>
      </c>
      <c r="E69" t="s">
        <v>91</v>
      </c>
      <c r="F69" s="16" t="s">
        <v>13</v>
      </c>
      <c r="G69" s="16"/>
      <c r="H69" s="16"/>
      <c r="I69" s="19" t="s">
        <v>79</v>
      </c>
      <c r="J69" s="19">
        <v>18</v>
      </c>
      <c r="K69" s="19">
        <v>1</v>
      </c>
      <c r="L69" s="19"/>
      <c r="M69" s="18"/>
      <c r="P69" t="s">
        <v>79</v>
      </c>
      <c r="Q69" s="19">
        <v>119</v>
      </c>
      <c r="R69">
        <v>7</v>
      </c>
      <c r="V69" s="11">
        <f t="shared" si="1"/>
        <v>0</v>
      </c>
      <c r="W69" s="11">
        <f t="shared" si="2"/>
        <v>0</v>
      </c>
      <c r="X69" s="11" t="e">
        <f t="shared" si="3"/>
        <v>#VALUE!</v>
      </c>
      <c r="Y69" s="11">
        <f t="shared" si="4"/>
        <v>180000</v>
      </c>
      <c r="Z69" s="11">
        <f t="shared" si="5"/>
        <v>100000</v>
      </c>
      <c r="AA69" s="11">
        <f t="shared" si="6"/>
        <v>0</v>
      </c>
      <c r="AB69" s="13">
        <f t="shared" si="7"/>
        <v>0</v>
      </c>
      <c r="AC69" s="11">
        <f t="shared" si="8"/>
        <v>0</v>
      </c>
      <c r="AD69" s="11">
        <f t="shared" si="9"/>
        <v>0</v>
      </c>
      <c r="AE69" s="11" t="e">
        <f t="shared" si="10"/>
        <v>#VALUE!</v>
      </c>
      <c r="AF69" s="11">
        <f t="shared" si="11"/>
        <v>1190000</v>
      </c>
      <c r="AG69" s="11">
        <f t="shared" si="12"/>
        <v>700000</v>
      </c>
      <c r="AH69" s="11">
        <f t="shared" si="13"/>
        <v>0</v>
      </c>
      <c r="AI69" s="11">
        <f t="shared" si="14"/>
        <v>0</v>
      </c>
      <c r="AJ69" s="11"/>
      <c r="AK69" s="11">
        <f t="shared" si="24"/>
        <v>180000</v>
      </c>
      <c r="AL69" s="13">
        <f t="shared" si="25"/>
        <v>1190000</v>
      </c>
      <c r="AM69">
        <f t="shared" si="17"/>
        <v>5.2552725051033065</v>
      </c>
      <c r="AN69">
        <f t="shared" si="18"/>
        <v>6.075546961392531</v>
      </c>
      <c r="AO69" s="11"/>
      <c r="AP69" s="11">
        <f>'Growth Parameters'!G64</f>
        <v>22.13</v>
      </c>
      <c r="AQ69" s="11"/>
      <c r="AR69" s="11">
        <f t="shared" si="19"/>
        <v>8133.7550835969278</v>
      </c>
      <c r="AS69" s="13">
        <f t="shared" si="20"/>
        <v>53773.158608224134</v>
      </c>
      <c r="AT69">
        <f t="shared" si="21"/>
        <v>3.910291091176048</v>
      </c>
      <c r="AU69">
        <f t="shared" si="22"/>
        <v>4.7305655474652726</v>
      </c>
      <c r="AW69">
        <f t="shared" si="23"/>
        <v>13</v>
      </c>
      <c r="AX69" t="s">
        <v>23</v>
      </c>
      <c r="AY69" t="s">
        <v>91</v>
      </c>
      <c r="AZ69" s="16" t="s">
        <v>13</v>
      </c>
    </row>
    <row r="70" spans="1:52" x14ac:dyDescent="0.3">
      <c r="A70" t="s">
        <v>22</v>
      </c>
      <c r="B70" s="3">
        <v>44748</v>
      </c>
      <c r="C70">
        <f t="shared" si="0"/>
        <v>13</v>
      </c>
      <c r="D70" t="s">
        <v>23</v>
      </c>
      <c r="E70" t="s">
        <v>91</v>
      </c>
      <c r="F70" s="16" t="s">
        <v>14</v>
      </c>
      <c r="G70" s="16"/>
      <c r="H70" s="16"/>
      <c r="I70" s="19" t="s">
        <v>79</v>
      </c>
      <c r="J70" s="19">
        <v>67</v>
      </c>
      <c r="K70" s="19">
        <v>11</v>
      </c>
      <c r="L70" s="19"/>
      <c r="M70" s="18"/>
      <c r="P70" t="s">
        <v>79</v>
      </c>
      <c r="Q70" s="19">
        <v>271</v>
      </c>
      <c r="R70">
        <v>29</v>
      </c>
      <c r="V70" s="11">
        <f t="shared" si="1"/>
        <v>0</v>
      </c>
      <c r="W70" s="11">
        <f t="shared" si="2"/>
        <v>0</v>
      </c>
      <c r="X70" s="11" t="e">
        <f t="shared" si="3"/>
        <v>#VALUE!</v>
      </c>
      <c r="Y70" s="11">
        <f t="shared" si="4"/>
        <v>670000</v>
      </c>
      <c r="Z70" s="11">
        <f t="shared" si="5"/>
        <v>1100000</v>
      </c>
      <c r="AA70" s="11">
        <f t="shared" si="6"/>
        <v>0</v>
      </c>
      <c r="AB70" s="13">
        <f t="shared" si="7"/>
        <v>0</v>
      </c>
      <c r="AC70" s="11">
        <f t="shared" si="8"/>
        <v>0</v>
      </c>
      <c r="AD70" s="11">
        <f t="shared" si="9"/>
        <v>0</v>
      </c>
      <c r="AE70" s="11" t="e">
        <f t="shared" si="10"/>
        <v>#VALUE!</v>
      </c>
      <c r="AF70" s="11">
        <f t="shared" si="11"/>
        <v>2710000</v>
      </c>
      <c r="AG70" s="11">
        <f t="shared" si="12"/>
        <v>2900000</v>
      </c>
      <c r="AH70" s="11">
        <f t="shared" si="13"/>
        <v>0</v>
      </c>
      <c r="AI70" s="11">
        <f t="shared" si="14"/>
        <v>0</v>
      </c>
      <c r="AJ70" s="11"/>
      <c r="AK70" s="11">
        <f t="shared" si="24"/>
        <v>885000</v>
      </c>
      <c r="AL70" s="13">
        <f t="shared" si="25"/>
        <v>2805000</v>
      </c>
      <c r="AM70">
        <f t="shared" si="17"/>
        <v>5.9469432706978251</v>
      </c>
      <c r="AN70">
        <f t="shared" si="18"/>
        <v>6.4479328655921799</v>
      </c>
      <c r="AO70" s="11"/>
      <c r="AP70" s="11">
        <f>'Growth Parameters'!G65</f>
        <v>18.582000000000001</v>
      </c>
      <c r="AQ70" s="11"/>
      <c r="AR70" s="11">
        <f t="shared" si="19"/>
        <v>47626.735550532772</v>
      </c>
      <c r="AS70" s="13">
        <f t="shared" si="20"/>
        <v>150952.53471101064</v>
      </c>
      <c r="AT70">
        <f t="shared" si="21"/>
        <v>4.6778508149573952</v>
      </c>
      <c r="AU70">
        <f t="shared" si="22"/>
        <v>5.17884040985175</v>
      </c>
      <c r="AW70">
        <f t="shared" si="23"/>
        <v>13</v>
      </c>
      <c r="AX70" t="s">
        <v>23</v>
      </c>
      <c r="AY70" t="s">
        <v>91</v>
      </c>
      <c r="AZ70" s="16" t="s">
        <v>14</v>
      </c>
    </row>
    <row r="71" spans="1:52" x14ac:dyDescent="0.3">
      <c r="A71" t="s">
        <v>22</v>
      </c>
      <c r="B71" s="3">
        <v>44748</v>
      </c>
      <c r="C71">
        <f t="shared" si="0"/>
        <v>13</v>
      </c>
      <c r="D71" t="s">
        <v>23</v>
      </c>
      <c r="E71" t="s">
        <v>18</v>
      </c>
      <c r="F71" s="16" t="s">
        <v>11</v>
      </c>
      <c r="G71" s="16"/>
      <c r="H71" s="16"/>
      <c r="I71" s="19" t="s">
        <v>79</v>
      </c>
      <c r="J71" s="19">
        <v>56</v>
      </c>
      <c r="K71" s="19">
        <v>2</v>
      </c>
      <c r="L71" s="19"/>
      <c r="M71" s="18"/>
      <c r="P71" t="s">
        <v>79</v>
      </c>
      <c r="Q71" s="19">
        <v>131</v>
      </c>
      <c r="R71">
        <v>10</v>
      </c>
      <c r="V71" s="11">
        <f t="shared" si="1"/>
        <v>0</v>
      </c>
      <c r="W71" s="11">
        <f t="shared" si="2"/>
        <v>0</v>
      </c>
      <c r="X71" s="11" t="e">
        <f t="shared" si="3"/>
        <v>#VALUE!</v>
      </c>
      <c r="Y71" s="11">
        <f t="shared" si="4"/>
        <v>560000</v>
      </c>
      <c r="Z71" s="11">
        <f t="shared" si="5"/>
        <v>200000</v>
      </c>
      <c r="AA71" s="11">
        <f t="shared" si="6"/>
        <v>0</v>
      </c>
      <c r="AB71" s="13">
        <f t="shared" si="7"/>
        <v>0</v>
      </c>
      <c r="AC71" s="11">
        <f t="shared" si="8"/>
        <v>0</v>
      </c>
      <c r="AD71" s="11">
        <f t="shared" si="9"/>
        <v>0</v>
      </c>
      <c r="AE71" s="11" t="e">
        <f t="shared" si="10"/>
        <v>#VALUE!</v>
      </c>
      <c r="AF71" s="11">
        <f t="shared" si="11"/>
        <v>1310000</v>
      </c>
      <c r="AG71" s="11">
        <f t="shared" si="12"/>
        <v>1000000</v>
      </c>
      <c r="AH71" s="11">
        <f t="shared" si="13"/>
        <v>0</v>
      </c>
      <c r="AI71" s="11">
        <f t="shared" si="14"/>
        <v>0</v>
      </c>
      <c r="AJ71" s="11"/>
      <c r="AK71" s="11">
        <f t="shared" si="24"/>
        <v>560000</v>
      </c>
      <c r="AL71" s="13">
        <f t="shared" si="25"/>
        <v>1310000</v>
      </c>
      <c r="AM71">
        <f t="shared" si="17"/>
        <v>5.7481880270062007</v>
      </c>
      <c r="AN71">
        <f t="shared" si="18"/>
        <v>6.1172712956557644</v>
      </c>
      <c r="AO71" s="11"/>
      <c r="AP71" s="11">
        <f>'Growth Parameters'!G66</f>
        <v>13.276999999999999</v>
      </c>
      <c r="AQ71" s="11"/>
      <c r="AR71" s="11">
        <f t="shared" si="19"/>
        <v>42178.202907283274</v>
      </c>
      <c r="AS71" s="13">
        <f t="shared" si="20"/>
        <v>98666.867515251943</v>
      </c>
      <c r="AT71">
        <f t="shared" si="21"/>
        <v>4.6250880717506258</v>
      </c>
      <c r="AU71">
        <f t="shared" si="22"/>
        <v>4.9941713404001904</v>
      </c>
      <c r="AW71">
        <f t="shared" si="23"/>
        <v>13</v>
      </c>
      <c r="AX71" t="s">
        <v>23</v>
      </c>
      <c r="AY71" t="s">
        <v>18</v>
      </c>
      <c r="AZ71" s="16" t="s">
        <v>11</v>
      </c>
    </row>
    <row r="72" spans="1:52" x14ac:dyDescent="0.3">
      <c r="A72" t="s">
        <v>22</v>
      </c>
      <c r="B72" s="3">
        <v>44748</v>
      </c>
      <c r="C72">
        <f t="shared" ref="C72:C110" si="26">B72-$B$7</f>
        <v>13</v>
      </c>
      <c r="D72" t="s">
        <v>23</v>
      </c>
      <c r="E72" t="s">
        <v>18</v>
      </c>
      <c r="F72" s="16" t="s">
        <v>12</v>
      </c>
      <c r="G72" s="16"/>
      <c r="H72" s="16"/>
      <c r="I72" s="16">
        <v>100</v>
      </c>
      <c r="J72" s="19">
        <v>50</v>
      </c>
      <c r="K72" s="19">
        <v>9</v>
      </c>
      <c r="L72" s="19"/>
      <c r="M72" s="18"/>
      <c r="P72" t="s">
        <v>79</v>
      </c>
      <c r="Q72" s="19">
        <v>250</v>
      </c>
      <c r="R72">
        <v>38</v>
      </c>
      <c r="V72" s="11">
        <f t="shared" ref="V72:V110" si="27">G72*$V$6</f>
        <v>0</v>
      </c>
      <c r="W72" s="11">
        <f t="shared" ref="W72:W110" si="28">H72*$W$6</f>
        <v>0</v>
      </c>
      <c r="X72" s="11">
        <f t="shared" ref="X72:X110" si="29">I72*$X$6</f>
        <v>100000</v>
      </c>
      <c r="Y72" s="11">
        <f t="shared" ref="Y72:Y110" si="30">J72*$Y$6</f>
        <v>500000</v>
      </c>
      <c r="Z72" s="11">
        <f t="shared" ref="Z72:Z110" si="31">K72*$Z$6</f>
        <v>900000</v>
      </c>
      <c r="AA72" s="11">
        <f t="shared" ref="AA72:AA110" si="32">L72*$AA$6</f>
        <v>0</v>
      </c>
      <c r="AB72" s="13">
        <f t="shared" ref="AB72:AB110" si="33">M72*$AB$6</f>
        <v>0</v>
      </c>
      <c r="AC72" s="11">
        <f t="shared" ref="AC72:AC110" si="34">N72*$V$6</f>
        <v>0</v>
      </c>
      <c r="AD72" s="11">
        <f t="shared" ref="AD72:AD110" si="35">O72*$W$6</f>
        <v>0</v>
      </c>
      <c r="AE72" s="11" t="e">
        <f t="shared" ref="AE72:AE110" si="36">P72*$X$6</f>
        <v>#VALUE!</v>
      </c>
      <c r="AF72" s="11">
        <f t="shared" ref="AF72:AF110" si="37">Q72*$Y$6</f>
        <v>2500000</v>
      </c>
      <c r="AG72" s="11">
        <f t="shared" ref="AG72:AG110" si="38">R72*$Z$6</f>
        <v>3800000</v>
      </c>
      <c r="AH72" s="11">
        <f t="shared" ref="AH72:AH110" si="39">S72*$AA$6</f>
        <v>0</v>
      </c>
      <c r="AI72" s="11">
        <f t="shared" ref="AI72:AI110" si="40">T72*$AB$6</f>
        <v>0</v>
      </c>
      <c r="AJ72" s="11"/>
      <c r="AK72" s="11">
        <f t="shared" si="24"/>
        <v>300000</v>
      </c>
      <c r="AL72" s="13">
        <f t="shared" si="25"/>
        <v>3150000</v>
      </c>
      <c r="AM72">
        <f t="shared" ref="AM72:AM110" si="41">LOG10(AK72)</f>
        <v>5.4771212547196626</v>
      </c>
      <c r="AN72">
        <f t="shared" ref="AN72:AN110" si="42">LOG10(AL72)</f>
        <v>6.4983105537896009</v>
      </c>
      <c r="AO72" s="11"/>
      <c r="AP72" s="11">
        <f>'Growth Parameters'!G67</f>
        <v>15.323</v>
      </c>
      <c r="AQ72" s="11"/>
      <c r="AR72" s="11">
        <f t="shared" ref="AR72:AR110" si="43">AK72/AP72</f>
        <v>19578.411538210534</v>
      </c>
      <c r="AS72" s="13">
        <f t="shared" ref="AS72:AS110" si="44">AL72/AP72</f>
        <v>205573.32115121061</v>
      </c>
      <c r="AT72">
        <f t="shared" ref="AT72:AT110" si="45">LOG10(AR72)</f>
        <v>4.2917774531374739</v>
      </c>
      <c r="AU72">
        <f t="shared" ref="AU72:AU110" si="46">LOG10(AS72)</f>
        <v>5.3129667522074122</v>
      </c>
      <c r="AW72">
        <f t="shared" ref="AW72:AW110" si="47">B72-$B$7</f>
        <v>13</v>
      </c>
      <c r="AX72" t="s">
        <v>23</v>
      </c>
      <c r="AY72" t="s">
        <v>18</v>
      </c>
      <c r="AZ72" s="16" t="s">
        <v>12</v>
      </c>
    </row>
    <row r="73" spans="1:52" x14ac:dyDescent="0.3">
      <c r="A73" t="s">
        <v>22</v>
      </c>
      <c r="B73" s="3">
        <v>44748</v>
      </c>
      <c r="C73">
        <f t="shared" si="26"/>
        <v>13</v>
      </c>
      <c r="D73" t="s">
        <v>23</v>
      </c>
      <c r="E73" t="s">
        <v>18</v>
      </c>
      <c r="F73" s="16" t="s">
        <v>13</v>
      </c>
      <c r="G73" s="16"/>
      <c r="H73" s="16"/>
      <c r="I73" s="19" t="s">
        <v>79</v>
      </c>
      <c r="J73" s="19">
        <v>30</v>
      </c>
      <c r="K73" s="19">
        <v>2</v>
      </c>
      <c r="L73" s="19"/>
      <c r="M73" s="18"/>
      <c r="P73" t="s">
        <v>79</v>
      </c>
      <c r="Q73" s="19">
        <v>92</v>
      </c>
      <c r="R73">
        <v>5</v>
      </c>
      <c r="V73" s="11">
        <f t="shared" si="27"/>
        <v>0</v>
      </c>
      <c r="W73" s="11">
        <f t="shared" si="28"/>
        <v>0</v>
      </c>
      <c r="X73" s="11" t="e">
        <f t="shared" si="29"/>
        <v>#VALUE!</v>
      </c>
      <c r="Y73" s="11">
        <f t="shared" si="30"/>
        <v>300000</v>
      </c>
      <c r="Z73" s="11">
        <f t="shared" si="31"/>
        <v>200000</v>
      </c>
      <c r="AA73" s="11">
        <f t="shared" si="32"/>
        <v>0</v>
      </c>
      <c r="AB73" s="13">
        <f t="shared" si="33"/>
        <v>0</v>
      </c>
      <c r="AC73" s="11">
        <f t="shared" si="34"/>
        <v>0</v>
      </c>
      <c r="AD73" s="11">
        <f t="shared" si="35"/>
        <v>0</v>
      </c>
      <c r="AE73" s="11" t="e">
        <f t="shared" si="36"/>
        <v>#VALUE!</v>
      </c>
      <c r="AF73" s="11">
        <f t="shared" si="37"/>
        <v>920000</v>
      </c>
      <c r="AG73" s="11">
        <f t="shared" si="38"/>
        <v>500000</v>
      </c>
      <c r="AH73" s="11">
        <f t="shared" si="39"/>
        <v>0</v>
      </c>
      <c r="AI73" s="11">
        <f t="shared" si="40"/>
        <v>0</v>
      </c>
      <c r="AJ73" s="11"/>
      <c r="AK73" s="11">
        <f t="shared" si="24"/>
        <v>300000</v>
      </c>
      <c r="AL73" s="13">
        <f t="shared" si="25"/>
        <v>920000</v>
      </c>
      <c r="AM73">
        <f t="shared" si="41"/>
        <v>5.4771212547196626</v>
      </c>
      <c r="AN73">
        <f t="shared" si="42"/>
        <v>5.9637878273455556</v>
      </c>
      <c r="AO73" s="11"/>
      <c r="AP73" s="11">
        <f>'Growth Parameters'!G68</f>
        <v>14.67</v>
      </c>
      <c r="AQ73" s="11"/>
      <c r="AR73" s="11">
        <f t="shared" si="43"/>
        <v>20449.897750511249</v>
      </c>
      <c r="AS73" s="13">
        <f t="shared" si="44"/>
        <v>62713.019768234495</v>
      </c>
      <c r="AT73">
        <f t="shared" si="45"/>
        <v>4.3106911408763802</v>
      </c>
      <c r="AU73">
        <f t="shared" si="46"/>
        <v>4.7973577135022722</v>
      </c>
      <c r="AW73">
        <f t="shared" si="47"/>
        <v>13</v>
      </c>
      <c r="AX73" t="s">
        <v>23</v>
      </c>
      <c r="AY73" t="s">
        <v>18</v>
      </c>
      <c r="AZ73" s="16" t="s">
        <v>13</v>
      </c>
    </row>
    <row r="74" spans="1:52" x14ac:dyDescent="0.3">
      <c r="A74" t="s">
        <v>22</v>
      </c>
      <c r="B74" s="3">
        <v>44748</v>
      </c>
      <c r="C74">
        <f t="shared" si="26"/>
        <v>13</v>
      </c>
      <c r="D74" t="s">
        <v>23</v>
      </c>
      <c r="E74" t="s">
        <v>18</v>
      </c>
      <c r="F74" s="16" t="s">
        <v>14</v>
      </c>
      <c r="G74" s="16"/>
      <c r="H74" s="16"/>
      <c r="I74" s="19" t="s">
        <v>79</v>
      </c>
      <c r="J74" s="19">
        <v>21</v>
      </c>
      <c r="K74" s="19">
        <v>8</v>
      </c>
      <c r="L74" s="19"/>
      <c r="M74" s="18"/>
      <c r="P74" t="s">
        <v>79</v>
      </c>
      <c r="Q74" s="19">
        <v>97</v>
      </c>
      <c r="R74">
        <v>47</v>
      </c>
      <c r="V74" s="11">
        <f t="shared" si="27"/>
        <v>0</v>
      </c>
      <c r="W74" s="11">
        <f t="shared" si="28"/>
        <v>0</v>
      </c>
      <c r="X74" s="11" t="e">
        <f t="shared" si="29"/>
        <v>#VALUE!</v>
      </c>
      <c r="Y74" s="11">
        <f t="shared" si="30"/>
        <v>210000</v>
      </c>
      <c r="Z74" s="11">
        <f t="shared" si="31"/>
        <v>800000</v>
      </c>
      <c r="AA74" s="11">
        <f t="shared" si="32"/>
        <v>0</v>
      </c>
      <c r="AB74" s="13">
        <f t="shared" si="33"/>
        <v>0</v>
      </c>
      <c r="AC74" s="11">
        <f t="shared" si="34"/>
        <v>0</v>
      </c>
      <c r="AD74" s="11">
        <f t="shared" si="35"/>
        <v>0</v>
      </c>
      <c r="AE74" s="11" t="e">
        <f t="shared" si="36"/>
        <v>#VALUE!</v>
      </c>
      <c r="AF74" s="11">
        <f t="shared" si="37"/>
        <v>970000</v>
      </c>
      <c r="AG74" s="11">
        <f t="shared" si="38"/>
        <v>4700000</v>
      </c>
      <c r="AH74" s="11">
        <f t="shared" si="39"/>
        <v>0</v>
      </c>
      <c r="AI74" s="11">
        <f t="shared" si="40"/>
        <v>0</v>
      </c>
      <c r="AJ74" s="11"/>
      <c r="AK74" s="11">
        <f t="shared" si="24"/>
        <v>210000</v>
      </c>
      <c r="AL74" s="13">
        <f t="shared" si="25"/>
        <v>2835000</v>
      </c>
      <c r="AM74">
        <f t="shared" si="41"/>
        <v>5.3222192947339195</v>
      </c>
      <c r="AN74">
        <f t="shared" si="42"/>
        <v>6.4525530632289252</v>
      </c>
      <c r="AO74" s="11"/>
      <c r="AP74" s="11">
        <f>'Growth Parameters'!G69</f>
        <v>16.998999999999999</v>
      </c>
      <c r="AQ74" s="11"/>
      <c r="AR74" s="11">
        <f t="shared" si="43"/>
        <v>12353.66786281546</v>
      </c>
      <c r="AS74" s="13">
        <f t="shared" si="44"/>
        <v>166774.51614800873</v>
      </c>
      <c r="AT74">
        <f t="shared" si="45"/>
        <v>4.0917959208412791</v>
      </c>
      <c r="AU74">
        <f t="shared" si="46"/>
        <v>5.2221296893362847</v>
      </c>
      <c r="AW74">
        <f t="shared" si="47"/>
        <v>13</v>
      </c>
      <c r="AX74" t="s">
        <v>23</v>
      </c>
      <c r="AY74" t="s">
        <v>18</v>
      </c>
      <c r="AZ74" s="16" t="s">
        <v>14</v>
      </c>
    </row>
    <row r="75" spans="1:52" x14ac:dyDescent="0.3">
      <c r="A75" t="s">
        <v>22</v>
      </c>
      <c r="B75" s="3">
        <v>44748</v>
      </c>
      <c r="C75">
        <f t="shared" si="26"/>
        <v>13</v>
      </c>
      <c r="D75" t="s">
        <v>23</v>
      </c>
      <c r="E75" t="s">
        <v>19</v>
      </c>
      <c r="F75" s="16" t="s">
        <v>11</v>
      </c>
      <c r="G75" s="16"/>
      <c r="H75" s="16"/>
      <c r="I75" s="19" t="s">
        <v>79</v>
      </c>
      <c r="J75" s="19">
        <v>46</v>
      </c>
      <c r="K75" s="19">
        <v>2</v>
      </c>
      <c r="L75" s="19"/>
      <c r="M75" s="18"/>
      <c r="P75" t="s">
        <v>79</v>
      </c>
      <c r="Q75" s="19">
        <v>268</v>
      </c>
      <c r="R75">
        <v>16</v>
      </c>
      <c r="V75" s="11">
        <f t="shared" si="27"/>
        <v>0</v>
      </c>
      <c r="W75" s="11">
        <f t="shared" si="28"/>
        <v>0</v>
      </c>
      <c r="X75" s="11" t="e">
        <f t="shared" si="29"/>
        <v>#VALUE!</v>
      </c>
      <c r="Y75" s="11">
        <f t="shared" si="30"/>
        <v>460000</v>
      </c>
      <c r="Z75" s="11">
        <f t="shared" si="31"/>
        <v>200000</v>
      </c>
      <c r="AA75" s="11">
        <f t="shared" si="32"/>
        <v>0</v>
      </c>
      <c r="AB75" s="13">
        <f t="shared" si="33"/>
        <v>0</v>
      </c>
      <c r="AC75" s="11">
        <f t="shared" si="34"/>
        <v>0</v>
      </c>
      <c r="AD75" s="11">
        <f t="shared" si="35"/>
        <v>0</v>
      </c>
      <c r="AE75" s="11" t="e">
        <f t="shared" si="36"/>
        <v>#VALUE!</v>
      </c>
      <c r="AF75" s="11">
        <f t="shared" si="37"/>
        <v>2680000</v>
      </c>
      <c r="AG75" s="11">
        <f t="shared" si="38"/>
        <v>1600000</v>
      </c>
      <c r="AH75" s="11">
        <f t="shared" si="39"/>
        <v>0</v>
      </c>
      <c r="AI75" s="11">
        <f t="shared" si="40"/>
        <v>0</v>
      </c>
      <c r="AJ75" s="11"/>
      <c r="AK75" s="11">
        <f t="shared" si="24"/>
        <v>460000</v>
      </c>
      <c r="AL75" s="13">
        <f t="shared" si="25"/>
        <v>2680000</v>
      </c>
      <c r="AM75">
        <f t="shared" si="41"/>
        <v>5.6627578316815743</v>
      </c>
      <c r="AN75">
        <f t="shared" si="42"/>
        <v>6.4281347940287885</v>
      </c>
      <c r="AO75" s="11"/>
      <c r="AP75" s="11">
        <f>'Growth Parameters'!G70</f>
        <v>5.1820000000000004</v>
      </c>
      <c r="AQ75" s="11"/>
      <c r="AR75" s="11">
        <f t="shared" si="43"/>
        <v>88768.815129293696</v>
      </c>
      <c r="AS75" s="13">
        <f t="shared" si="44"/>
        <v>517174.83597066766</v>
      </c>
      <c r="AT75">
        <f t="shared" si="45"/>
        <v>4.9482604230317682</v>
      </c>
      <c r="AU75">
        <f t="shared" si="46"/>
        <v>5.7136373853789824</v>
      </c>
      <c r="AW75">
        <f t="shared" si="47"/>
        <v>13</v>
      </c>
      <c r="AX75" t="s">
        <v>23</v>
      </c>
      <c r="AY75" t="s">
        <v>19</v>
      </c>
      <c r="AZ75" s="16" t="s">
        <v>11</v>
      </c>
    </row>
    <row r="76" spans="1:52" x14ac:dyDescent="0.3">
      <c r="A76" t="s">
        <v>22</v>
      </c>
      <c r="B76" s="3">
        <v>44748</v>
      </c>
      <c r="C76">
        <f t="shared" si="26"/>
        <v>13</v>
      </c>
      <c r="D76" t="s">
        <v>23</v>
      </c>
      <c r="E76" t="s">
        <v>19</v>
      </c>
      <c r="F76" s="16" t="s">
        <v>12</v>
      </c>
      <c r="G76" s="16"/>
      <c r="H76" s="16"/>
      <c r="I76" s="16">
        <v>87</v>
      </c>
      <c r="J76" s="19">
        <v>8</v>
      </c>
      <c r="K76" s="19">
        <v>1</v>
      </c>
      <c r="L76" s="19"/>
      <c r="M76" s="18"/>
      <c r="P76" t="s">
        <v>79</v>
      </c>
      <c r="Q76" s="19">
        <v>100</v>
      </c>
      <c r="R76">
        <v>11</v>
      </c>
      <c r="V76" s="11">
        <f t="shared" si="27"/>
        <v>0</v>
      </c>
      <c r="W76" s="11">
        <f t="shared" si="28"/>
        <v>0</v>
      </c>
      <c r="X76" s="11">
        <f t="shared" si="29"/>
        <v>87000</v>
      </c>
      <c r="Y76" s="11">
        <f t="shared" si="30"/>
        <v>80000</v>
      </c>
      <c r="Z76" s="11">
        <f t="shared" si="31"/>
        <v>100000</v>
      </c>
      <c r="AA76" s="11">
        <f t="shared" si="32"/>
        <v>0</v>
      </c>
      <c r="AB76" s="13">
        <f t="shared" si="33"/>
        <v>0</v>
      </c>
      <c r="AC76" s="11">
        <f t="shared" si="34"/>
        <v>0</v>
      </c>
      <c r="AD76" s="11">
        <f t="shared" si="35"/>
        <v>0</v>
      </c>
      <c r="AE76" s="11" t="e">
        <f t="shared" si="36"/>
        <v>#VALUE!</v>
      </c>
      <c r="AF76" s="11">
        <f t="shared" si="37"/>
        <v>1000000</v>
      </c>
      <c r="AG76" s="11">
        <f t="shared" si="38"/>
        <v>1100000</v>
      </c>
      <c r="AH76" s="11">
        <f t="shared" si="39"/>
        <v>0</v>
      </c>
      <c r="AI76" s="11">
        <f t="shared" si="40"/>
        <v>0</v>
      </c>
      <c r="AJ76" s="11"/>
      <c r="AK76" s="11">
        <f t="shared" si="24"/>
        <v>87000</v>
      </c>
      <c r="AL76" s="13">
        <f t="shared" si="25"/>
        <v>1000000</v>
      </c>
      <c r="AM76">
        <f t="shared" si="41"/>
        <v>4.9395192526186182</v>
      </c>
      <c r="AN76">
        <f t="shared" si="42"/>
        <v>6</v>
      </c>
      <c r="AO76" s="11"/>
      <c r="AP76" s="11">
        <f>'Growth Parameters'!G71</f>
        <v>7.0270000000000001</v>
      </c>
      <c r="AQ76" s="11"/>
      <c r="AR76" s="11">
        <f t="shared" si="43"/>
        <v>12380.816849295574</v>
      </c>
      <c r="AS76" s="13">
        <f t="shared" si="44"/>
        <v>142308.23964707556</v>
      </c>
      <c r="AT76">
        <f t="shared" si="45"/>
        <v>4.0927492990814001</v>
      </c>
      <c r="AU76">
        <f t="shared" si="46"/>
        <v>5.1532300464627809</v>
      </c>
      <c r="AW76">
        <f t="shared" si="47"/>
        <v>13</v>
      </c>
      <c r="AX76" t="s">
        <v>23</v>
      </c>
      <c r="AY76" t="s">
        <v>19</v>
      </c>
      <c r="AZ76" s="16" t="s">
        <v>12</v>
      </c>
    </row>
    <row r="77" spans="1:52" x14ac:dyDescent="0.3">
      <c r="A77" t="s">
        <v>22</v>
      </c>
      <c r="B77" s="3">
        <v>44748</v>
      </c>
      <c r="C77">
        <f t="shared" si="26"/>
        <v>13</v>
      </c>
      <c r="D77" t="s">
        <v>23</v>
      </c>
      <c r="E77" t="s">
        <v>19</v>
      </c>
      <c r="F77" s="16" t="s">
        <v>13</v>
      </c>
      <c r="G77" s="16"/>
      <c r="H77" s="16"/>
      <c r="I77" s="19" t="s">
        <v>79</v>
      </c>
      <c r="J77" s="19">
        <v>10</v>
      </c>
      <c r="K77" s="19">
        <v>1</v>
      </c>
      <c r="L77" s="19"/>
      <c r="M77" s="18"/>
      <c r="P77" t="s">
        <v>79</v>
      </c>
      <c r="Q77" s="19">
        <v>172</v>
      </c>
      <c r="R77">
        <v>20</v>
      </c>
      <c r="V77" s="11">
        <f t="shared" si="27"/>
        <v>0</v>
      </c>
      <c r="W77" s="11">
        <f t="shared" si="28"/>
        <v>0</v>
      </c>
      <c r="X77" s="11" t="e">
        <f t="shared" si="29"/>
        <v>#VALUE!</v>
      </c>
      <c r="Y77" s="11">
        <f t="shared" si="30"/>
        <v>100000</v>
      </c>
      <c r="Z77" s="11">
        <f t="shared" si="31"/>
        <v>100000</v>
      </c>
      <c r="AA77" s="11">
        <f t="shared" si="32"/>
        <v>0</v>
      </c>
      <c r="AB77" s="13">
        <f t="shared" si="33"/>
        <v>0</v>
      </c>
      <c r="AC77" s="11">
        <f t="shared" si="34"/>
        <v>0</v>
      </c>
      <c r="AD77" s="11">
        <f t="shared" si="35"/>
        <v>0</v>
      </c>
      <c r="AE77" s="11" t="e">
        <f t="shared" si="36"/>
        <v>#VALUE!</v>
      </c>
      <c r="AF77" s="11">
        <f t="shared" si="37"/>
        <v>1720000</v>
      </c>
      <c r="AG77" s="11">
        <f t="shared" si="38"/>
        <v>2000000</v>
      </c>
      <c r="AH77" s="11">
        <f t="shared" si="39"/>
        <v>0</v>
      </c>
      <c r="AI77" s="11">
        <f t="shared" si="40"/>
        <v>0</v>
      </c>
      <c r="AJ77" s="11"/>
      <c r="AK77" s="11">
        <f t="shared" si="24"/>
        <v>100000</v>
      </c>
      <c r="AL77" s="13">
        <f t="shared" si="25"/>
        <v>1860000</v>
      </c>
      <c r="AM77">
        <f t="shared" si="41"/>
        <v>5</v>
      </c>
      <c r="AN77">
        <f t="shared" si="42"/>
        <v>6.2695129442179161</v>
      </c>
      <c r="AO77" s="11"/>
      <c r="AP77" s="11">
        <f>'Growth Parameters'!G72</f>
        <v>7.0410000000000004</v>
      </c>
      <c r="AQ77" s="11"/>
      <c r="AR77" s="11">
        <f t="shared" si="43"/>
        <v>14202.528049992898</v>
      </c>
      <c r="AS77" s="13">
        <f t="shared" si="44"/>
        <v>264167.02172986791</v>
      </c>
      <c r="AT77">
        <f t="shared" si="45"/>
        <v>4.152365655681745</v>
      </c>
      <c r="AU77">
        <f t="shared" si="46"/>
        <v>5.421878599899661</v>
      </c>
      <c r="AW77">
        <f t="shared" si="47"/>
        <v>13</v>
      </c>
      <c r="AX77" t="s">
        <v>23</v>
      </c>
      <c r="AY77" t="s">
        <v>19</v>
      </c>
      <c r="AZ77" s="16" t="s">
        <v>13</v>
      </c>
    </row>
    <row r="78" spans="1:52" x14ac:dyDescent="0.3">
      <c r="A78" t="s">
        <v>22</v>
      </c>
      <c r="B78" s="3">
        <v>44748</v>
      </c>
      <c r="C78">
        <f t="shared" si="26"/>
        <v>13</v>
      </c>
      <c r="D78" t="s">
        <v>23</v>
      </c>
      <c r="E78" t="s">
        <v>19</v>
      </c>
      <c r="F78" s="16" t="s">
        <v>14</v>
      </c>
      <c r="G78" s="16"/>
      <c r="H78" s="16"/>
      <c r="I78" s="19" t="s">
        <v>79</v>
      </c>
      <c r="J78" s="19">
        <v>4</v>
      </c>
      <c r="K78" s="19">
        <v>2</v>
      </c>
      <c r="L78" s="19"/>
      <c r="M78" s="18"/>
      <c r="P78" t="s">
        <v>79</v>
      </c>
      <c r="Q78" s="19">
        <v>182</v>
      </c>
      <c r="R78">
        <v>16</v>
      </c>
      <c r="V78" s="11">
        <f t="shared" si="27"/>
        <v>0</v>
      </c>
      <c r="W78" s="11">
        <f t="shared" si="28"/>
        <v>0</v>
      </c>
      <c r="X78" s="11" t="e">
        <f t="shared" si="29"/>
        <v>#VALUE!</v>
      </c>
      <c r="Y78" s="11">
        <f t="shared" si="30"/>
        <v>40000</v>
      </c>
      <c r="Z78" s="11">
        <f t="shared" si="31"/>
        <v>200000</v>
      </c>
      <c r="AA78" s="11">
        <f t="shared" si="32"/>
        <v>0</v>
      </c>
      <c r="AB78" s="13">
        <f t="shared" si="33"/>
        <v>0</v>
      </c>
      <c r="AC78" s="11">
        <f t="shared" si="34"/>
        <v>0</v>
      </c>
      <c r="AD78" s="11">
        <f t="shared" si="35"/>
        <v>0</v>
      </c>
      <c r="AE78" s="11" t="e">
        <f t="shared" si="36"/>
        <v>#VALUE!</v>
      </c>
      <c r="AF78" s="11">
        <f t="shared" si="37"/>
        <v>1820000</v>
      </c>
      <c r="AG78" s="11">
        <f t="shared" si="38"/>
        <v>1600000</v>
      </c>
      <c r="AH78" s="11">
        <f t="shared" si="39"/>
        <v>0</v>
      </c>
      <c r="AI78" s="11">
        <f t="shared" si="40"/>
        <v>0</v>
      </c>
      <c r="AJ78" s="11"/>
      <c r="AK78" s="11">
        <f>AVERAGEIFS(V78:AB78,G78:M78,"&lt;=400",G78:M78,"&gt;=4")</f>
        <v>40000</v>
      </c>
      <c r="AL78" s="13">
        <f t="shared" si="25"/>
        <v>1820000</v>
      </c>
      <c r="AM78">
        <f t="shared" si="41"/>
        <v>4.6020599913279625</v>
      </c>
      <c r="AN78">
        <f t="shared" si="42"/>
        <v>6.2600713879850751</v>
      </c>
      <c r="AO78" s="11"/>
      <c r="AP78" s="11">
        <f>'Growth Parameters'!G73</f>
        <v>5.9619999999999997</v>
      </c>
      <c r="AQ78" s="11"/>
      <c r="AR78" s="11">
        <f t="shared" si="43"/>
        <v>6709.1580006709164</v>
      </c>
      <c r="AS78" s="13">
        <f t="shared" si="44"/>
        <v>305266.68903052667</v>
      </c>
      <c r="AT78">
        <f t="shared" si="45"/>
        <v>3.8266680196313505</v>
      </c>
      <c r="AU78">
        <f t="shared" si="46"/>
        <v>5.4846794162884631</v>
      </c>
      <c r="AW78">
        <f t="shared" si="47"/>
        <v>13</v>
      </c>
      <c r="AX78" t="s">
        <v>23</v>
      </c>
      <c r="AY78" t="s">
        <v>19</v>
      </c>
      <c r="AZ78" s="16" t="s">
        <v>14</v>
      </c>
    </row>
    <row r="79" spans="1:52" x14ac:dyDescent="0.3">
      <c r="A79" t="s">
        <v>22</v>
      </c>
      <c r="B79" s="3">
        <v>44750</v>
      </c>
      <c r="C79">
        <f t="shared" si="26"/>
        <v>15</v>
      </c>
      <c r="D79" t="s">
        <v>23</v>
      </c>
      <c r="E79" t="s">
        <v>17</v>
      </c>
      <c r="F79" s="16" t="s">
        <v>11</v>
      </c>
      <c r="G79" s="16"/>
      <c r="H79" s="16"/>
      <c r="I79" s="16">
        <v>100</v>
      </c>
      <c r="J79" s="19">
        <v>14</v>
      </c>
      <c r="K79" s="19">
        <v>1</v>
      </c>
      <c r="L79" s="19"/>
      <c r="M79" s="18"/>
      <c r="P79" t="s">
        <v>79</v>
      </c>
      <c r="Q79" s="19">
        <v>423</v>
      </c>
      <c r="R79">
        <v>90</v>
      </c>
      <c r="V79" s="11">
        <f t="shared" si="27"/>
        <v>0</v>
      </c>
      <c r="W79" s="11">
        <f t="shared" si="28"/>
        <v>0</v>
      </c>
      <c r="X79" s="11">
        <f t="shared" si="29"/>
        <v>100000</v>
      </c>
      <c r="Y79" s="11">
        <f t="shared" si="30"/>
        <v>140000</v>
      </c>
      <c r="Z79" s="11">
        <f t="shared" si="31"/>
        <v>100000</v>
      </c>
      <c r="AA79" s="11">
        <f t="shared" si="32"/>
        <v>0</v>
      </c>
      <c r="AB79" s="13">
        <f t="shared" si="33"/>
        <v>0</v>
      </c>
      <c r="AC79" s="11">
        <f t="shared" si="34"/>
        <v>0</v>
      </c>
      <c r="AD79" s="11">
        <f t="shared" si="35"/>
        <v>0</v>
      </c>
      <c r="AE79" s="11" t="e">
        <f t="shared" si="36"/>
        <v>#VALUE!</v>
      </c>
      <c r="AF79" s="11">
        <f t="shared" si="37"/>
        <v>4230000</v>
      </c>
      <c r="AG79" s="11">
        <f t="shared" si="38"/>
        <v>9000000</v>
      </c>
      <c r="AH79" s="11">
        <f t="shared" si="39"/>
        <v>0</v>
      </c>
      <c r="AI79" s="11">
        <f t="shared" si="40"/>
        <v>0</v>
      </c>
      <c r="AJ79" s="11"/>
      <c r="AK79" s="11">
        <f t="shared" si="24"/>
        <v>120000</v>
      </c>
      <c r="AL79" s="13">
        <f t="shared" si="25"/>
        <v>9000000</v>
      </c>
      <c r="AM79">
        <f t="shared" si="41"/>
        <v>5.0791812460476251</v>
      </c>
      <c r="AN79">
        <f t="shared" si="42"/>
        <v>6.9542425094393252</v>
      </c>
      <c r="AO79" s="11"/>
      <c r="AP79" s="11">
        <f>'Growth Parameters'!G74</f>
        <v>15.955</v>
      </c>
      <c r="AQ79" s="11"/>
      <c r="AR79" s="11">
        <f t="shared" si="43"/>
        <v>7521.153243497336</v>
      </c>
      <c r="AS79" s="13">
        <f t="shared" si="44"/>
        <v>564086.49326230027</v>
      </c>
      <c r="AT79">
        <f t="shared" si="45"/>
        <v>3.8762844375180956</v>
      </c>
      <c r="AU79">
        <f t="shared" si="46"/>
        <v>5.7513457009097957</v>
      </c>
      <c r="AW79">
        <f t="shared" si="47"/>
        <v>15</v>
      </c>
      <c r="AX79" t="s">
        <v>23</v>
      </c>
      <c r="AY79" t="s">
        <v>17</v>
      </c>
      <c r="AZ79" s="16" t="s">
        <v>11</v>
      </c>
    </row>
    <row r="80" spans="1:52" x14ac:dyDescent="0.3">
      <c r="A80" t="s">
        <v>22</v>
      </c>
      <c r="B80" s="3">
        <v>44750</v>
      </c>
      <c r="C80">
        <f t="shared" si="26"/>
        <v>15</v>
      </c>
      <c r="D80" t="s">
        <v>23</v>
      </c>
      <c r="E80" t="s">
        <v>17</v>
      </c>
      <c r="F80" s="16" t="s">
        <v>12</v>
      </c>
      <c r="G80" s="16"/>
      <c r="H80" s="16"/>
      <c r="I80" s="16">
        <v>150</v>
      </c>
      <c r="J80" s="19">
        <v>38</v>
      </c>
      <c r="K80" s="19">
        <v>0</v>
      </c>
      <c r="L80" s="19"/>
      <c r="M80" s="18"/>
      <c r="P80" t="s">
        <v>79</v>
      </c>
      <c r="Q80" t="s">
        <v>79</v>
      </c>
      <c r="R80">
        <v>49</v>
      </c>
      <c r="V80" s="11">
        <f t="shared" si="27"/>
        <v>0</v>
      </c>
      <c r="W80" s="11">
        <f t="shared" si="28"/>
        <v>0</v>
      </c>
      <c r="X80" s="11">
        <f t="shared" si="29"/>
        <v>150000</v>
      </c>
      <c r="Y80" s="11">
        <f t="shared" si="30"/>
        <v>380000</v>
      </c>
      <c r="Z80" s="11">
        <f t="shared" si="31"/>
        <v>0</v>
      </c>
      <c r="AA80" s="11">
        <f t="shared" si="32"/>
        <v>0</v>
      </c>
      <c r="AB80" s="13">
        <f t="shared" si="33"/>
        <v>0</v>
      </c>
      <c r="AC80" s="11">
        <f t="shared" si="34"/>
        <v>0</v>
      </c>
      <c r="AD80" s="11">
        <f t="shared" si="35"/>
        <v>0</v>
      </c>
      <c r="AE80" s="11" t="e">
        <f t="shared" si="36"/>
        <v>#VALUE!</v>
      </c>
      <c r="AF80" s="11" t="e">
        <f t="shared" si="37"/>
        <v>#VALUE!</v>
      </c>
      <c r="AG80" s="11">
        <f t="shared" si="38"/>
        <v>4900000</v>
      </c>
      <c r="AH80" s="11">
        <f t="shared" si="39"/>
        <v>0</v>
      </c>
      <c r="AI80" s="11">
        <f t="shared" si="40"/>
        <v>0</v>
      </c>
      <c r="AJ80" s="11"/>
      <c r="AK80" s="11">
        <f t="shared" si="24"/>
        <v>265000</v>
      </c>
      <c r="AL80" s="13">
        <f t="shared" si="25"/>
        <v>4900000</v>
      </c>
      <c r="AM80">
        <f t="shared" si="41"/>
        <v>5.4232458739368079</v>
      </c>
      <c r="AN80">
        <f t="shared" si="42"/>
        <v>6.6901960800285138</v>
      </c>
      <c r="AO80" s="11"/>
      <c r="AP80" s="11">
        <f>'Growth Parameters'!G75</f>
        <v>21.89</v>
      </c>
      <c r="AQ80" s="11"/>
      <c r="AR80" s="11">
        <f t="shared" si="43"/>
        <v>12105.984467793513</v>
      </c>
      <c r="AS80" s="13">
        <f t="shared" si="44"/>
        <v>223846.50525354041</v>
      </c>
      <c r="AT80">
        <f t="shared" si="45"/>
        <v>4.0830001123688762</v>
      </c>
      <c r="AU80">
        <f t="shared" si="46"/>
        <v>5.3499503184605821</v>
      </c>
      <c r="AW80">
        <f t="shared" si="47"/>
        <v>15</v>
      </c>
      <c r="AX80" t="s">
        <v>23</v>
      </c>
      <c r="AY80" t="s">
        <v>17</v>
      </c>
      <c r="AZ80" s="16" t="s">
        <v>12</v>
      </c>
    </row>
    <row r="81" spans="1:52" x14ac:dyDescent="0.3">
      <c r="A81" t="s">
        <v>22</v>
      </c>
      <c r="B81" s="3">
        <v>44750</v>
      </c>
      <c r="C81">
        <f t="shared" si="26"/>
        <v>15</v>
      </c>
      <c r="D81" t="s">
        <v>23</v>
      </c>
      <c r="E81" t="s">
        <v>17</v>
      </c>
      <c r="F81" s="16" t="s">
        <v>13</v>
      </c>
      <c r="G81" s="16"/>
      <c r="H81" s="16"/>
      <c r="I81" s="16" t="s">
        <v>79</v>
      </c>
      <c r="J81" s="19">
        <v>96</v>
      </c>
      <c r="K81" s="19">
        <v>14</v>
      </c>
      <c r="L81" s="19"/>
      <c r="M81" s="18"/>
      <c r="P81" t="s">
        <v>79</v>
      </c>
      <c r="Q81" t="s">
        <v>79</v>
      </c>
      <c r="R81">
        <v>167</v>
      </c>
      <c r="V81" s="11">
        <f t="shared" si="27"/>
        <v>0</v>
      </c>
      <c r="W81" s="11">
        <f t="shared" si="28"/>
        <v>0</v>
      </c>
      <c r="X81" s="11" t="e">
        <f t="shared" si="29"/>
        <v>#VALUE!</v>
      </c>
      <c r="Y81" s="11">
        <f t="shared" si="30"/>
        <v>960000</v>
      </c>
      <c r="Z81" s="11">
        <f t="shared" si="31"/>
        <v>1400000</v>
      </c>
      <c r="AA81" s="11">
        <f t="shared" si="32"/>
        <v>0</v>
      </c>
      <c r="AB81" s="13">
        <f t="shared" si="33"/>
        <v>0</v>
      </c>
      <c r="AC81" s="11">
        <f t="shared" si="34"/>
        <v>0</v>
      </c>
      <c r="AD81" s="11">
        <f t="shared" si="35"/>
        <v>0</v>
      </c>
      <c r="AE81" s="11" t="e">
        <f t="shared" si="36"/>
        <v>#VALUE!</v>
      </c>
      <c r="AF81" s="11" t="e">
        <f t="shared" si="37"/>
        <v>#VALUE!</v>
      </c>
      <c r="AG81" s="11">
        <f t="shared" si="38"/>
        <v>16700000</v>
      </c>
      <c r="AH81" s="11">
        <f t="shared" si="39"/>
        <v>0</v>
      </c>
      <c r="AI81" s="11">
        <f t="shared" si="40"/>
        <v>0</v>
      </c>
      <c r="AJ81" s="11"/>
      <c r="AK81" s="11">
        <f t="shared" si="24"/>
        <v>1180000</v>
      </c>
      <c r="AL81" s="13">
        <f t="shared" si="25"/>
        <v>16700000</v>
      </c>
      <c r="AM81">
        <f t="shared" si="41"/>
        <v>6.071882007306125</v>
      </c>
      <c r="AN81">
        <f t="shared" si="42"/>
        <v>7.2227164711475833</v>
      </c>
      <c r="AO81" s="11"/>
      <c r="AP81" s="11">
        <f>'Growth Parameters'!G76</f>
        <v>16.369</v>
      </c>
      <c r="AQ81" s="11"/>
      <c r="AR81" s="11">
        <f t="shared" si="43"/>
        <v>72087.482436312537</v>
      </c>
      <c r="AS81" s="13">
        <f t="shared" si="44"/>
        <v>1020221.1497342538</v>
      </c>
      <c r="AT81">
        <f t="shared" si="45"/>
        <v>4.8578598586056927</v>
      </c>
      <c r="AU81">
        <f t="shared" si="46"/>
        <v>6.0086943224471501</v>
      </c>
      <c r="AW81">
        <f t="shared" si="47"/>
        <v>15</v>
      </c>
      <c r="AX81" t="s">
        <v>23</v>
      </c>
      <c r="AY81" t="s">
        <v>17</v>
      </c>
      <c r="AZ81" s="16" t="s">
        <v>13</v>
      </c>
    </row>
    <row r="82" spans="1:52" x14ac:dyDescent="0.3">
      <c r="A82" t="s">
        <v>22</v>
      </c>
      <c r="B82" s="3">
        <v>44750</v>
      </c>
      <c r="C82">
        <f t="shared" si="26"/>
        <v>15</v>
      </c>
      <c r="D82" t="s">
        <v>23</v>
      </c>
      <c r="E82" t="s">
        <v>17</v>
      </c>
      <c r="F82" s="16" t="s">
        <v>14</v>
      </c>
      <c r="G82" s="16"/>
      <c r="H82" s="16"/>
      <c r="I82" s="16" t="s">
        <v>79</v>
      </c>
      <c r="J82" s="19">
        <v>67</v>
      </c>
      <c r="K82" s="19">
        <v>10</v>
      </c>
      <c r="L82" s="19"/>
      <c r="M82" s="18"/>
      <c r="P82" t="s">
        <v>79</v>
      </c>
      <c r="Q82" t="s">
        <v>79</v>
      </c>
      <c r="R82">
        <v>108</v>
      </c>
      <c r="V82" s="11">
        <f t="shared" si="27"/>
        <v>0</v>
      </c>
      <c r="W82" s="11">
        <f t="shared" si="28"/>
        <v>0</v>
      </c>
      <c r="X82" s="11" t="e">
        <f t="shared" si="29"/>
        <v>#VALUE!</v>
      </c>
      <c r="Y82" s="11">
        <f t="shared" si="30"/>
        <v>670000</v>
      </c>
      <c r="Z82" s="11">
        <f t="shared" si="31"/>
        <v>1000000</v>
      </c>
      <c r="AA82" s="11">
        <f t="shared" si="32"/>
        <v>0</v>
      </c>
      <c r="AB82" s="13">
        <f t="shared" si="33"/>
        <v>0</v>
      </c>
      <c r="AC82" s="11">
        <f t="shared" si="34"/>
        <v>0</v>
      </c>
      <c r="AD82" s="11">
        <f t="shared" si="35"/>
        <v>0</v>
      </c>
      <c r="AE82" s="11" t="e">
        <f t="shared" si="36"/>
        <v>#VALUE!</v>
      </c>
      <c r="AF82" s="11" t="e">
        <f t="shared" si="37"/>
        <v>#VALUE!</v>
      </c>
      <c r="AG82" s="11">
        <f t="shared" si="38"/>
        <v>10800000</v>
      </c>
      <c r="AH82" s="11">
        <f t="shared" si="39"/>
        <v>0</v>
      </c>
      <c r="AI82" s="11">
        <f t="shared" si="40"/>
        <v>0</v>
      </c>
      <c r="AJ82" s="11"/>
      <c r="AK82" s="11">
        <f t="shared" si="24"/>
        <v>835000</v>
      </c>
      <c r="AL82" s="13">
        <f t="shared" si="25"/>
        <v>10800000</v>
      </c>
      <c r="AM82">
        <f t="shared" si="41"/>
        <v>5.9216864754836021</v>
      </c>
      <c r="AN82">
        <f t="shared" si="42"/>
        <v>7.0334237554869494</v>
      </c>
      <c r="AO82" s="11"/>
      <c r="AP82" s="11">
        <f>'Growth Parameters'!G77</f>
        <v>22.98</v>
      </c>
      <c r="AQ82" s="11"/>
      <c r="AR82" s="11">
        <f t="shared" si="43"/>
        <v>36335.944299390772</v>
      </c>
      <c r="AS82" s="13">
        <f t="shared" si="44"/>
        <v>469973.89033942559</v>
      </c>
      <c r="AT82">
        <f t="shared" si="45"/>
        <v>4.5603364511313353</v>
      </c>
      <c r="AU82">
        <f t="shared" si="46"/>
        <v>5.6720737311346836</v>
      </c>
      <c r="AW82">
        <f t="shared" si="47"/>
        <v>15</v>
      </c>
      <c r="AX82" t="s">
        <v>23</v>
      </c>
      <c r="AY82" t="s">
        <v>17</v>
      </c>
      <c r="AZ82" s="16" t="s">
        <v>14</v>
      </c>
    </row>
    <row r="83" spans="1:52" x14ac:dyDescent="0.3">
      <c r="A83" t="s">
        <v>22</v>
      </c>
      <c r="B83" s="3">
        <v>44750</v>
      </c>
      <c r="C83">
        <f t="shared" si="26"/>
        <v>15</v>
      </c>
      <c r="D83" t="s">
        <v>23</v>
      </c>
      <c r="E83" t="s">
        <v>91</v>
      </c>
      <c r="F83" s="16" t="s">
        <v>11</v>
      </c>
      <c r="G83" s="16"/>
      <c r="H83" s="16"/>
      <c r="I83" s="16" t="s">
        <v>79</v>
      </c>
      <c r="J83" s="19">
        <v>188</v>
      </c>
      <c r="K83" s="19">
        <v>38</v>
      </c>
      <c r="L83" s="19"/>
      <c r="M83" s="18"/>
      <c r="P83" t="s">
        <v>79</v>
      </c>
      <c r="Q83">
        <v>316</v>
      </c>
      <c r="R83">
        <v>40</v>
      </c>
      <c r="V83" s="11">
        <f t="shared" si="27"/>
        <v>0</v>
      </c>
      <c r="W83" s="11">
        <f t="shared" si="28"/>
        <v>0</v>
      </c>
      <c r="X83" s="11" t="e">
        <f t="shared" si="29"/>
        <v>#VALUE!</v>
      </c>
      <c r="Y83" s="11">
        <f t="shared" si="30"/>
        <v>1880000</v>
      </c>
      <c r="Z83" s="11">
        <f t="shared" si="31"/>
        <v>3800000</v>
      </c>
      <c r="AA83" s="11">
        <f t="shared" si="32"/>
        <v>0</v>
      </c>
      <c r="AB83" s="13">
        <f t="shared" si="33"/>
        <v>0</v>
      </c>
      <c r="AC83" s="11">
        <f t="shared" si="34"/>
        <v>0</v>
      </c>
      <c r="AD83" s="11">
        <f t="shared" si="35"/>
        <v>0</v>
      </c>
      <c r="AE83" s="11" t="e">
        <f t="shared" si="36"/>
        <v>#VALUE!</v>
      </c>
      <c r="AF83" s="11">
        <f t="shared" si="37"/>
        <v>3160000</v>
      </c>
      <c r="AG83" s="11">
        <f t="shared" si="38"/>
        <v>4000000</v>
      </c>
      <c r="AH83" s="11">
        <f t="shared" si="39"/>
        <v>0</v>
      </c>
      <c r="AI83" s="11">
        <f t="shared" si="40"/>
        <v>0</v>
      </c>
      <c r="AJ83" s="11"/>
      <c r="AK83" s="11">
        <f t="shared" si="24"/>
        <v>2840000</v>
      </c>
      <c r="AL83" s="13">
        <f t="shared" si="25"/>
        <v>3580000</v>
      </c>
      <c r="AM83">
        <f t="shared" si="41"/>
        <v>6.453318340047038</v>
      </c>
      <c r="AN83">
        <f t="shared" si="42"/>
        <v>6.5538830266438746</v>
      </c>
      <c r="AO83" s="11"/>
      <c r="AP83" s="11">
        <f>'Growth Parameters'!G78</f>
        <v>18.736000000000001</v>
      </c>
      <c r="AQ83" s="11"/>
      <c r="AR83" s="11">
        <f t="shared" si="43"/>
        <v>151579.84628522629</v>
      </c>
      <c r="AS83" s="13">
        <f t="shared" si="44"/>
        <v>191076.00341588384</v>
      </c>
      <c r="AT83">
        <f t="shared" si="45"/>
        <v>5.18064146231875</v>
      </c>
      <c r="AU83">
        <f t="shared" si="46"/>
        <v>5.2812061489155866</v>
      </c>
      <c r="AW83">
        <f t="shared" si="47"/>
        <v>15</v>
      </c>
      <c r="AX83" t="s">
        <v>23</v>
      </c>
      <c r="AY83" t="s">
        <v>91</v>
      </c>
      <c r="AZ83" s="16" t="s">
        <v>11</v>
      </c>
    </row>
    <row r="84" spans="1:52" x14ac:dyDescent="0.3">
      <c r="A84" t="s">
        <v>22</v>
      </c>
      <c r="B84" s="3">
        <v>44750</v>
      </c>
      <c r="C84">
        <f t="shared" si="26"/>
        <v>15</v>
      </c>
      <c r="D84" t="s">
        <v>23</v>
      </c>
      <c r="E84" t="s">
        <v>91</v>
      </c>
      <c r="F84" s="16" t="s">
        <v>12</v>
      </c>
      <c r="G84" s="16"/>
      <c r="H84" s="16"/>
      <c r="I84" s="16" t="s">
        <v>79</v>
      </c>
      <c r="J84" s="19">
        <v>113</v>
      </c>
      <c r="K84" s="19">
        <v>14</v>
      </c>
      <c r="L84" s="19"/>
      <c r="M84" s="18"/>
      <c r="P84" t="s">
        <v>79</v>
      </c>
      <c r="Q84">
        <v>205</v>
      </c>
      <c r="R84">
        <v>35</v>
      </c>
      <c r="V84" s="11">
        <f t="shared" si="27"/>
        <v>0</v>
      </c>
      <c r="W84" s="11">
        <f t="shared" si="28"/>
        <v>0</v>
      </c>
      <c r="X84" s="11" t="e">
        <f t="shared" si="29"/>
        <v>#VALUE!</v>
      </c>
      <c r="Y84" s="11">
        <f t="shared" si="30"/>
        <v>1130000</v>
      </c>
      <c r="Z84" s="11">
        <f t="shared" si="31"/>
        <v>1400000</v>
      </c>
      <c r="AA84" s="11">
        <f t="shared" si="32"/>
        <v>0</v>
      </c>
      <c r="AB84" s="13">
        <f t="shared" si="33"/>
        <v>0</v>
      </c>
      <c r="AC84" s="11">
        <f t="shared" si="34"/>
        <v>0</v>
      </c>
      <c r="AD84" s="11">
        <f t="shared" si="35"/>
        <v>0</v>
      </c>
      <c r="AE84" s="11" t="e">
        <f t="shared" si="36"/>
        <v>#VALUE!</v>
      </c>
      <c r="AF84" s="11">
        <f t="shared" si="37"/>
        <v>2050000</v>
      </c>
      <c r="AG84" s="11">
        <f t="shared" si="38"/>
        <v>3500000</v>
      </c>
      <c r="AH84" s="11">
        <f t="shared" si="39"/>
        <v>0</v>
      </c>
      <c r="AI84" s="11">
        <f t="shared" si="40"/>
        <v>0</v>
      </c>
      <c r="AJ84" s="11"/>
      <c r="AK84" s="11">
        <f t="shared" si="24"/>
        <v>1265000</v>
      </c>
      <c r="AL84" s="13">
        <f t="shared" si="25"/>
        <v>2775000</v>
      </c>
      <c r="AM84">
        <f t="shared" si="41"/>
        <v>6.1020905255118363</v>
      </c>
      <c r="AN84">
        <f t="shared" si="42"/>
        <v>6.4432629874586951</v>
      </c>
      <c r="AO84" s="11"/>
      <c r="AP84" s="11">
        <f>'Growth Parameters'!G79</f>
        <v>13.038</v>
      </c>
      <c r="AQ84" s="11"/>
      <c r="AR84" s="11">
        <f t="shared" si="43"/>
        <v>97024.083448381658</v>
      </c>
      <c r="AS84" s="13">
        <f t="shared" si="44"/>
        <v>212839.39254486884</v>
      </c>
      <c r="AT84">
        <f t="shared" si="45"/>
        <v>4.9868795488076687</v>
      </c>
      <c r="AU84">
        <f t="shared" si="46"/>
        <v>5.3280520107545266</v>
      </c>
      <c r="AW84">
        <f t="shared" si="47"/>
        <v>15</v>
      </c>
      <c r="AX84" t="s">
        <v>23</v>
      </c>
      <c r="AY84" t="s">
        <v>91</v>
      </c>
      <c r="AZ84" s="16" t="s">
        <v>12</v>
      </c>
    </row>
    <row r="85" spans="1:52" x14ac:dyDescent="0.3">
      <c r="A85" t="s">
        <v>22</v>
      </c>
      <c r="B85" s="3">
        <v>44750</v>
      </c>
      <c r="C85">
        <f t="shared" si="26"/>
        <v>15</v>
      </c>
      <c r="D85" t="s">
        <v>23</v>
      </c>
      <c r="E85" t="s">
        <v>91</v>
      </c>
      <c r="F85" s="16" t="s">
        <v>13</v>
      </c>
      <c r="G85" s="16"/>
      <c r="H85" s="16"/>
      <c r="I85" s="16" t="s">
        <v>79</v>
      </c>
      <c r="J85" s="19">
        <v>212</v>
      </c>
      <c r="K85" s="19">
        <v>13</v>
      </c>
      <c r="L85" s="19"/>
      <c r="M85" s="18"/>
      <c r="P85" t="s">
        <v>79</v>
      </c>
      <c r="Q85" t="s">
        <v>79</v>
      </c>
      <c r="R85">
        <v>51</v>
      </c>
      <c r="V85" s="11">
        <f t="shared" si="27"/>
        <v>0</v>
      </c>
      <c r="W85" s="11">
        <f t="shared" si="28"/>
        <v>0</v>
      </c>
      <c r="X85" s="11" t="e">
        <f t="shared" si="29"/>
        <v>#VALUE!</v>
      </c>
      <c r="Y85" s="11">
        <f t="shared" si="30"/>
        <v>2120000</v>
      </c>
      <c r="Z85" s="11">
        <f t="shared" si="31"/>
        <v>1300000</v>
      </c>
      <c r="AA85" s="11">
        <f t="shared" si="32"/>
        <v>0</v>
      </c>
      <c r="AB85" s="13">
        <f t="shared" si="33"/>
        <v>0</v>
      </c>
      <c r="AC85" s="11">
        <f t="shared" si="34"/>
        <v>0</v>
      </c>
      <c r="AD85" s="11">
        <f t="shared" si="35"/>
        <v>0</v>
      </c>
      <c r="AE85" s="11" t="e">
        <f t="shared" si="36"/>
        <v>#VALUE!</v>
      </c>
      <c r="AF85" s="11" t="e">
        <f t="shared" si="37"/>
        <v>#VALUE!</v>
      </c>
      <c r="AG85" s="11">
        <f t="shared" si="38"/>
        <v>5100000</v>
      </c>
      <c r="AH85" s="11">
        <f t="shared" si="39"/>
        <v>0</v>
      </c>
      <c r="AI85" s="11">
        <f t="shared" si="40"/>
        <v>0</v>
      </c>
      <c r="AJ85" s="11"/>
      <c r="AK85" s="11">
        <f t="shared" si="24"/>
        <v>1710000</v>
      </c>
      <c r="AL85" s="13">
        <f t="shared" si="25"/>
        <v>5100000</v>
      </c>
      <c r="AM85">
        <f t="shared" si="41"/>
        <v>6.2329961103921541</v>
      </c>
      <c r="AN85">
        <f t="shared" si="42"/>
        <v>6.7075701760979367</v>
      </c>
      <c r="AO85" s="11"/>
      <c r="AP85" s="11">
        <f>'Growth Parameters'!G80</f>
        <v>15.483000000000001</v>
      </c>
      <c r="AQ85" s="11"/>
      <c r="AR85" s="11">
        <f t="shared" si="43"/>
        <v>110443.7124588258</v>
      </c>
      <c r="AS85" s="13">
        <f t="shared" si="44"/>
        <v>329393.52838597167</v>
      </c>
      <c r="AT85">
        <f t="shared" si="45"/>
        <v>5.0431409966025393</v>
      </c>
      <c r="AU85">
        <f t="shared" si="46"/>
        <v>5.517715062308322</v>
      </c>
      <c r="AW85">
        <f t="shared" si="47"/>
        <v>15</v>
      </c>
      <c r="AX85" t="s">
        <v>23</v>
      </c>
      <c r="AY85" t="s">
        <v>91</v>
      </c>
      <c r="AZ85" s="16" t="s">
        <v>13</v>
      </c>
    </row>
    <row r="86" spans="1:52" x14ac:dyDescent="0.3">
      <c r="A86" t="s">
        <v>22</v>
      </c>
      <c r="B86" s="3">
        <v>44750</v>
      </c>
      <c r="C86">
        <f t="shared" si="26"/>
        <v>15</v>
      </c>
      <c r="D86" t="s">
        <v>23</v>
      </c>
      <c r="E86" t="s">
        <v>91</v>
      </c>
      <c r="F86" s="16" t="s">
        <v>14</v>
      </c>
      <c r="G86" s="16"/>
      <c r="H86" s="16"/>
      <c r="I86" s="16" t="s">
        <v>79</v>
      </c>
      <c r="J86" s="19">
        <v>40</v>
      </c>
      <c r="K86" s="19">
        <v>4</v>
      </c>
      <c r="L86" s="19"/>
      <c r="M86" s="18"/>
      <c r="P86" t="s">
        <v>79</v>
      </c>
      <c r="Q86" t="s">
        <v>79</v>
      </c>
      <c r="R86">
        <v>75</v>
      </c>
      <c r="V86" s="11">
        <f t="shared" si="27"/>
        <v>0</v>
      </c>
      <c r="W86" s="11">
        <f t="shared" si="28"/>
        <v>0</v>
      </c>
      <c r="X86" s="11" t="e">
        <f t="shared" si="29"/>
        <v>#VALUE!</v>
      </c>
      <c r="Y86" s="11">
        <f t="shared" si="30"/>
        <v>400000</v>
      </c>
      <c r="Z86" s="11">
        <f t="shared" si="31"/>
        <v>400000</v>
      </c>
      <c r="AA86" s="11">
        <f t="shared" si="32"/>
        <v>0</v>
      </c>
      <c r="AB86" s="13">
        <f t="shared" si="33"/>
        <v>0</v>
      </c>
      <c r="AC86" s="11">
        <f t="shared" si="34"/>
        <v>0</v>
      </c>
      <c r="AD86" s="11">
        <f t="shared" si="35"/>
        <v>0</v>
      </c>
      <c r="AE86" s="11" t="e">
        <f t="shared" si="36"/>
        <v>#VALUE!</v>
      </c>
      <c r="AF86" s="11" t="e">
        <f t="shared" si="37"/>
        <v>#VALUE!</v>
      </c>
      <c r="AG86" s="11">
        <f t="shared" si="38"/>
        <v>7500000</v>
      </c>
      <c r="AH86" s="11">
        <f t="shared" si="39"/>
        <v>0</v>
      </c>
      <c r="AI86" s="11">
        <f t="shared" si="40"/>
        <v>0</v>
      </c>
      <c r="AJ86" s="11"/>
      <c r="AK86" s="11">
        <f t="shared" si="24"/>
        <v>400000</v>
      </c>
      <c r="AL86" s="13">
        <f t="shared" si="25"/>
        <v>7500000</v>
      </c>
      <c r="AM86">
        <f t="shared" si="41"/>
        <v>5.6020599913279625</v>
      </c>
      <c r="AN86">
        <f t="shared" si="42"/>
        <v>6.8750612633917001</v>
      </c>
      <c r="AO86" s="11"/>
      <c r="AP86" s="11">
        <f>'Growth Parameters'!G81</f>
        <v>14.356</v>
      </c>
      <c r="AQ86" s="11"/>
      <c r="AR86" s="11">
        <f t="shared" si="43"/>
        <v>27862.914460852604</v>
      </c>
      <c r="AS86" s="13">
        <f t="shared" si="44"/>
        <v>522429.64614098636</v>
      </c>
      <c r="AT86">
        <f t="shared" si="45"/>
        <v>4.4450265416667598</v>
      </c>
      <c r="AU86">
        <f t="shared" si="46"/>
        <v>5.7180278137304974</v>
      </c>
      <c r="AW86">
        <f t="shared" si="47"/>
        <v>15</v>
      </c>
      <c r="AX86" t="s">
        <v>23</v>
      </c>
      <c r="AY86" t="s">
        <v>91</v>
      </c>
      <c r="AZ86" s="16" t="s">
        <v>14</v>
      </c>
    </row>
    <row r="87" spans="1:52" x14ac:dyDescent="0.3">
      <c r="A87" t="s">
        <v>22</v>
      </c>
      <c r="B87" s="3">
        <v>44750</v>
      </c>
      <c r="C87">
        <f t="shared" si="26"/>
        <v>15</v>
      </c>
      <c r="D87" t="s">
        <v>23</v>
      </c>
      <c r="E87" t="s">
        <v>18</v>
      </c>
      <c r="F87" s="16" t="s">
        <v>11</v>
      </c>
      <c r="G87" s="16"/>
      <c r="H87" s="16"/>
      <c r="I87" s="16" t="s">
        <v>79</v>
      </c>
      <c r="J87" s="19">
        <v>293</v>
      </c>
      <c r="K87" s="19">
        <v>10</v>
      </c>
      <c r="L87" s="19"/>
      <c r="M87" s="18"/>
      <c r="P87" t="s">
        <v>79</v>
      </c>
      <c r="Q87" t="s">
        <v>79</v>
      </c>
      <c r="R87">
        <v>88</v>
      </c>
      <c r="V87" s="11">
        <f t="shared" si="27"/>
        <v>0</v>
      </c>
      <c r="W87" s="11">
        <f t="shared" si="28"/>
        <v>0</v>
      </c>
      <c r="X87" s="11" t="e">
        <f t="shared" si="29"/>
        <v>#VALUE!</v>
      </c>
      <c r="Y87" s="11">
        <f t="shared" si="30"/>
        <v>2930000</v>
      </c>
      <c r="Z87" s="11">
        <f t="shared" si="31"/>
        <v>1000000</v>
      </c>
      <c r="AA87" s="11">
        <f t="shared" si="32"/>
        <v>0</v>
      </c>
      <c r="AB87" s="13">
        <f t="shared" si="33"/>
        <v>0</v>
      </c>
      <c r="AC87" s="11">
        <f t="shared" si="34"/>
        <v>0</v>
      </c>
      <c r="AD87" s="11">
        <f t="shared" si="35"/>
        <v>0</v>
      </c>
      <c r="AE87" s="11" t="e">
        <f t="shared" si="36"/>
        <v>#VALUE!</v>
      </c>
      <c r="AF87" s="11" t="e">
        <f t="shared" si="37"/>
        <v>#VALUE!</v>
      </c>
      <c r="AG87" s="11">
        <f t="shared" si="38"/>
        <v>8800000</v>
      </c>
      <c r="AH87" s="11">
        <f t="shared" si="39"/>
        <v>0</v>
      </c>
      <c r="AI87" s="11">
        <f t="shared" si="40"/>
        <v>0</v>
      </c>
      <c r="AJ87" s="11"/>
      <c r="AK87" s="11">
        <f t="shared" si="24"/>
        <v>1965000</v>
      </c>
      <c r="AL87" s="13">
        <f t="shared" si="25"/>
        <v>8800000</v>
      </c>
      <c r="AM87">
        <f t="shared" si="41"/>
        <v>6.2933625547114458</v>
      </c>
      <c r="AN87">
        <f t="shared" si="42"/>
        <v>6.9444826721501682</v>
      </c>
      <c r="AO87" s="11"/>
      <c r="AP87" s="11">
        <f>'Growth Parameters'!G82</f>
        <v>14.147</v>
      </c>
      <c r="AQ87" s="11"/>
      <c r="AR87" s="11">
        <f t="shared" si="43"/>
        <v>138898.7064395278</v>
      </c>
      <c r="AS87" s="13">
        <f t="shared" si="44"/>
        <v>622040.00848236377</v>
      </c>
      <c r="AT87">
        <f t="shared" si="45"/>
        <v>5.1426982011818847</v>
      </c>
      <c r="AU87">
        <f t="shared" si="46"/>
        <v>5.793818318620608</v>
      </c>
      <c r="AW87">
        <f t="shared" si="47"/>
        <v>15</v>
      </c>
      <c r="AX87" t="s">
        <v>23</v>
      </c>
      <c r="AY87" t="s">
        <v>18</v>
      </c>
      <c r="AZ87" s="16" t="s">
        <v>11</v>
      </c>
    </row>
    <row r="88" spans="1:52" x14ac:dyDescent="0.3">
      <c r="A88" t="s">
        <v>22</v>
      </c>
      <c r="B88" s="3">
        <v>44750</v>
      </c>
      <c r="C88">
        <f t="shared" si="26"/>
        <v>15</v>
      </c>
      <c r="D88" t="s">
        <v>23</v>
      </c>
      <c r="E88" t="s">
        <v>18</v>
      </c>
      <c r="F88" s="16" t="s">
        <v>12</v>
      </c>
      <c r="G88" s="16"/>
      <c r="H88" s="16"/>
      <c r="I88" s="16" t="s">
        <v>79</v>
      </c>
      <c r="J88" s="16" t="s">
        <v>79</v>
      </c>
      <c r="K88" s="19">
        <v>76</v>
      </c>
      <c r="L88" s="19"/>
      <c r="M88" s="18"/>
      <c r="P88" t="s">
        <v>79</v>
      </c>
      <c r="Q88" t="s">
        <v>79</v>
      </c>
      <c r="R88">
        <v>94</v>
      </c>
      <c r="V88" s="11">
        <f t="shared" si="27"/>
        <v>0</v>
      </c>
      <c r="W88" s="11">
        <f t="shared" si="28"/>
        <v>0</v>
      </c>
      <c r="X88" s="11" t="e">
        <f t="shared" si="29"/>
        <v>#VALUE!</v>
      </c>
      <c r="Y88" s="11" t="e">
        <f t="shared" si="30"/>
        <v>#VALUE!</v>
      </c>
      <c r="Z88" s="11">
        <f t="shared" si="31"/>
        <v>7600000</v>
      </c>
      <c r="AA88" s="11">
        <f t="shared" si="32"/>
        <v>0</v>
      </c>
      <c r="AB88" s="13">
        <f t="shared" si="33"/>
        <v>0</v>
      </c>
      <c r="AC88" s="11">
        <f t="shared" si="34"/>
        <v>0</v>
      </c>
      <c r="AD88" s="11">
        <f t="shared" si="35"/>
        <v>0</v>
      </c>
      <c r="AE88" s="11" t="e">
        <f t="shared" si="36"/>
        <v>#VALUE!</v>
      </c>
      <c r="AF88" s="11" t="e">
        <f t="shared" si="37"/>
        <v>#VALUE!</v>
      </c>
      <c r="AG88" s="11">
        <f t="shared" si="38"/>
        <v>9400000</v>
      </c>
      <c r="AH88" s="11">
        <f t="shared" si="39"/>
        <v>0</v>
      </c>
      <c r="AI88" s="11">
        <f t="shared" si="40"/>
        <v>0</v>
      </c>
      <c r="AJ88" s="11"/>
      <c r="AK88" s="11">
        <f t="shared" si="24"/>
        <v>7600000</v>
      </c>
      <c r="AL88" s="13">
        <f t="shared" si="25"/>
        <v>9400000</v>
      </c>
      <c r="AM88">
        <f t="shared" si="41"/>
        <v>6.8808135922807914</v>
      </c>
      <c r="AN88">
        <f t="shared" si="42"/>
        <v>6.9731278535996983</v>
      </c>
      <c r="AO88" s="11"/>
      <c r="AP88" s="11">
        <f>'Growth Parameters'!G83</f>
        <v>11.205</v>
      </c>
      <c r="AQ88" s="11"/>
      <c r="AR88" s="11">
        <f t="shared" si="43"/>
        <v>678268.63007585902</v>
      </c>
      <c r="AS88" s="13">
        <f t="shared" si="44"/>
        <v>838911.20035698346</v>
      </c>
      <c r="AT88">
        <f t="shared" si="45"/>
        <v>5.8314017314097111</v>
      </c>
      <c r="AU88">
        <f t="shared" si="46"/>
        <v>5.9237159927286189</v>
      </c>
      <c r="AW88">
        <f t="shared" si="47"/>
        <v>15</v>
      </c>
      <c r="AX88" t="s">
        <v>23</v>
      </c>
      <c r="AY88" t="s">
        <v>18</v>
      </c>
      <c r="AZ88" s="16" t="s">
        <v>12</v>
      </c>
    </row>
    <row r="89" spans="1:52" x14ac:dyDescent="0.3">
      <c r="A89" t="s">
        <v>22</v>
      </c>
      <c r="B89" s="3">
        <v>44750</v>
      </c>
      <c r="C89">
        <f t="shared" si="26"/>
        <v>15</v>
      </c>
      <c r="D89" t="s">
        <v>23</v>
      </c>
      <c r="E89" t="s">
        <v>18</v>
      </c>
      <c r="F89" s="16" t="s">
        <v>13</v>
      </c>
      <c r="G89" s="16"/>
      <c r="H89" s="16"/>
      <c r="I89" s="16" t="s">
        <v>79</v>
      </c>
      <c r="J89" s="19">
        <v>75</v>
      </c>
      <c r="K89" s="19">
        <v>2</v>
      </c>
      <c r="L89" s="19"/>
      <c r="M89" s="18"/>
      <c r="P89" t="s">
        <v>79</v>
      </c>
      <c r="Q89">
        <v>310</v>
      </c>
      <c r="R89">
        <v>13</v>
      </c>
      <c r="V89" s="11">
        <f t="shared" si="27"/>
        <v>0</v>
      </c>
      <c r="W89" s="11">
        <f t="shared" si="28"/>
        <v>0</v>
      </c>
      <c r="X89" s="11" t="e">
        <f t="shared" si="29"/>
        <v>#VALUE!</v>
      </c>
      <c r="Y89" s="11">
        <f t="shared" si="30"/>
        <v>750000</v>
      </c>
      <c r="Z89" s="11">
        <f t="shared" si="31"/>
        <v>200000</v>
      </c>
      <c r="AA89" s="11">
        <f t="shared" si="32"/>
        <v>0</v>
      </c>
      <c r="AB89" s="13">
        <f t="shared" si="33"/>
        <v>0</v>
      </c>
      <c r="AC89" s="11">
        <f t="shared" si="34"/>
        <v>0</v>
      </c>
      <c r="AD89" s="11">
        <f t="shared" si="35"/>
        <v>0</v>
      </c>
      <c r="AE89" s="11" t="e">
        <f t="shared" si="36"/>
        <v>#VALUE!</v>
      </c>
      <c r="AF89" s="11">
        <f t="shared" si="37"/>
        <v>3100000</v>
      </c>
      <c r="AG89" s="11">
        <f t="shared" si="38"/>
        <v>1300000</v>
      </c>
      <c r="AH89" s="11">
        <f t="shared" si="39"/>
        <v>0</v>
      </c>
      <c r="AI89" s="11">
        <f t="shared" si="40"/>
        <v>0</v>
      </c>
      <c r="AJ89" s="11"/>
      <c r="AK89" s="11">
        <f t="shared" si="24"/>
        <v>750000</v>
      </c>
      <c r="AL89" s="13">
        <f t="shared" si="25"/>
        <v>3100000</v>
      </c>
      <c r="AM89">
        <f t="shared" si="41"/>
        <v>5.8750612633917001</v>
      </c>
      <c r="AN89">
        <f t="shared" si="42"/>
        <v>6.4913616938342731</v>
      </c>
      <c r="AO89" s="11"/>
      <c r="AP89" s="11">
        <f>'Growth Parameters'!G84</f>
        <v>14.912000000000001</v>
      </c>
      <c r="AQ89" s="11"/>
      <c r="AR89" s="11">
        <f t="shared" si="43"/>
        <v>50295.0643776824</v>
      </c>
      <c r="AS89" s="13">
        <f t="shared" si="44"/>
        <v>207886.2660944206</v>
      </c>
      <c r="AT89">
        <f t="shared" si="45"/>
        <v>4.7015253683817937</v>
      </c>
      <c r="AU89">
        <f t="shared" si="46"/>
        <v>5.3178257988243667</v>
      </c>
      <c r="AW89">
        <f t="shared" si="47"/>
        <v>15</v>
      </c>
      <c r="AX89" t="s">
        <v>23</v>
      </c>
      <c r="AY89" t="s">
        <v>18</v>
      </c>
      <c r="AZ89" s="16" t="s">
        <v>13</v>
      </c>
    </row>
    <row r="90" spans="1:52" x14ac:dyDescent="0.3">
      <c r="A90" t="s">
        <v>22</v>
      </c>
      <c r="B90" s="3">
        <v>44750</v>
      </c>
      <c r="C90">
        <f t="shared" si="26"/>
        <v>15</v>
      </c>
      <c r="D90" t="s">
        <v>23</v>
      </c>
      <c r="E90" t="s">
        <v>18</v>
      </c>
      <c r="F90" s="16" t="s">
        <v>14</v>
      </c>
      <c r="G90" s="16"/>
      <c r="H90" s="16"/>
      <c r="I90" s="16" t="s">
        <v>79</v>
      </c>
      <c r="J90" s="19">
        <v>298</v>
      </c>
      <c r="K90" s="19">
        <v>4</v>
      </c>
      <c r="L90" s="19"/>
      <c r="M90" s="18"/>
      <c r="P90" t="s">
        <v>79</v>
      </c>
      <c r="Q90" t="s">
        <v>79</v>
      </c>
      <c r="R90">
        <v>108</v>
      </c>
      <c r="V90" s="11">
        <f t="shared" si="27"/>
        <v>0</v>
      </c>
      <c r="W90" s="11">
        <f t="shared" si="28"/>
        <v>0</v>
      </c>
      <c r="X90" s="11" t="e">
        <f t="shared" si="29"/>
        <v>#VALUE!</v>
      </c>
      <c r="Y90" s="11">
        <f t="shared" si="30"/>
        <v>2980000</v>
      </c>
      <c r="Z90" s="11">
        <f t="shared" si="31"/>
        <v>400000</v>
      </c>
      <c r="AA90" s="11">
        <f t="shared" si="32"/>
        <v>0</v>
      </c>
      <c r="AB90" s="13">
        <f t="shared" si="33"/>
        <v>0</v>
      </c>
      <c r="AC90" s="11">
        <f t="shared" si="34"/>
        <v>0</v>
      </c>
      <c r="AD90" s="11">
        <f t="shared" si="35"/>
        <v>0</v>
      </c>
      <c r="AE90" s="11" t="e">
        <f t="shared" si="36"/>
        <v>#VALUE!</v>
      </c>
      <c r="AF90" s="11" t="e">
        <f t="shared" si="37"/>
        <v>#VALUE!</v>
      </c>
      <c r="AG90" s="11">
        <f t="shared" si="38"/>
        <v>10800000</v>
      </c>
      <c r="AH90" s="11">
        <f t="shared" si="39"/>
        <v>0</v>
      </c>
      <c r="AI90" s="11">
        <f t="shared" si="40"/>
        <v>0</v>
      </c>
      <c r="AJ90" s="11"/>
      <c r="AK90" s="11">
        <f t="shared" si="24"/>
        <v>2980000</v>
      </c>
      <c r="AL90" s="13">
        <f t="shared" si="25"/>
        <v>10800000</v>
      </c>
      <c r="AM90">
        <f t="shared" si="41"/>
        <v>6.4742162640762553</v>
      </c>
      <c r="AN90">
        <f t="shared" si="42"/>
        <v>7.0334237554869494</v>
      </c>
      <c r="AO90" s="11"/>
      <c r="AP90" s="11">
        <f>'Growth Parameters'!G85</f>
        <v>11.936</v>
      </c>
      <c r="AQ90" s="11"/>
      <c r="AR90" s="11">
        <f t="shared" si="43"/>
        <v>249664.87935656836</v>
      </c>
      <c r="AS90" s="13">
        <f t="shared" si="44"/>
        <v>904825.73726541561</v>
      </c>
      <c r="AT90">
        <f t="shared" si="45"/>
        <v>5.3973574539476612</v>
      </c>
      <c r="AU90">
        <f t="shared" si="46"/>
        <v>5.9565649453583562</v>
      </c>
      <c r="AW90">
        <f t="shared" si="47"/>
        <v>15</v>
      </c>
      <c r="AX90" t="s">
        <v>23</v>
      </c>
      <c r="AY90" t="s">
        <v>18</v>
      </c>
      <c r="AZ90" s="16" t="s">
        <v>14</v>
      </c>
    </row>
    <row r="91" spans="1:52" x14ac:dyDescent="0.3">
      <c r="A91" t="s">
        <v>22</v>
      </c>
      <c r="B91" s="3">
        <v>44750</v>
      </c>
      <c r="C91">
        <f t="shared" si="26"/>
        <v>15</v>
      </c>
      <c r="D91" t="s">
        <v>23</v>
      </c>
      <c r="E91" t="s">
        <v>19</v>
      </c>
      <c r="F91" s="16" t="s">
        <v>11</v>
      </c>
      <c r="G91" s="16"/>
      <c r="H91" s="16"/>
      <c r="I91" s="16" t="s">
        <v>79</v>
      </c>
      <c r="J91" s="19">
        <v>11</v>
      </c>
      <c r="K91" s="19">
        <v>2</v>
      </c>
      <c r="L91" s="19"/>
      <c r="M91" s="18"/>
      <c r="P91" t="s">
        <v>79</v>
      </c>
      <c r="Q91">
        <v>403</v>
      </c>
      <c r="R91">
        <v>23</v>
      </c>
      <c r="V91" s="11">
        <f t="shared" si="27"/>
        <v>0</v>
      </c>
      <c r="W91" s="11">
        <f t="shared" si="28"/>
        <v>0</v>
      </c>
      <c r="X91" s="11" t="e">
        <f t="shared" si="29"/>
        <v>#VALUE!</v>
      </c>
      <c r="Y91" s="11">
        <f t="shared" si="30"/>
        <v>110000</v>
      </c>
      <c r="Z91" s="11">
        <f t="shared" si="31"/>
        <v>200000</v>
      </c>
      <c r="AA91" s="11">
        <f t="shared" si="32"/>
        <v>0</v>
      </c>
      <c r="AB91" s="13">
        <f t="shared" si="33"/>
        <v>0</v>
      </c>
      <c r="AC91" s="11">
        <f t="shared" si="34"/>
        <v>0</v>
      </c>
      <c r="AD91" s="11">
        <f t="shared" si="35"/>
        <v>0</v>
      </c>
      <c r="AE91" s="11" t="e">
        <f t="shared" si="36"/>
        <v>#VALUE!</v>
      </c>
      <c r="AF91" s="11">
        <f t="shared" si="37"/>
        <v>4030000</v>
      </c>
      <c r="AG91" s="11">
        <f t="shared" si="38"/>
        <v>2300000</v>
      </c>
      <c r="AH91" s="11">
        <f t="shared" si="39"/>
        <v>0</v>
      </c>
      <c r="AI91" s="11">
        <f t="shared" si="40"/>
        <v>0</v>
      </c>
      <c r="AJ91" s="11"/>
      <c r="AK91" s="11">
        <f t="shared" si="24"/>
        <v>110000</v>
      </c>
      <c r="AL91" s="13">
        <f t="shared" si="25"/>
        <v>2300000</v>
      </c>
      <c r="AM91">
        <f t="shared" si="41"/>
        <v>5.0413926851582254</v>
      </c>
      <c r="AN91">
        <f t="shared" si="42"/>
        <v>6.3617278360175931</v>
      </c>
      <c r="AO91" s="11"/>
      <c r="AP91" s="11">
        <f>'Growth Parameters'!G86</f>
        <v>6.383</v>
      </c>
      <c r="AQ91" s="11"/>
      <c r="AR91" s="11">
        <f t="shared" si="43"/>
        <v>17233.275889080371</v>
      </c>
      <c r="AS91" s="13">
        <f t="shared" si="44"/>
        <v>360332.13222622592</v>
      </c>
      <c r="AT91">
        <f t="shared" si="45"/>
        <v>4.2363678407284198</v>
      </c>
      <c r="AU91">
        <f t="shared" si="46"/>
        <v>5.5567029915877875</v>
      </c>
      <c r="AW91">
        <f t="shared" si="47"/>
        <v>15</v>
      </c>
      <c r="AX91" t="s">
        <v>23</v>
      </c>
      <c r="AY91" t="s">
        <v>19</v>
      </c>
      <c r="AZ91" s="16" t="s">
        <v>11</v>
      </c>
    </row>
    <row r="92" spans="1:52" x14ac:dyDescent="0.3">
      <c r="A92" t="s">
        <v>22</v>
      </c>
      <c r="B92" s="3">
        <v>44750</v>
      </c>
      <c r="C92">
        <f t="shared" si="26"/>
        <v>15</v>
      </c>
      <c r="D92" t="s">
        <v>23</v>
      </c>
      <c r="E92" t="s">
        <v>19</v>
      </c>
      <c r="F92" s="16" t="s">
        <v>12</v>
      </c>
      <c r="G92" s="16"/>
      <c r="H92" s="16"/>
      <c r="I92" s="16" t="s">
        <v>79</v>
      </c>
      <c r="J92" s="19">
        <v>66</v>
      </c>
      <c r="K92" s="19">
        <v>15</v>
      </c>
      <c r="L92" s="19"/>
      <c r="M92" s="18"/>
      <c r="P92" t="s">
        <v>79</v>
      </c>
      <c r="Q92">
        <v>374</v>
      </c>
      <c r="R92">
        <v>33</v>
      </c>
      <c r="V92" s="11">
        <f t="shared" si="27"/>
        <v>0</v>
      </c>
      <c r="W92" s="11">
        <f t="shared" si="28"/>
        <v>0</v>
      </c>
      <c r="X92" s="11" t="e">
        <f t="shared" si="29"/>
        <v>#VALUE!</v>
      </c>
      <c r="Y92" s="11">
        <f t="shared" si="30"/>
        <v>660000</v>
      </c>
      <c r="Z92" s="11">
        <f t="shared" si="31"/>
        <v>1500000</v>
      </c>
      <c r="AA92" s="11">
        <f t="shared" si="32"/>
        <v>0</v>
      </c>
      <c r="AB92" s="13">
        <f t="shared" si="33"/>
        <v>0</v>
      </c>
      <c r="AC92" s="11">
        <f t="shared" si="34"/>
        <v>0</v>
      </c>
      <c r="AD92" s="11">
        <f t="shared" si="35"/>
        <v>0</v>
      </c>
      <c r="AE92" s="11" t="e">
        <f t="shared" si="36"/>
        <v>#VALUE!</v>
      </c>
      <c r="AF92" s="11">
        <f t="shared" si="37"/>
        <v>3740000</v>
      </c>
      <c r="AG92" s="11">
        <f t="shared" si="38"/>
        <v>3300000</v>
      </c>
      <c r="AH92" s="11">
        <f t="shared" si="39"/>
        <v>0</v>
      </c>
      <c r="AI92" s="11">
        <f t="shared" si="40"/>
        <v>0</v>
      </c>
      <c r="AJ92" s="11"/>
      <c r="AK92" s="11">
        <f t="shared" si="24"/>
        <v>1080000</v>
      </c>
      <c r="AL92" s="13">
        <f t="shared" si="25"/>
        <v>3520000</v>
      </c>
      <c r="AM92">
        <f t="shared" si="41"/>
        <v>6.0334237554869494</v>
      </c>
      <c r="AN92">
        <f t="shared" si="42"/>
        <v>6.5465426634781307</v>
      </c>
      <c r="AO92" s="11"/>
      <c r="AP92" s="11">
        <f>'Growth Parameters'!G87</f>
        <v>7.0670000000000002</v>
      </c>
      <c r="AQ92" s="11"/>
      <c r="AR92" s="11">
        <f t="shared" si="43"/>
        <v>152822.98004811094</v>
      </c>
      <c r="AS92" s="13">
        <f t="shared" si="44"/>
        <v>498089.7127493986</v>
      </c>
      <c r="AT92">
        <f t="shared" si="45"/>
        <v>5.1841886641722272</v>
      </c>
      <c r="AU92">
        <f t="shared" si="46"/>
        <v>5.6973075721634086</v>
      </c>
      <c r="AW92">
        <f t="shared" si="47"/>
        <v>15</v>
      </c>
      <c r="AX92" t="s">
        <v>23</v>
      </c>
      <c r="AY92" t="s">
        <v>19</v>
      </c>
      <c r="AZ92" s="16" t="s">
        <v>12</v>
      </c>
    </row>
    <row r="93" spans="1:52" x14ac:dyDescent="0.3">
      <c r="A93" t="s">
        <v>22</v>
      </c>
      <c r="B93" s="3">
        <v>44750</v>
      </c>
      <c r="C93">
        <f t="shared" si="26"/>
        <v>15</v>
      </c>
      <c r="D93" t="s">
        <v>23</v>
      </c>
      <c r="E93" t="s">
        <v>19</v>
      </c>
      <c r="F93" s="16" t="s">
        <v>13</v>
      </c>
      <c r="G93" s="16"/>
      <c r="H93" s="16"/>
      <c r="I93" s="16" t="s">
        <v>79</v>
      </c>
      <c r="J93" s="19">
        <v>31</v>
      </c>
      <c r="K93" s="19">
        <v>0</v>
      </c>
      <c r="L93" s="19"/>
      <c r="M93" s="18"/>
      <c r="P93" t="s">
        <v>79</v>
      </c>
      <c r="Q93">
        <v>353</v>
      </c>
      <c r="R93">
        <v>14</v>
      </c>
      <c r="V93" s="11">
        <f t="shared" si="27"/>
        <v>0</v>
      </c>
      <c r="W93" s="11">
        <f t="shared" si="28"/>
        <v>0</v>
      </c>
      <c r="X93" s="11" t="e">
        <f t="shared" si="29"/>
        <v>#VALUE!</v>
      </c>
      <c r="Y93" s="11">
        <f t="shared" si="30"/>
        <v>310000</v>
      </c>
      <c r="Z93" s="11">
        <f t="shared" si="31"/>
        <v>0</v>
      </c>
      <c r="AA93" s="11">
        <f t="shared" si="32"/>
        <v>0</v>
      </c>
      <c r="AB93" s="13">
        <f t="shared" si="33"/>
        <v>0</v>
      </c>
      <c r="AC93" s="11">
        <f t="shared" si="34"/>
        <v>0</v>
      </c>
      <c r="AD93" s="11">
        <f t="shared" si="35"/>
        <v>0</v>
      </c>
      <c r="AE93" s="11" t="e">
        <f t="shared" si="36"/>
        <v>#VALUE!</v>
      </c>
      <c r="AF93" s="11">
        <f t="shared" si="37"/>
        <v>3530000</v>
      </c>
      <c r="AG93" s="11">
        <f t="shared" si="38"/>
        <v>1400000</v>
      </c>
      <c r="AH93" s="11">
        <f t="shared" si="39"/>
        <v>0</v>
      </c>
      <c r="AI93" s="11">
        <f t="shared" si="40"/>
        <v>0</v>
      </c>
      <c r="AJ93" s="11"/>
      <c r="AK93" s="11">
        <f t="shared" si="24"/>
        <v>310000</v>
      </c>
      <c r="AL93" s="13">
        <f t="shared" si="25"/>
        <v>3530000</v>
      </c>
      <c r="AM93">
        <f t="shared" si="41"/>
        <v>5.4913616938342731</v>
      </c>
      <c r="AN93">
        <f t="shared" si="42"/>
        <v>6.5477747053878224</v>
      </c>
      <c r="AO93" s="11"/>
      <c r="AP93" s="11">
        <f>'Growth Parameters'!G88</f>
        <v>4.8479999999999999</v>
      </c>
      <c r="AQ93" s="11"/>
      <c r="AR93" s="11">
        <f t="shared" si="43"/>
        <v>63943.894389438945</v>
      </c>
      <c r="AS93" s="13">
        <f t="shared" si="44"/>
        <v>728135.31353135314</v>
      </c>
      <c r="AT93">
        <f t="shared" si="45"/>
        <v>4.8057990826760433</v>
      </c>
      <c r="AU93">
        <f t="shared" si="46"/>
        <v>5.8622120942295926</v>
      </c>
      <c r="AW93">
        <f t="shared" si="47"/>
        <v>15</v>
      </c>
      <c r="AX93" t="s">
        <v>23</v>
      </c>
      <c r="AY93" t="s">
        <v>19</v>
      </c>
      <c r="AZ93" s="16" t="s">
        <v>13</v>
      </c>
    </row>
    <row r="94" spans="1:52" x14ac:dyDescent="0.3">
      <c r="A94" t="s">
        <v>22</v>
      </c>
      <c r="B94" s="3">
        <v>44750</v>
      </c>
      <c r="C94">
        <f t="shared" si="26"/>
        <v>15</v>
      </c>
      <c r="D94" t="s">
        <v>23</v>
      </c>
      <c r="E94" t="s">
        <v>19</v>
      </c>
      <c r="F94" s="16" t="s">
        <v>14</v>
      </c>
      <c r="G94" s="16"/>
      <c r="H94" s="16"/>
      <c r="I94" s="16" t="s">
        <v>79</v>
      </c>
      <c r="J94" s="19">
        <v>88</v>
      </c>
      <c r="K94" s="19">
        <v>28</v>
      </c>
      <c r="L94" s="19"/>
      <c r="M94" s="18"/>
      <c r="P94" t="s">
        <v>79</v>
      </c>
      <c r="Q94">
        <v>368</v>
      </c>
      <c r="R94">
        <v>107</v>
      </c>
      <c r="V94" s="11">
        <f t="shared" si="27"/>
        <v>0</v>
      </c>
      <c r="W94" s="11">
        <f t="shared" si="28"/>
        <v>0</v>
      </c>
      <c r="X94" s="11" t="e">
        <f t="shared" si="29"/>
        <v>#VALUE!</v>
      </c>
      <c r="Y94" s="11">
        <f t="shared" si="30"/>
        <v>880000</v>
      </c>
      <c r="Z94" s="11">
        <f t="shared" si="31"/>
        <v>2800000</v>
      </c>
      <c r="AA94" s="11">
        <f t="shared" si="32"/>
        <v>0</v>
      </c>
      <c r="AB94" s="13">
        <f t="shared" si="33"/>
        <v>0</v>
      </c>
      <c r="AC94" s="11">
        <f t="shared" si="34"/>
        <v>0</v>
      </c>
      <c r="AD94" s="11">
        <f t="shared" si="35"/>
        <v>0</v>
      </c>
      <c r="AE94" s="11" t="e">
        <f t="shared" si="36"/>
        <v>#VALUE!</v>
      </c>
      <c r="AF94" s="11">
        <f t="shared" si="37"/>
        <v>3680000</v>
      </c>
      <c r="AG94" s="11">
        <f t="shared" si="38"/>
        <v>10700000</v>
      </c>
      <c r="AH94" s="11">
        <f t="shared" si="39"/>
        <v>0</v>
      </c>
      <c r="AI94" s="11">
        <f t="shared" si="40"/>
        <v>0</v>
      </c>
      <c r="AJ94" s="11"/>
      <c r="AK94" s="11">
        <f t="shared" si="24"/>
        <v>1840000</v>
      </c>
      <c r="AL94" s="13">
        <f t="shared" si="25"/>
        <v>7190000</v>
      </c>
      <c r="AM94">
        <f t="shared" si="41"/>
        <v>6.2648178230095368</v>
      </c>
      <c r="AN94">
        <f t="shared" si="42"/>
        <v>6.8567288903828825</v>
      </c>
      <c r="AO94" s="11"/>
      <c r="AP94" s="11">
        <f>'Growth Parameters'!G89</f>
        <v>5.4459999999999997</v>
      </c>
      <c r="AQ94" s="11"/>
      <c r="AR94" s="11">
        <f t="shared" si="43"/>
        <v>337862.65148733015</v>
      </c>
      <c r="AS94" s="13">
        <f t="shared" si="44"/>
        <v>1320235.0348879911</v>
      </c>
      <c r="AT94">
        <f t="shared" si="45"/>
        <v>5.5287401860055905</v>
      </c>
      <c r="AU94">
        <f t="shared" si="46"/>
        <v>6.120651253378937</v>
      </c>
      <c r="AW94">
        <f t="shared" si="47"/>
        <v>15</v>
      </c>
      <c r="AX94" t="s">
        <v>23</v>
      </c>
      <c r="AY94" t="s">
        <v>19</v>
      </c>
      <c r="AZ94" s="16" t="s">
        <v>14</v>
      </c>
    </row>
    <row r="95" spans="1:52" x14ac:dyDescent="0.3">
      <c r="A95" t="s">
        <v>22</v>
      </c>
      <c r="B95" s="3">
        <v>44753</v>
      </c>
      <c r="C95">
        <f t="shared" si="26"/>
        <v>18</v>
      </c>
      <c r="D95" t="s">
        <v>23</v>
      </c>
      <c r="E95" t="s">
        <v>17</v>
      </c>
      <c r="F95" s="16" t="s">
        <v>11</v>
      </c>
      <c r="G95" s="16"/>
      <c r="H95" s="16"/>
      <c r="I95" s="16"/>
      <c r="J95" s="19">
        <v>39</v>
      </c>
      <c r="K95" s="19">
        <v>31</v>
      </c>
      <c r="L95" s="16">
        <v>1</v>
      </c>
      <c r="M95" s="18"/>
      <c r="Q95">
        <v>578</v>
      </c>
      <c r="R95">
        <v>64</v>
      </c>
      <c r="S95">
        <v>15</v>
      </c>
      <c r="V95" s="11">
        <f t="shared" si="27"/>
        <v>0</v>
      </c>
      <c r="W95" s="11">
        <f t="shared" si="28"/>
        <v>0</v>
      </c>
      <c r="X95" s="11">
        <f t="shared" si="29"/>
        <v>0</v>
      </c>
      <c r="Y95" s="11">
        <f t="shared" si="30"/>
        <v>390000</v>
      </c>
      <c r="Z95" s="11">
        <f t="shared" si="31"/>
        <v>3100000</v>
      </c>
      <c r="AA95" s="11">
        <f t="shared" si="32"/>
        <v>1000000</v>
      </c>
      <c r="AB95" s="13">
        <f t="shared" si="33"/>
        <v>0</v>
      </c>
      <c r="AC95" s="11">
        <f t="shared" si="34"/>
        <v>0</v>
      </c>
      <c r="AD95" s="11">
        <f t="shared" si="35"/>
        <v>0</v>
      </c>
      <c r="AE95" s="11">
        <f t="shared" si="36"/>
        <v>0</v>
      </c>
      <c r="AF95" s="11">
        <f t="shared" si="37"/>
        <v>5780000</v>
      </c>
      <c r="AG95" s="11">
        <f t="shared" si="38"/>
        <v>6400000</v>
      </c>
      <c r="AH95" s="11">
        <f t="shared" si="39"/>
        <v>15000000</v>
      </c>
      <c r="AI95" s="11">
        <f t="shared" si="40"/>
        <v>0</v>
      </c>
      <c r="AJ95" s="11"/>
      <c r="AK95" s="11">
        <f t="shared" si="24"/>
        <v>1745000</v>
      </c>
      <c r="AL95" s="13">
        <f t="shared" si="25"/>
        <v>6400000</v>
      </c>
      <c r="AM95">
        <f t="shared" si="41"/>
        <v>6.2417954312951984</v>
      </c>
      <c r="AN95">
        <f t="shared" si="42"/>
        <v>6.8061799739838875</v>
      </c>
      <c r="AO95" s="11"/>
      <c r="AP95" s="11">
        <f>'Growth Parameters'!G90</f>
        <v>22.036999999999999</v>
      </c>
      <c r="AQ95" s="11"/>
      <c r="AR95" s="11">
        <f t="shared" si="43"/>
        <v>79185.007033625268</v>
      </c>
      <c r="AS95" s="13">
        <f t="shared" si="44"/>
        <v>290420.65616917005</v>
      </c>
      <c r="AT95">
        <f t="shared" si="45"/>
        <v>4.8986429596329417</v>
      </c>
      <c r="AU95">
        <f t="shared" si="46"/>
        <v>5.4630275023216308</v>
      </c>
      <c r="AW95">
        <f t="shared" si="47"/>
        <v>18</v>
      </c>
      <c r="AX95" t="s">
        <v>23</v>
      </c>
      <c r="AY95" t="s">
        <v>17</v>
      </c>
      <c r="AZ95" s="16" t="s">
        <v>11</v>
      </c>
    </row>
    <row r="96" spans="1:52" x14ac:dyDescent="0.3">
      <c r="A96" t="s">
        <v>22</v>
      </c>
      <c r="B96" s="3">
        <v>44753</v>
      </c>
      <c r="C96">
        <f t="shared" si="26"/>
        <v>18</v>
      </c>
      <c r="D96" t="s">
        <v>23</v>
      </c>
      <c r="E96" t="s">
        <v>17</v>
      </c>
      <c r="F96" s="16" t="s">
        <v>12</v>
      </c>
      <c r="G96" s="16"/>
      <c r="H96" s="16"/>
      <c r="I96" s="16"/>
      <c r="J96" s="19">
        <v>1</v>
      </c>
      <c r="K96" s="19">
        <v>0</v>
      </c>
      <c r="L96" s="16">
        <v>0</v>
      </c>
      <c r="M96" s="18"/>
      <c r="Q96">
        <v>213</v>
      </c>
      <c r="R96">
        <v>29</v>
      </c>
      <c r="S96">
        <v>2</v>
      </c>
      <c r="V96" s="11">
        <f t="shared" si="27"/>
        <v>0</v>
      </c>
      <c r="W96" s="11">
        <f t="shared" si="28"/>
        <v>0</v>
      </c>
      <c r="X96" s="11">
        <f t="shared" si="29"/>
        <v>0</v>
      </c>
      <c r="Y96" s="11">
        <f t="shared" si="30"/>
        <v>10000</v>
      </c>
      <c r="Z96" s="11">
        <f t="shared" si="31"/>
        <v>0</v>
      </c>
      <c r="AA96" s="11">
        <f t="shared" si="32"/>
        <v>0</v>
      </c>
      <c r="AB96" s="13">
        <f t="shared" si="33"/>
        <v>0</v>
      </c>
      <c r="AC96" s="11">
        <f t="shared" si="34"/>
        <v>0</v>
      </c>
      <c r="AD96" s="11">
        <f t="shared" si="35"/>
        <v>0</v>
      </c>
      <c r="AE96" s="11">
        <f t="shared" si="36"/>
        <v>0</v>
      </c>
      <c r="AF96" s="11">
        <f t="shared" si="37"/>
        <v>2130000</v>
      </c>
      <c r="AG96" s="11">
        <f t="shared" si="38"/>
        <v>2900000</v>
      </c>
      <c r="AH96" s="11">
        <f t="shared" si="39"/>
        <v>2000000</v>
      </c>
      <c r="AI96" s="11">
        <f t="shared" si="40"/>
        <v>0</v>
      </c>
      <c r="AJ96" s="11"/>
      <c r="AK96" s="11">
        <f>AVERAGEIFS(V96:AB96,G96:M96,"&lt;=400",G96:M96,"&gt;=1")</f>
        <v>10000</v>
      </c>
      <c r="AL96" s="13">
        <f t="shared" ref="AL96:AL110" si="48">AVERAGEIFS(AC96:AI96,N96:T96,"&lt;=400",N96:T96,"&gt;=20")</f>
        <v>2515000</v>
      </c>
      <c r="AM96">
        <f t="shared" si="41"/>
        <v>4</v>
      </c>
      <c r="AN96">
        <f t="shared" si="42"/>
        <v>6.4005379893919461</v>
      </c>
      <c r="AO96" s="11"/>
      <c r="AP96" s="11">
        <f>'Growth Parameters'!G91</f>
        <v>19.062999999999999</v>
      </c>
      <c r="AQ96" s="11"/>
      <c r="AR96" s="11">
        <f t="shared" si="43"/>
        <v>524.57640455332319</v>
      </c>
      <c r="AS96" s="13">
        <f t="shared" si="44"/>
        <v>131930.96574516079</v>
      </c>
      <c r="AT96">
        <f t="shared" si="45"/>
        <v>2.7198087521278578</v>
      </c>
      <c r="AU96">
        <f t="shared" si="46"/>
        <v>5.1203467415198043</v>
      </c>
      <c r="AW96">
        <f t="shared" si="47"/>
        <v>18</v>
      </c>
      <c r="AX96" t="s">
        <v>23</v>
      </c>
      <c r="AY96" t="s">
        <v>17</v>
      </c>
      <c r="AZ96" s="16" t="s">
        <v>12</v>
      </c>
    </row>
    <row r="97" spans="1:52" x14ac:dyDescent="0.3">
      <c r="A97" t="s">
        <v>22</v>
      </c>
      <c r="B97" s="3">
        <v>44753</v>
      </c>
      <c r="C97">
        <f t="shared" si="26"/>
        <v>18</v>
      </c>
      <c r="D97" t="s">
        <v>23</v>
      </c>
      <c r="E97" t="s">
        <v>17</v>
      </c>
      <c r="F97" s="16" t="s">
        <v>13</v>
      </c>
      <c r="G97" s="16"/>
      <c r="H97" s="16"/>
      <c r="I97" s="16"/>
      <c r="J97" s="19">
        <v>20</v>
      </c>
      <c r="K97" s="19">
        <v>2</v>
      </c>
      <c r="L97" s="16">
        <v>1</v>
      </c>
      <c r="M97" s="18"/>
      <c r="Q97">
        <v>293</v>
      </c>
      <c r="R97">
        <v>51</v>
      </c>
      <c r="S97">
        <v>2</v>
      </c>
      <c r="V97" s="11">
        <f t="shared" si="27"/>
        <v>0</v>
      </c>
      <c r="W97" s="11">
        <f t="shared" si="28"/>
        <v>0</v>
      </c>
      <c r="X97" s="11">
        <f t="shared" si="29"/>
        <v>0</v>
      </c>
      <c r="Y97" s="11">
        <f t="shared" si="30"/>
        <v>200000</v>
      </c>
      <c r="Z97" s="11">
        <f t="shared" si="31"/>
        <v>200000</v>
      </c>
      <c r="AA97" s="11">
        <f t="shared" si="32"/>
        <v>1000000</v>
      </c>
      <c r="AB97" s="13">
        <f t="shared" si="33"/>
        <v>0</v>
      </c>
      <c r="AC97" s="11">
        <f t="shared" si="34"/>
        <v>0</v>
      </c>
      <c r="AD97" s="11">
        <f t="shared" si="35"/>
        <v>0</v>
      </c>
      <c r="AE97" s="11">
        <f t="shared" si="36"/>
        <v>0</v>
      </c>
      <c r="AF97" s="11">
        <f t="shared" si="37"/>
        <v>2930000</v>
      </c>
      <c r="AG97" s="11">
        <f t="shared" si="38"/>
        <v>5100000</v>
      </c>
      <c r="AH97" s="11">
        <f t="shared" si="39"/>
        <v>2000000</v>
      </c>
      <c r="AI97" s="11">
        <f t="shared" si="40"/>
        <v>0</v>
      </c>
      <c r="AJ97" s="11"/>
      <c r="AK97" s="11">
        <f t="shared" ref="AK97:AK110" si="49">AVERAGEIFS(V97:AB97,G97:M97,"&lt;=400",G97:M97,"&gt;=10")</f>
        <v>200000</v>
      </c>
      <c r="AL97" s="13">
        <f t="shared" si="48"/>
        <v>4015000</v>
      </c>
      <c r="AM97">
        <f t="shared" si="41"/>
        <v>5.3010299956639813</v>
      </c>
      <c r="AN97">
        <f t="shared" si="42"/>
        <v>6.6036855496147</v>
      </c>
      <c r="AO97" s="11"/>
      <c r="AP97" s="11">
        <f>'Growth Parameters'!G92</f>
        <v>24.327999999999999</v>
      </c>
      <c r="AQ97" s="11"/>
      <c r="AR97" s="11">
        <f t="shared" si="43"/>
        <v>8220.9799408089439</v>
      </c>
      <c r="AS97" s="13">
        <f t="shared" si="44"/>
        <v>165036.17231173956</v>
      </c>
      <c r="AT97">
        <f t="shared" si="45"/>
        <v>3.9149235885279055</v>
      </c>
      <c r="AU97">
        <f t="shared" si="46"/>
        <v>5.2175791424786242</v>
      </c>
      <c r="AW97">
        <f t="shared" si="47"/>
        <v>18</v>
      </c>
      <c r="AX97" t="s">
        <v>23</v>
      </c>
      <c r="AY97" t="s">
        <v>17</v>
      </c>
      <c r="AZ97" s="16" t="s">
        <v>13</v>
      </c>
    </row>
    <row r="98" spans="1:52" x14ac:dyDescent="0.3">
      <c r="A98" t="s">
        <v>22</v>
      </c>
      <c r="B98" s="3">
        <v>44753</v>
      </c>
      <c r="C98">
        <f t="shared" si="26"/>
        <v>18</v>
      </c>
      <c r="D98" t="s">
        <v>23</v>
      </c>
      <c r="E98" t="s">
        <v>17</v>
      </c>
      <c r="F98" s="16" t="s">
        <v>14</v>
      </c>
      <c r="G98" s="16"/>
      <c r="H98" s="16"/>
      <c r="I98" s="16"/>
      <c r="J98" s="19">
        <v>18</v>
      </c>
      <c r="K98" s="19">
        <v>1</v>
      </c>
      <c r="L98" s="19">
        <v>0</v>
      </c>
      <c r="M98" s="18"/>
      <c r="Q98">
        <v>415</v>
      </c>
      <c r="R98">
        <v>44</v>
      </c>
      <c r="S98">
        <v>5</v>
      </c>
      <c r="V98" s="11">
        <f t="shared" si="27"/>
        <v>0</v>
      </c>
      <c r="W98" s="11">
        <f t="shared" si="28"/>
        <v>0</v>
      </c>
      <c r="X98" s="11">
        <f t="shared" si="29"/>
        <v>0</v>
      </c>
      <c r="Y98" s="11">
        <f t="shared" si="30"/>
        <v>180000</v>
      </c>
      <c r="Z98" s="11">
        <f t="shared" si="31"/>
        <v>100000</v>
      </c>
      <c r="AA98" s="11">
        <f t="shared" si="32"/>
        <v>0</v>
      </c>
      <c r="AB98" s="13">
        <f t="shared" si="33"/>
        <v>0</v>
      </c>
      <c r="AC98" s="11">
        <f t="shared" si="34"/>
        <v>0</v>
      </c>
      <c r="AD98" s="11">
        <f t="shared" si="35"/>
        <v>0</v>
      </c>
      <c r="AE98" s="11">
        <f t="shared" si="36"/>
        <v>0</v>
      </c>
      <c r="AF98" s="11">
        <f t="shared" si="37"/>
        <v>4150000</v>
      </c>
      <c r="AG98" s="11">
        <f t="shared" si="38"/>
        <v>4400000</v>
      </c>
      <c r="AH98" s="11">
        <f t="shared" si="39"/>
        <v>5000000</v>
      </c>
      <c r="AI98" s="11">
        <f t="shared" si="40"/>
        <v>0</v>
      </c>
      <c r="AJ98" s="11"/>
      <c r="AK98" s="11">
        <f t="shared" si="49"/>
        <v>180000</v>
      </c>
      <c r="AL98" s="13">
        <f t="shared" si="48"/>
        <v>4400000</v>
      </c>
      <c r="AM98">
        <f t="shared" si="41"/>
        <v>5.2552725051033065</v>
      </c>
      <c r="AN98">
        <f t="shared" si="42"/>
        <v>6.6434526764861879</v>
      </c>
      <c r="AO98" s="11"/>
      <c r="AP98" s="11">
        <f>'Growth Parameters'!G93</f>
        <v>19.759</v>
      </c>
      <c r="AQ98" s="11"/>
      <c r="AR98" s="11">
        <f t="shared" si="43"/>
        <v>9109.7727617794426</v>
      </c>
      <c r="AS98" s="13">
        <f t="shared" si="44"/>
        <v>222683.3341768308</v>
      </c>
      <c r="AT98">
        <f t="shared" si="45"/>
        <v>3.9595075438735341</v>
      </c>
      <c r="AU98">
        <f t="shared" si="46"/>
        <v>5.3476877152564155</v>
      </c>
      <c r="AW98">
        <f t="shared" si="47"/>
        <v>18</v>
      </c>
      <c r="AX98" t="s">
        <v>23</v>
      </c>
      <c r="AY98" t="s">
        <v>17</v>
      </c>
      <c r="AZ98" s="16" t="s">
        <v>14</v>
      </c>
    </row>
    <row r="99" spans="1:52" x14ac:dyDescent="0.3">
      <c r="A99" t="s">
        <v>22</v>
      </c>
      <c r="B99" s="3">
        <v>44753</v>
      </c>
      <c r="C99">
        <f t="shared" si="26"/>
        <v>18</v>
      </c>
      <c r="D99" t="s">
        <v>23</v>
      </c>
      <c r="E99" t="s">
        <v>91</v>
      </c>
      <c r="F99" s="16" t="s">
        <v>11</v>
      </c>
      <c r="G99" s="16"/>
      <c r="H99" s="16"/>
      <c r="I99" s="16"/>
      <c r="J99" s="19">
        <v>15</v>
      </c>
      <c r="K99" s="19">
        <v>6</v>
      </c>
      <c r="L99" s="19">
        <v>0</v>
      </c>
      <c r="M99" s="18"/>
      <c r="Q99">
        <v>511</v>
      </c>
      <c r="R99">
        <v>46</v>
      </c>
      <c r="S99">
        <v>3</v>
      </c>
      <c r="V99" s="11">
        <f t="shared" si="27"/>
        <v>0</v>
      </c>
      <c r="W99" s="11">
        <f t="shared" si="28"/>
        <v>0</v>
      </c>
      <c r="X99" s="11">
        <f t="shared" si="29"/>
        <v>0</v>
      </c>
      <c r="Y99" s="11">
        <f t="shared" si="30"/>
        <v>150000</v>
      </c>
      <c r="Z99" s="11">
        <f t="shared" si="31"/>
        <v>600000</v>
      </c>
      <c r="AA99" s="11">
        <f t="shared" si="32"/>
        <v>0</v>
      </c>
      <c r="AB99" s="13">
        <f t="shared" si="33"/>
        <v>0</v>
      </c>
      <c r="AC99" s="11">
        <f t="shared" si="34"/>
        <v>0</v>
      </c>
      <c r="AD99" s="11">
        <f t="shared" si="35"/>
        <v>0</v>
      </c>
      <c r="AE99" s="11">
        <f t="shared" si="36"/>
        <v>0</v>
      </c>
      <c r="AF99" s="11">
        <f t="shared" si="37"/>
        <v>5110000</v>
      </c>
      <c r="AG99" s="11">
        <f t="shared" si="38"/>
        <v>4600000</v>
      </c>
      <c r="AH99" s="11">
        <f t="shared" si="39"/>
        <v>3000000</v>
      </c>
      <c r="AI99" s="11">
        <f t="shared" si="40"/>
        <v>0</v>
      </c>
      <c r="AJ99" s="11"/>
      <c r="AK99" s="11">
        <f t="shared" si="49"/>
        <v>150000</v>
      </c>
      <c r="AL99" s="13">
        <f t="shared" si="48"/>
        <v>4600000</v>
      </c>
      <c r="AM99">
        <f t="shared" si="41"/>
        <v>5.1760912590556813</v>
      </c>
      <c r="AN99">
        <f t="shared" si="42"/>
        <v>6.6627578316815743</v>
      </c>
      <c r="AO99" s="11"/>
      <c r="AP99" s="11">
        <f>'Growth Parameters'!G94</f>
        <v>23.556999999999999</v>
      </c>
      <c r="AQ99" s="11"/>
      <c r="AR99" s="11">
        <f t="shared" si="43"/>
        <v>6367.5340663072548</v>
      </c>
      <c r="AS99" s="13">
        <f t="shared" si="44"/>
        <v>195271.04470008914</v>
      </c>
      <c r="AT99">
        <f t="shared" si="45"/>
        <v>3.8039712771173462</v>
      </c>
      <c r="AU99">
        <f t="shared" si="46"/>
        <v>5.2906378497432387</v>
      </c>
      <c r="AW99">
        <f t="shared" si="47"/>
        <v>18</v>
      </c>
      <c r="AX99" t="s">
        <v>23</v>
      </c>
      <c r="AY99" t="s">
        <v>91</v>
      </c>
      <c r="AZ99" s="16" t="s">
        <v>11</v>
      </c>
    </row>
    <row r="100" spans="1:52" x14ac:dyDescent="0.3">
      <c r="A100" t="s">
        <v>22</v>
      </c>
      <c r="B100" s="3">
        <v>44753</v>
      </c>
      <c r="C100">
        <f t="shared" si="26"/>
        <v>18</v>
      </c>
      <c r="D100" t="s">
        <v>23</v>
      </c>
      <c r="E100" t="s">
        <v>91</v>
      </c>
      <c r="F100" s="16" t="s">
        <v>12</v>
      </c>
      <c r="G100" s="16"/>
      <c r="H100" s="16"/>
      <c r="I100" s="16"/>
      <c r="J100" s="19">
        <v>4</v>
      </c>
      <c r="K100" s="19">
        <v>0</v>
      </c>
      <c r="L100" s="19">
        <v>0</v>
      </c>
      <c r="M100" s="18"/>
      <c r="Q100" t="s">
        <v>79</v>
      </c>
      <c r="R100">
        <v>57</v>
      </c>
      <c r="S100">
        <v>6</v>
      </c>
      <c r="V100" s="11">
        <f t="shared" si="27"/>
        <v>0</v>
      </c>
      <c r="W100" s="11">
        <f t="shared" si="28"/>
        <v>0</v>
      </c>
      <c r="X100" s="11">
        <f t="shared" si="29"/>
        <v>0</v>
      </c>
      <c r="Y100" s="11">
        <f t="shared" si="30"/>
        <v>40000</v>
      </c>
      <c r="Z100" s="11">
        <f t="shared" si="31"/>
        <v>0</v>
      </c>
      <c r="AA100" s="11">
        <f t="shared" si="32"/>
        <v>0</v>
      </c>
      <c r="AB100" s="13">
        <f t="shared" si="33"/>
        <v>0</v>
      </c>
      <c r="AC100" s="11">
        <f t="shared" si="34"/>
        <v>0</v>
      </c>
      <c r="AD100" s="11">
        <f t="shared" si="35"/>
        <v>0</v>
      </c>
      <c r="AE100" s="11">
        <f t="shared" si="36"/>
        <v>0</v>
      </c>
      <c r="AF100" s="11" t="e">
        <f t="shared" si="37"/>
        <v>#VALUE!</v>
      </c>
      <c r="AG100" s="11">
        <f t="shared" si="38"/>
        <v>5700000</v>
      </c>
      <c r="AH100" s="11">
        <f t="shared" si="39"/>
        <v>6000000</v>
      </c>
      <c r="AI100" s="11">
        <f t="shared" si="40"/>
        <v>0</v>
      </c>
      <c r="AJ100" s="11"/>
      <c r="AK100" s="11">
        <f>AVERAGEIFS(V100:AB100,G100:M100,"&lt;=400",G100:M100,"&gt;=4")</f>
        <v>40000</v>
      </c>
      <c r="AL100" s="13">
        <f t="shared" si="48"/>
        <v>5700000</v>
      </c>
      <c r="AM100">
        <f t="shared" si="41"/>
        <v>4.6020599913279625</v>
      </c>
      <c r="AN100">
        <f t="shared" si="42"/>
        <v>6.7558748556724915</v>
      </c>
      <c r="AO100" s="11"/>
      <c r="AP100" s="11">
        <f>'Growth Parameters'!G95</f>
        <v>24.783000000000001</v>
      </c>
      <c r="AQ100" s="11"/>
      <c r="AR100" s="11">
        <f t="shared" si="43"/>
        <v>1614.0096033571399</v>
      </c>
      <c r="AS100" s="13">
        <f t="shared" si="44"/>
        <v>229996.36847839243</v>
      </c>
      <c r="AT100">
        <f t="shared" si="45"/>
        <v>3.2079061144459065</v>
      </c>
      <c r="AU100">
        <f t="shared" si="46"/>
        <v>5.3617209787904354</v>
      </c>
      <c r="AW100">
        <f t="shared" si="47"/>
        <v>18</v>
      </c>
      <c r="AX100" t="s">
        <v>23</v>
      </c>
      <c r="AY100" t="s">
        <v>91</v>
      </c>
      <c r="AZ100" s="16" t="s">
        <v>12</v>
      </c>
    </row>
    <row r="101" spans="1:52" x14ac:dyDescent="0.3">
      <c r="A101" t="s">
        <v>22</v>
      </c>
      <c r="B101" s="3">
        <v>44753</v>
      </c>
      <c r="C101">
        <f t="shared" si="26"/>
        <v>18</v>
      </c>
      <c r="D101" t="s">
        <v>23</v>
      </c>
      <c r="E101" t="s">
        <v>91</v>
      </c>
      <c r="F101" s="16" t="s">
        <v>13</v>
      </c>
      <c r="G101" s="16"/>
      <c r="H101" s="16"/>
      <c r="I101" s="16"/>
      <c r="J101" s="19">
        <v>53</v>
      </c>
      <c r="K101" s="19">
        <v>24</v>
      </c>
      <c r="L101" s="19">
        <v>0</v>
      </c>
      <c r="M101" s="18"/>
      <c r="Q101" t="s">
        <v>79</v>
      </c>
      <c r="R101">
        <v>122</v>
      </c>
      <c r="S101">
        <v>0</v>
      </c>
      <c r="V101" s="11">
        <f t="shared" si="27"/>
        <v>0</v>
      </c>
      <c r="W101" s="11">
        <f t="shared" si="28"/>
        <v>0</v>
      </c>
      <c r="X101" s="11">
        <f t="shared" si="29"/>
        <v>0</v>
      </c>
      <c r="Y101" s="11">
        <f t="shared" si="30"/>
        <v>530000</v>
      </c>
      <c r="Z101" s="11">
        <f t="shared" si="31"/>
        <v>2400000</v>
      </c>
      <c r="AA101" s="11">
        <f t="shared" si="32"/>
        <v>0</v>
      </c>
      <c r="AB101" s="13">
        <f t="shared" si="33"/>
        <v>0</v>
      </c>
      <c r="AC101" s="11">
        <f t="shared" si="34"/>
        <v>0</v>
      </c>
      <c r="AD101" s="11">
        <f t="shared" si="35"/>
        <v>0</v>
      </c>
      <c r="AE101" s="11">
        <f t="shared" si="36"/>
        <v>0</v>
      </c>
      <c r="AF101" s="11" t="e">
        <f t="shared" si="37"/>
        <v>#VALUE!</v>
      </c>
      <c r="AG101" s="11">
        <f t="shared" si="38"/>
        <v>12200000</v>
      </c>
      <c r="AH101" s="11">
        <f t="shared" si="39"/>
        <v>0</v>
      </c>
      <c r="AI101" s="11">
        <f t="shared" si="40"/>
        <v>0</v>
      </c>
      <c r="AJ101" s="11"/>
      <c r="AK101" s="11">
        <f t="shared" si="49"/>
        <v>1465000</v>
      </c>
      <c r="AL101" s="13">
        <f t="shared" si="48"/>
        <v>12200000</v>
      </c>
      <c r="AM101">
        <f t="shared" si="41"/>
        <v>6.1658376246901279</v>
      </c>
      <c r="AN101">
        <f t="shared" si="42"/>
        <v>7.0863598306747484</v>
      </c>
      <c r="AO101" s="11"/>
      <c r="AP101" s="11">
        <f>'Growth Parameters'!G96</f>
        <v>20.95</v>
      </c>
      <c r="AQ101" s="11"/>
      <c r="AR101" s="11">
        <f t="shared" si="43"/>
        <v>69928.400954653946</v>
      </c>
      <c r="AS101" s="13">
        <f t="shared" si="44"/>
        <v>582338.90214797133</v>
      </c>
      <c r="AT101">
        <f t="shared" si="45"/>
        <v>4.844653597387814</v>
      </c>
      <c r="AU101">
        <f t="shared" si="46"/>
        <v>5.7651758033724345</v>
      </c>
      <c r="AW101">
        <f t="shared" si="47"/>
        <v>18</v>
      </c>
      <c r="AX101" t="s">
        <v>23</v>
      </c>
      <c r="AY101" t="s">
        <v>91</v>
      </c>
      <c r="AZ101" s="16" t="s">
        <v>13</v>
      </c>
    </row>
    <row r="102" spans="1:52" x14ac:dyDescent="0.3">
      <c r="A102" t="s">
        <v>22</v>
      </c>
      <c r="B102" s="3">
        <v>44753</v>
      </c>
      <c r="C102">
        <f t="shared" si="26"/>
        <v>18</v>
      </c>
      <c r="D102" t="s">
        <v>23</v>
      </c>
      <c r="E102" t="s">
        <v>91</v>
      </c>
      <c r="F102" s="16" t="s">
        <v>14</v>
      </c>
      <c r="G102" s="16"/>
      <c r="H102" s="16"/>
      <c r="I102" s="16"/>
      <c r="J102" s="19">
        <v>37</v>
      </c>
      <c r="K102" s="19">
        <v>3</v>
      </c>
      <c r="L102" s="19">
        <v>0</v>
      </c>
      <c r="M102" s="18"/>
      <c r="Q102">
        <v>232</v>
      </c>
      <c r="R102">
        <v>128</v>
      </c>
      <c r="S102">
        <v>0</v>
      </c>
      <c r="V102" s="11">
        <f t="shared" si="27"/>
        <v>0</v>
      </c>
      <c r="W102" s="11">
        <f t="shared" si="28"/>
        <v>0</v>
      </c>
      <c r="X102" s="11">
        <f t="shared" si="29"/>
        <v>0</v>
      </c>
      <c r="Y102" s="11">
        <f t="shared" si="30"/>
        <v>370000</v>
      </c>
      <c r="Z102" s="11">
        <f t="shared" si="31"/>
        <v>300000</v>
      </c>
      <c r="AA102" s="11">
        <f t="shared" si="32"/>
        <v>0</v>
      </c>
      <c r="AB102" s="13">
        <f t="shared" si="33"/>
        <v>0</v>
      </c>
      <c r="AC102" s="11">
        <f t="shared" si="34"/>
        <v>0</v>
      </c>
      <c r="AD102" s="11">
        <f t="shared" si="35"/>
        <v>0</v>
      </c>
      <c r="AE102" s="11">
        <f t="shared" si="36"/>
        <v>0</v>
      </c>
      <c r="AF102" s="11">
        <f t="shared" si="37"/>
        <v>2320000</v>
      </c>
      <c r="AG102" s="11">
        <f t="shared" si="38"/>
        <v>12800000</v>
      </c>
      <c r="AH102" s="11">
        <f t="shared" si="39"/>
        <v>0</v>
      </c>
      <c r="AI102" s="11">
        <f t="shared" si="40"/>
        <v>0</v>
      </c>
      <c r="AJ102" s="11"/>
      <c r="AK102" s="11">
        <f t="shared" si="49"/>
        <v>370000</v>
      </c>
      <c r="AL102" s="13">
        <f t="shared" si="48"/>
        <v>7560000</v>
      </c>
      <c r="AM102">
        <f t="shared" si="41"/>
        <v>5.568201724066995</v>
      </c>
      <c r="AN102">
        <f t="shared" si="42"/>
        <v>6.8785217955012063</v>
      </c>
      <c r="AO102" s="11"/>
      <c r="AP102" s="11">
        <f>'Growth Parameters'!G97</f>
        <v>19.29</v>
      </c>
      <c r="AQ102" s="11"/>
      <c r="AR102" s="11">
        <f t="shared" si="43"/>
        <v>19180.92275790565</v>
      </c>
      <c r="AS102" s="13">
        <f t="shared" si="44"/>
        <v>391912.90824261279</v>
      </c>
      <c r="AT102">
        <f t="shared" si="45"/>
        <v>4.2828694964231104</v>
      </c>
      <c r="AU102">
        <f t="shared" si="46"/>
        <v>5.5931895678573218</v>
      </c>
      <c r="AW102">
        <f t="shared" si="47"/>
        <v>18</v>
      </c>
      <c r="AX102" t="s">
        <v>23</v>
      </c>
      <c r="AY102" t="s">
        <v>91</v>
      </c>
      <c r="AZ102" s="16" t="s">
        <v>14</v>
      </c>
    </row>
    <row r="103" spans="1:52" x14ac:dyDescent="0.3">
      <c r="A103" t="s">
        <v>22</v>
      </c>
      <c r="B103" s="3">
        <v>44753</v>
      </c>
      <c r="C103">
        <f t="shared" si="26"/>
        <v>18</v>
      </c>
      <c r="D103" t="s">
        <v>23</v>
      </c>
      <c r="E103" t="s">
        <v>18</v>
      </c>
      <c r="F103" s="16" t="s">
        <v>11</v>
      </c>
      <c r="G103" s="16"/>
      <c r="H103" s="16"/>
      <c r="I103" s="16"/>
      <c r="J103" s="19">
        <v>73</v>
      </c>
      <c r="K103" s="19">
        <v>7</v>
      </c>
      <c r="L103" s="19">
        <v>0</v>
      </c>
      <c r="M103" s="18"/>
      <c r="Q103" t="s">
        <v>79</v>
      </c>
      <c r="R103">
        <v>77</v>
      </c>
      <c r="S103">
        <v>10</v>
      </c>
      <c r="V103" s="11">
        <f t="shared" si="27"/>
        <v>0</v>
      </c>
      <c r="W103" s="11">
        <f t="shared" si="28"/>
        <v>0</v>
      </c>
      <c r="X103" s="11">
        <f t="shared" si="29"/>
        <v>0</v>
      </c>
      <c r="Y103" s="11">
        <f t="shared" si="30"/>
        <v>730000</v>
      </c>
      <c r="Z103" s="11">
        <f t="shared" si="31"/>
        <v>700000</v>
      </c>
      <c r="AA103" s="11">
        <f t="shared" si="32"/>
        <v>0</v>
      </c>
      <c r="AB103" s="13">
        <f t="shared" si="33"/>
        <v>0</v>
      </c>
      <c r="AC103" s="11">
        <f t="shared" si="34"/>
        <v>0</v>
      </c>
      <c r="AD103" s="11">
        <f t="shared" si="35"/>
        <v>0</v>
      </c>
      <c r="AE103" s="11">
        <f t="shared" si="36"/>
        <v>0</v>
      </c>
      <c r="AF103" s="11" t="e">
        <f t="shared" si="37"/>
        <v>#VALUE!</v>
      </c>
      <c r="AG103" s="11">
        <f t="shared" si="38"/>
        <v>7700000</v>
      </c>
      <c r="AH103" s="11">
        <f t="shared" si="39"/>
        <v>10000000</v>
      </c>
      <c r="AI103" s="11">
        <f t="shared" si="40"/>
        <v>0</v>
      </c>
      <c r="AJ103" s="11"/>
      <c r="AK103" s="11">
        <f t="shared" si="49"/>
        <v>730000</v>
      </c>
      <c r="AL103" s="13">
        <f t="shared" si="48"/>
        <v>7700000</v>
      </c>
      <c r="AM103">
        <f t="shared" si="41"/>
        <v>5.8633228601204559</v>
      </c>
      <c r="AN103">
        <f t="shared" si="42"/>
        <v>6.8864907251724823</v>
      </c>
      <c r="AO103" s="11"/>
      <c r="AP103" s="11">
        <f>'Growth Parameters'!G98</f>
        <v>17.811</v>
      </c>
      <c r="AQ103" s="11"/>
      <c r="AR103" s="11">
        <f t="shared" si="43"/>
        <v>40985.907585200155</v>
      </c>
      <c r="AS103" s="13">
        <f t="shared" si="44"/>
        <v>432317.10740553593</v>
      </c>
      <c r="AT103">
        <f t="shared" si="45"/>
        <v>4.6126345564747346</v>
      </c>
      <c r="AU103">
        <f t="shared" si="46"/>
        <v>5.635802421526761</v>
      </c>
      <c r="AW103">
        <f t="shared" si="47"/>
        <v>18</v>
      </c>
      <c r="AX103" t="s">
        <v>23</v>
      </c>
      <c r="AY103" t="s">
        <v>18</v>
      </c>
      <c r="AZ103" s="16" t="s">
        <v>11</v>
      </c>
    </row>
    <row r="104" spans="1:52" x14ac:dyDescent="0.3">
      <c r="A104" t="s">
        <v>22</v>
      </c>
      <c r="B104" s="3">
        <v>44753</v>
      </c>
      <c r="C104">
        <f t="shared" si="26"/>
        <v>18</v>
      </c>
      <c r="D104" t="s">
        <v>23</v>
      </c>
      <c r="E104" t="s">
        <v>18</v>
      </c>
      <c r="F104" s="16" t="s">
        <v>12</v>
      </c>
      <c r="G104" s="16"/>
      <c r="H104" s="16"/>
      <c r="I104" s="16"/>
      <c r="J104" s="19">
        <v>165</v>
      </c>
      <c r="K104" s="19">
        <v>14</v>
      </c>
      <c r="L104" s="19">
        <v>0</v>
      </c>
      <c r="M104" s="18"/>
      <c r="Q104" t="s">
        <v>79</v>
      </c>
      <c r="R104">
        <v>82</v>
      </c>
      <c r="S104">
        <v>0</v>
      </c>
      <c r="V104" s="11">
        <f t="shared" si="27"/>
        <v>0</v>
      </c>
      <c r="W104" s="11">
        <f t="shared" si="28"/>
        <v>0</v>
      </c>
      <c r="X104" s="11">
        <f t="shared" si="29"/>
        <v>0</v>
      </c>
      <c r="Y104" s="11">
        <f t="shared" si="30"/>
        <v>1650000</v>
      </c>
      <c r="Z104" s="11">
        <f t="shared" si="31"/>
        <v>1400000</v>
      </c>
      <c r="AA104" s="11">
        <f t="shared" si="32"/>
        <v>0</v>
      </c>
      <c r="AB104" s="13">
        <f t="shared" si="33"/>
        <v>0</v>
      </c>
      <c r="AC104" s="11">
        <f t="shared" si="34"/>
        <v>0</v>
      </c>
      <c r="AD104" s="11">
        <f t="shared" si="35"/>
        <v>0</v>
      </c>
      <c r="AE104" s="11">
        <f t="shared" si="36"/>
        <v>0</v>
      </c>
      <c r="AF104" s="11" t="e">
        <f t="shared" si="37"/>
        <v>#VALUE!</v>
      </c>
      <c r="AG104" s="11">
        <f t="shared" si="38"/>
        <v>8200000</v>
      </c>
      <c r="AH104" s="11">
        <f t="shared" si="39"/>
        <v>0</v>
      </c>
      <c r="AI104" s="11">
        <f t="shared" si="40"/>
        <v>0</v>
      </c>
      <c r="AJ104" s="11"/>
      <c r="AK104" s="11">
        <f t="shared" si="49"/>
        <v>1525000</v>
      </c>
      <c r="AL104" s="13">
        <f t="shared" si="48"/>
        <v>8200000</v>
      </c>
      <c r="AM104">
        <f t="shared" si="41"/>
        <v>6.1832698436828046</v>
      </c>
      <c r="AN104">
        <f t="shared" si="42"/>
        <v>6.9138138523837167</v>
      </c>
      <c r="AO104" s="11"/>
      <c r="AP104" s="11">
        <f>'Growth Parameters'!G99</f>
        <v>14.961</v>
      </c>
      <c r="AQ104" s="11"/>
      <c r="AR104" s="11">
        <f t="shared" si="43"/>
        <v>101931.68905821803</v>
      </c>
      <c r="AS104" s="13">
        <f t="shared" si="44"/>
        <v>548091.70509992645</v>
      </c>
      <c r="AT104">
        <f t="shared" si="45"/>
        <v>5.0083092207447795</v>
      </c>
      <c r="AU104">
        <f t="shared" si="46"/>
        <v>5.7388532294456915</v>
      </c>
      <c r="AW104">
        <f t="shared" si="47"/>
        <v>18</v>
      </c>
      <c r="AX104" t="s">
        <v>23</v>
      </c>
      <c r="AY104" t="s">
        <v>18</v>
      </c>
      <c r="AZ104" s="16" t="s">
        <v>12</v>
      </c>
    </row>
    <row r="105" spans="1:52" x14ac:dyDescent="0.3">
      <c r="A105" t="s">
        <v>22</v>
      </c>
      <c r="B105" s="3">
        <v>44753</v>
      </c>
      <c r="C105">
        <f t="shared" si="26"/>
        <v>18</v>
      </c>
      <c r="D105" t="s">
        <v>23</v>
      </c>
      <c r="E105" t="s">
        <v>18</v>
      </c>
      <c r="F105" s="16" t="s">
        <v>13</v>
      </c>
      <c r="G105" s="16"/>
      <c r="H105" s="16"/>
      <c r="I105" s="16"/>
      <c r="J105" s="19">
        <v>3</v>
      </c>
      <c r="K105" s="19">
        <v>0</v>
      </c>
      <c r="L105" s="19">
        <v>0</v>
      </c>
      <c r="M105" s="18"/>
      <c r="Q105">
        <v>175</v>
      </c>
      <c r="R105">
        <v>15</v>
      </c>
      <c r="S105">
        <v>1</v>
      </c>
      <c r="V105" s="11">
        <f t="shared" si="27"/>
        <v>0</v>
      </c>
      <c r="W105" s="11">
        <f t="shared" si="28"/>
        <v>0</v>
      </c>
      <c r="X105" s="11">
        <f t="shared" si="29"/>
        <v>0</v>
      </c>
      <c r="Y105" s="11">
        <f t="shared" si="30"/>
        <v>30000</v>
      </c>
      <c r="Z105" s="11">
        <f t="shared" si="31"/>
        <v>0</v>
      </c>
      <c r="AA105" s="11">
        <f t="shared" si="32"/>
        <v>0</v>
      </c>
      <c r="AB105" s="13">
        <f t="shared" si="33"/>
        <v>0</v>
      </c>
      <c r="AC105" s="11">
        <f t="shared" si="34"/>
        <v>0</v>
      </c>
      <c r="AD105" s="11">
        <f t="shared" si="35"/>
        <v>0</v>
      </c>
      <c r="AE105" s="11">
        <f t="shared" si="36"/>
        <v>0</v>
      </c>
      <c r="AF105" s="11">
        <f t="shared" si="37"/>
        <v>1750000</v>
      </c>
      <c r="AG105" s="11">
        <f t="shared" si="38"/>
        <v>1500000</v>
      </c>
      <c r="AH105" s="11">
        <f t="shared" si="39"/>
        <v>1000000</v>
      </c>
      <c r="AI105" s="11">
        <f t="shared" si="40"/>
        <v>0</v>
      </c>
      <c r="AJ105" s="11"/>
      <c r="AK105" s="11">
        <f>AVERAGEIFS(V105:AB105,G105:M105,"&lt;=400",G105:M105,"&gt;=3")</f>
        <v>30000</v>
      </c>
      <c r="AL105" s="13">
        <f t="shared" si="48"/>
        <v>1750000</v>
      </c>
      <c r="AM105">
        <f t="shared" si="41"/>
        <v>4.4771212547196626</v>
      </c>
      <c r="AN105">
        <f t="shared" si="42"/>
        <v>6.2430380486862944</v>
      </c>
      <c r="AO105" s="11"/>
      <c r="AP105" s="11">
        <f>'Growth Parameters'!G100</f>
        <v>19.315999999999999</v>
      </c>
      <c r="AQ105" s="11"/>
      <c r="AR105" s="11">
        <f t="shared" si="43"/>
        <v>1553.1165872851523</v>
      </c>
      <c r="AS105" s="13">
        <f t="shared" si="44"/>
        <v>90598.467591633889</v>
      </c>
      <c r="AT105">
        <f t="shared" si="45"/>
        <v>3.1912040579913539</v>
      </c>
      <c r="AU105">
        <f t="shared" si="46"/>
        <v>4.9571208519579857</v>
      </c>
      <c r="AW105">
        <f t="shared" si="47"/>
        <v>18</v>
      </c>
      <c r="AX105" t="s">
        <v>23</v>
      </c>
      <c r="AY105" t="s">
        <v>18</v>
      </c>
      <c r="AZ105" s="16" t="s">
        <v>13</v>
      </c>
    </row>
    <row r="106" spans="1:52" x14ac:dyDescent="0.3">
      <c r="A106" t="s">
        <v>22</v>
      </c>
      <c r="B106" s="3">
        <v>44753</v>
      </c>
      <c r="C106">
        <f t="shared" si="26"/>
        <v>18</v>
      </c>
      <c r="D106" t="s">
        <v>23</v>
      </c>
      <c r="E106" t="s">
        <v>18</v>
      </c>
      <c r="F106" s="16" t="s">
        <v>14</v>
      </c>
      <c r="G106" s="16"/>
      <c r="H106" s="16"/>
      <c r="I106" s="16"/>
      <c r="J106" s="19">
        <v>37</v>
      </c>
      <c r="K106" s="19">
        <v>1</v>
      </c>
      <c r="L106" s="19">
        <v>0</v>
      </c>
      <c r="M106" s="18"/>
      <c r="Q106" t="s">
        <v>79</v>
      </c>
      <c r="R106">
        <v>40</v>
      </c>
      <c r="S106">
        <v>2</v>
      </c>
      <c r="V106" s="11">
        <f t="shared" si="27"/>
        <v>0</v>
      </c>
      <c r="W106" s="11">
        <f t="shared" si="28"/>
        <v>0</v>
      </c>
      <c r="X106" s="11">
        <f t="shared" si="29"/>
        <v>0</v>
      </c>
      <c r="Y106" s="11">
        <f t="shared" si="30"/>
        <v>370000</v>
      </c>
      <c r="Z106" s="11">
        <f t="shared" si="31"/>
        <v>100000</v>
      </c>
      <c r="AA106" s="11">
        <f t="shared" si="32"/>
        <v>0</v>
      </c>
      <c r="AB106" s="13">
        <f t="shared" si="33"/>
        <v>0</v>
      </c>
      <c r="AC106" s="11">
        <f t="shared" si="34"/>
        <v>0</v>
      </c>
      <c r="AD106" s="11">
        <f t="shared" si="35"/>
        <v>0</v>
      </c>
      <c r="AE106" s="11">
        <f t="shared" si="36"/>
        <v>0</v>
      </c>
      <c r="AF106" s="11" t="e">
        <f t="shared" si="37"/>
        <v>#VALUE!</v>
      </c>
      <c r="AG106" s="11">
        <f t="shared" si="38"/>
        <v>4000000</v>
      </c>
      <c r="AH106" s="11">
        <f t="shared" si="39"/>
        <v>2000000</v>
      </c>
      <c r="AI106" s="11">
        <f t="shared" si="40"/>
        <v>0</v>
      </c>
      <c r="AJ106" s="11"/>
      <c r="AK106" s="11">
        <f t="shared" si="49"/>
        <v>370000</v>
      </c>
      <c r="AL106" s="13">
        <f t="shared" si="48"/>
        <v>4000000</v>
      </c>
      <c r="AM106">
        <f t="shared" si="41"/>
        <v>5.568201724066995</v>
      </c>
      <c r="AN106">
        <f t="shared" si="42"/>
        <v>6.6020599913279625</v>
      </c>
      <c r="AO106" s="11"/>
      <c r="AP106" s="11">
        <f>'Growth Parameters'!G101</f>
        <v>18.292999999999999</v>
      </c>
      <c r="AQ106" s="11"/>
      <c r="AR106" s="11">
        <f t="shared" si="43"/>
        <v>20226.316077187996</v>
      </c>
      <c r="AS106" s="13">
        <f t="shared" si="44"/>
        <v>218662.87651014049</v>
      </c>
      <c r="AT106">
        <f t="shared" si="45"/>
        <v>4.3059167896892507</v>
      </c>
      <c r="AU106">
        <f t="shared" si="46"/>
        <v>5.3397750569502183</v>
      </c>
      <c r="AW106">
        <f t="shared" si="47"/>
        <v>18</v>
      </c>
      <c r="AX106" t="s">
        <v>23</v>
      </c>
      <c r="AY106" t="s">
        <v>18</v>
      </c>
      <c r="AZ106" s="16" t="s">
        <v>14</v>
      </c>
    </row>
    <row r="107" spans="1:52" x14ac:dyDescent="0.3">
      <c r="A107" t="s">
        <v>22</v>
      </c>
      <c r="B107" s="3">
        <v>44753</v>
      </c>
      <c r="C107">
        <f t="shared" si="26"/>
        <v>18</v>
      </c>
      <c r="D107" t="s">
        <v>23</v>
      </c>
      <c r="E107" t="s">
        <v>19</v>
      </c>
      <c r="F107" s="16" t="s">
        <v>11</v>
      </c>
      <c r="G107" s="16"/>
      <c r="H107" s="16"/>
      <c r="I107" s="16"/>
      <c r="J107" s="19">
        <v>122</v>
      </c>
      <c r="K107" s="19">
        <v>0</v>
      </c>
      <c r="L107" s="19">
        <v>0</v>
      </c>
      <c r="M107" s="18"/>
      <c r="Q107">
        <v>429</v>
      </c>
      <c r="R107">
        <v>22</v>
      </c>
      <c r="S107">
        <v>2</v>
      </c>
      <c r="V107" s="11">
        <f t="shared" si="27"/>
        <v>0</v>
      </c>
      <c r="W107" s="11">
        <f t="shared" si="28"/>
        <v>0</v>
      </c>
      <c r="X107" s="11">
        <f t="shared" si="29"/>
        <v>0</v>
      </c>
      <c r="Y107" s="11">
        <f t="shared" si="30"/>
        <v>1220000</v>
      </c>
      <c r="Z107" s="11">
        <f t="shared" si="31"/>
        <v>0</v>
      </c>
      <c r="AA107" s="11">
        <f t="shared" si="32"/>
        <v>0</v>
      </c>
      <c r="AB107" s="13">
        <f t="shared" si="33"/>
        <v>0</v>
      </c>
      <c r="AC107" s="11">
        <f t="shared" si="34"/>
        <v>0</v>
      </c>
      <c r="AD107" s="11">
        <f t="shared" si="35"/>
        <v>0</v>
      </c>
      <c r="AE107" s="11">
        <f t="shared" si="36"/>
        <v>0</v>
      </c>
      <c r="AF107" s="11">
        <f t="shared" si="37"/>
        <v>4290000</v>
      </c>
      <c r="AG107" s="11">
        <f t="shared" si="38"/>
        <v>2200000</v>
      </c>
      <c r="AH107" s="11">
        <f t="shared" si="39"/>
        <v>2000000</v>
      </c>
      <c r="AI107" s="11">
        <f t="shared" si="40"/>
        <v>0</v>
      </c>
      <c r="AJ107" s="11"/>
      <c r="AK107" s="11">
        <f t="shared" si="49"/>
        <v>1220000</v>
      </c>
      <c r="AL107" s="13">
        <f t="shared" si="48"/>
        <v>2200000</v>
      </c>
      <c r="AM107">
        <f t="shared" si="41"/>
        <v>6.0863598306747484</v>
      </c>
      <c r="AN107">
        <f t="shared" si="42"/>
        <v>6.3424226808222066</v>
      </c>
      <c r="AO107" s="11"/>
      <c r="AP107" s="11">
        <f>'Growth Parameters'!G102</f>
        <v>6.8559999999999999</v>
      </c>
      <c r="AQ107" s="11"/>
      <c r="AR107" s="11">
        <f t="shared" si="43"/>
        <v>177946.32438739791</v>
      </c>
      <c r="AS107" s="13">
        <f t="shared" si="44"/>
        <v>320886.81446907821</v>
      </c>
      <c r="AT107">
        <f t="shared" si="45"/>
        <v>5.2502890217596061</v>
      </c>
      <c r="AU107">
        <f t="shared" si="46"/>
        <v>5.5063518719070643</v>
      </c>
      <c r="AW107">
        <f t="shared" si="47"/>
        <v>18</v>
      </c>
      <c r="AX107" t="s">
        <v>23</v>
      </c>
      <c r="AY107" t="s">
        <v>19</v>
      </c>
      <c r="AZ107" s="16" t="s">
        <v>11</v>
      </c>
    </row>
    <row r="108" spans="1:52" x14ac:dyDescent="0.3">
      <c r="A108" t="s">
        <v>22</v>
      </c>
      <c r="B108" s="3">
        <v>44753</v>
      </c>
      <c r="C108">
        <f t="shared" si="26"/>
        <v>18</v>
      </c>
      <c r="D108" t="s">
        <v>23</v>
      </c>
      <c r="E108" t="s">
        <v>19</v>
      </c>
      <c r="F108" s="16" t="s">
        <v>12</v>
      </c>
      <c r="G108" s="16"/>
      <c r="H108" s="16"/>
      <c r="I108" s="16"/>
      <c r="J108" s="19">
        <v>189</v>
      </c>
      <c r="K108" s="19">
        <v>5</v>
      </c>
      <c r="L108" s="19">
        <v>0</v>
      </c>
      <c r="M108" s="18"/>
      <c r="Q108" t="s">
        <v>79</v>
      </c>
      <c r="R108">
        <v>68</v>
      </c>
      <c r="S108">
        <v>4</v>
      </c>
      <c r="V108" s="11">
        <f t="shared" si="27"/>
        <v>0</v>
      </c>
      <c r="W108" s="11">
        <f t="shared" si="28"/>
        <v>0</v>
      </c>
      <c r="X108" s="11">
        <f t="shared" si="29"/>
        <v>0</v>
      </c>
      <c r="Y108" s="11">
        <f t="shared" si="30"/>
        <v>1890000</v>
      </c>
      <c r="Z108" s="11">
        <f t="shared" si="31"/>
        <v>500000</v>
      </c>
      <c r="AA108" s="11">
        <f t="shared" si="32"/>
        <v>0</v>
      </c>
      <c r="AB108" s="13">
        <f t="shared" si="33"/>
        <v>0</v>
      </c>
      <c r="AC108" s="11">
        <f t="shared" si="34"/>
        <v>0</v>
      </c>
      <c r="AD108" s="11">
        <f t="shared" si="35"/>
        <v>0</v>
      </c>
      <c r="AE108" s="11">
        <f t="shared" si="36"/>
        <v>0</v>
      </c>
      <c r="AF108" s="11" t="e">
        <f t="shared" si="37"/>
        <v>#VALUE!</v>
      </c>
      <c r="AG108" s="11">
        <f t="shared" si="38"/>
        <v>6800000</v>
      </c>
      <c r="AH108" s="11">
        <f t="shared" si="39"/>
        <v>4000000</v>
      </c>
      <c r="AI108" s="11">
        <f t="shared" si="40"/>
        <v>0</v>
      </c>
      <c r="AJ108" s="11"/>
      <c r="AK108" s="11">
        <f t="shared" si="49"/>
        <v>1890000</v>
      </c>
      <c r="AL108" s="13">
        <f t="shared" si="48"/>
        <v>6800000</v>
      </c>
      <c r="AM108">
        <f t="shared" si="41"/>
        <v>6.2764618041732438</v>
      </c>
      <c r="AN108">
        <f t="shared" si="42"/>
        <v>6.8325089127062366</v>
      </c>
      <c r="AO108" s="11"/>
      <c r="AP108" s="11">
        <f>'Growth Parameters'!G103</f>
        <v>7.1520000000000001</v>
      </c>
      <c r="AQ108" s="11"/>
      <c r="AR108" s="11">
        <f t="shared" si="43"/>
        <v>264261.74496644293</v>
      </c>
      <c r="AS108" s="13">
        <f t="shared" si="44"/>
        <v>950782.99776286352</v>
      </c>
      <c r="AT108">
        <f t="shared" si="45"/>
        <v>5.4220342983853831</v>
      </c>
      <c r="AU108">
        <f t="shared" si="46"/>
        <v>5.978081406918375</v>
      </c>
      <c r="AW108">
        <f t="shared" si="47"/>
        <v>18</v>
      </c>
      <c r="AX108" t="s">
        <v>23</v>
      </c>
      <c r="AY108" t="s">
        <v>19</v>
      </c>
      <c r="AZ108" s="16" t="s">
        <v>12</v>
      </c>
    </row>
    <row r="109" spans="1:52" x14ac:dyDescent="0.3">
      <c r="A109" t="s">
        <v>22</v>
      </c>
      <c r="B109" s="3">
        <v>44753</v>
      </c>
      <c r="C109">
        <f t="shared" si="26"/>
        <v>18</v>
      </c>
      <c r="D109" t="s">
        <v>23</v>
      </c>
      <c r="E109" t="s">
        <v>19</v>
      </c>
      <c r="F109" s="16" t="s">
        <v>13</v>
      </c>
      <c r="G109" s="16"/>
      <c r="H109" s="16"/>
      <c r="I109" s="16"/>
      <c r="J109" s="19">
        <v>38</v>
      </c>
      <c r="K109" s="19">
        <v>1</v>
      </c>
      <c r="L109" s="19">
        <v>0</v>
      </c>
      <c r="M109" s="18"/>
      <c r="Q109">
        <v>467</v>
      </c>
      <c r="R109">
        <v>34</v>
      </c>
      <c r="S109">
        <v>3</v>
      </c>
      <c r="V109" s="11">
        <f t="shared" si="27"/>
        <v>0</v>
      </c>
      <c r="W109" s="11">
        <f t="shared" si="28"/>
        <v>0</v>
      </c>
      <c r="X109" s="11">
        <f t="shared" si="29"/>
        <v>0</v>
      </c>
      <c r="Y109" s="11">
        <f t="shared" si="30"/>
        <v>380000</v>
      </c>
      <c r="Z109" s="11">
        <f t="shared" si="31"/>
        <v>100000</v>
      </c>
      <c r="AA109" s="11">
        <f t="shared" si="32"/>
        <v>0</v>
      </c>
      <c r="AB109" s="13">
        <f t="shared" si="33"/>
        <v>0</v>
      </c>
      <c r="AC109" s="11">
        <f t="shared" si="34"/>
        <v>0</v>
      </c>
      <c r="AD109" s="11">
        <f t="shared" si="35"/>
        <v>0</v>
      </c>
      <c r="AE109" s="11">
        <f t="shared" si="36"/>
        <v>0</v>
      </c>
      <c r="AF109" s="11">
        <f t="shared" si="37"/>
        <v>4670000</v>
      </c>
      <c r="AG109" s="11">
        <f t="shared" si="38"/>
        <v>3400000</v>
      </c>
      <c r="AH109" s="11">
        <f t="shared" si="39"/>
        <v>3000000</v>
      </c>
      <c r="AI109" s="11">
        <f t="shared" si="40"/>
        <v>0</v>
      </c>
      <c r="AJ109" s="11"/>
      <c r="AK109" s="11">
        <f t="shared" si="49"/>
        <v>380000</v>
      </c>
      <c r="AL109" s="13">
        <f t="shared" si="48"/>
        <v>3400000</v>
      </c>
      <c r="AM109">
        <f t="shared" si="41"/>
        <v>5.5797835966168101</v>
      </c>
      <c r="AN109">
        <f t="shared" si="42"/>
        <v>6.5314789170422554</v>
      </c>
      <c r="AO109" s="11"/>
      <c r="AP109" s="11">
        <f>'Growth Parameters'!G104</f>
        <v>7.4640000000000004</v>
      </c>
      <c r="AQ109" s="11"/>
      <c r="AR109" s="11">
        <f t="shared" si="43"/>
        <v>50911.039657020359</v>
      </c>
      <c r="AS109" s="13">
        <f t="shared" si="44"/>
        <v>455519.82851018221</v>
      </c>
      <c r="AT109">
        <f t="shared" si="45"/>
        <v>4.7068119658783667</v>
      </c>
      <c r="AU109">
        <f t="shared" si="46"/>
        <v>5.6585072863038119</v>
      </c>
      <c r="AW109">
        <f t="shared" si="47"/>
        <v>18</v>
      </c>
      <c r="AX109" t="s">
        <v>23</v>
      </c>
      <c r="AY109" t="s">
        <v>19</v>
      </c>
      <c r="AZ109" s="16" t="s">
        <v>13</v>
      </c>
    </row>
    <row r="110" spans="1:52" x14ac:dyDescent="0.3">
      <c r="A110" t="s">
        <v>22</v>
      </c>
      <c r="B110" s="3">
        <v>44753</v>
      </c>
      <c r="C110">
        <f t="shared" si="26"/>
        <v>18</v>
      </c>
      <c r="D110" t="s">
        <v>23</v>
      </c>
      <c r="E110" t="s">
        <v>19</v>
      </c>
      <c r="F110" s="16" t="s">
        <v>14</v>
      </c>
      <c r="G110" s="16"/>
      <c r="H110" s="16"/>
      <c r="I110" s="16"/>
      <c r="J110" s="19">
        <v>31</v>
      </c>
      <c r="K110" s="19">
        <v>0</v>
      </c>
      <c r="L110" s="19">
        <v>0</v>
      </c>
      <c r="M110" s="18"/>
      <c r="Q110">
        <v>105</v>
      </c>
      <c r="R110">
        <v>19</v>
      </c>
      <c r="S110">
        <v>0</v>
      </c>
      <c r="V110" s="11">
        <f t="shared" si="27"/>
        <v>0</v>
      </c>
      <c r="W110" s="11">
        <f t="shared" si="28"/>
        <v>0</v>
      </c>
      <c r="X110" s="11">
        <f t="shared" si="29"/>
        <v>0</v>
      </c>
      <c r="Y110" s="11">
        <f t="shared" si="30"/>
        <v>310000</v>
      </c>
      <c r="Z110" s="11">
        <f t="shared" si="31"/>
        <v>0</v>
      </c>
      <c r="AA110" s="11">
        <f t="shared" si="32"/>
        <v>0</v>
      </c>
      <c r="AB110" s="13">
        <f t="shared" si="33"/>
        <v>0</v>
      </c>
      <c r="AC110" s="11">
        <f t="shared" si="34"/>
        <v>0</v>
      </c>
      <c r="AD110" s="11">
        <f t="shared" si="35"/>
        <v>0</v>
      </c>
      <c r="AE110" s="11">
        <f t="shared" si="36"/>
        <v>0</v>
      </c>
      <c r="AF110" s="11">
        <f t="shared" si="37"/>
        <v>1050000</v>
      </c>
      <c r="AG110" s="11">
        <f t="shared" si="38"/>
        <v>1900000</v>
      </c>
      <c r="AH110" s="11">
        <f t="shared" si="39"/>
        <v>0</v>
      </c>
      <c r="AI110" s="11">
        <f t="shared" si="40"/>
        <v>0</v>
      </c>
      <c r="AJ110" s="11"/>
      <c r="AK110" s="11">
        <f t="shared" si="49"/>
        <v>310000</v>
      </c>
      <c r="AL110" s="13">
        <f t="shared" si="48"/>
        <v>1050000</v>
      </c>
      <c r="AM110">
        <f t="shared" si="41"/>
        <v>5.4913616938342731</v>
      </c>
      <c r="AN110">
        <f t="shared" si="42"/>
        <v>6.0211892990699383</v>
      </c>
      <c r="AO110" s="11"/>
      <c r="AP110" s="11">
        <f>'Growth Parameters'!G105</f>
        <v>6.6360000000000001</v>
      </c>
      <c r="AQ110" s="11"/>
      <c r="AR110" s="11">
        <f t="shared" si="43"/>
        <v>46714.888487040385</v>
      </c>
      <c r="AS110" s="13">
        <f t="shared" si="44"/>
        <v>158227.84810126582</v>
      </c>
      <c r="AT110">
        <f t="shared" si="45"/>
        <v>4.6694553164819492</v>
      </c>
      <c r="AU110">
        <f t="shared" si="46"/>
        <v>5.1992829217176153</v>
      </c>
      <c r="AW110">
        <f t="shared" si="47"/>
        <v>18</v>
      </c>
      <c r="AX110" t="s">
        <v>23</v>
      </c>
      <c r="AY110" t="s">
        <v>19</v>
      </c>
      <c r="AZ110" s="16" t="s">
        <v>14</v>
      </c>
    </row>
    <row r="124" spans="16:18" x14ac:dyDescent="0.3">
      <c r="P124" t="s">
        <v>79</v>
      </c>
      <c r="Q124" s="19">
        <v>98</v>
      </c>
      <c r="R124">
        <v>8</v>
      </c>
    </row>
    <row r="125" spans="16:18" x14ac:dyDescent="0.3">
      <c r="P125" t="s">
        <v>79</v>
      </c>
      <c r="Q125" s="19">
        <v>258</v>
      </c>
      <c r="R125">
        <v>19</v>
      </c>
    </row>
    <row r="126" spans="16:18" x14ac:dyDescent="0.3">
      <c r="P126" t="s">
        <v>79</v>
      </c>
      <c r="Q126" s="19" t="s">
        <v>79</v>
      </c>
      <c r="R126">
        <v>133</v>
      </c>
    </row>
    <row r="127" spans="16:18" x14ac:dyDescent="0.3">
      <c r="P127" t="s">
        <v>79</v>
      </c>
      <c r="Q127" s="19">
        <v>384</v>
      </c>
      <c r="R127">
        <v>26</v>
      </c>
    </row>
    <row r="128" spans="16:18" x14ac:dyDescent="0.3">
      <c r="P128" t="s">
        <v>79</v>
      </c>
      <c r="Q128" s="16" t="s">
        <v>79</v>
      </c>
      <c r="R128">
        <v>40</v>
      </c>
    </row>
    <row r="129" spans="5:52" x14ac:dyDescent="0.3">
      <c r="P129" t="s">
        <v>79</v>
      </c>
      <c r="Q129" s="19">
        <v>210</v>
      </c>
      <c r="R129">
        <v>27</v>
      </c>
    </row>
    <row r="130" spans="5:52" x14ac:dyDescent="0.3">
      <c r="P130" t="s">
        <v>79</v>
      </c>
      <c r="Q130" s="19">
        <v>119</v>
      </c>
      <c r="R130">
        <v>7</v>
      </c>
    </row>
    <row r="131" spans="5:52" x14ac:dyDescent="0.3">
      <c r="E131" s="19"/>
      <c r="F131" s="19"/>
      <c r="G131" s="19"/>
      <c r="P131" t="s">
        <v>79</v>
      </c>
      <c r="Q131" s="19">
        <v>271</v>
      </c>
      <c r="R131">
        <v>29</v>
      </c>
      <c r="AY131" s="19"/>
      <c r="AZ131" s="19"/>
    </row>
    <row r="132" spans="5:52" x14ac:dyDescent="0.3">
      <c r="E132" s="16"/>
      <c r="F132" s="19"/>
      <c r="G132" s="19"/>
      <c r="P132" t="s">
        <v>79</v>
      </c>
      <c r="Q132" s="19">
        <v>131</v>
      </c>
      <c r="R132">
        <v>10</v>
      </c>
      <c r="AY132" s="16"/>
      <c r="AZ132" s="19"/>
    </row>
    <row r="133" spans="5:52" x14ac:dyDescent="0.3">
      <c r="E133" s="16"/>
      <c r="F133" s="16"/>
      <c r="G133" s="19"/>
      <c r="P133" t="s">
        <v>79</v>
      </c>
      <c r="Q133" s="19">
        <v>250</v>
      </c>
      <c r="R133">
        <v>38</v>
      </c>
      <c r="AY133" s="16"/>
      <c r="AZ133" s="16"/>
    </row>
    <row r="134" spans="5:52" x14ac:dyDescent="0.3">
      <c r="E134" s="19"/>
      <c r="F134" s="19"/>
      <c r="G134" s="19"/>
      <c r="P134" t="s">
        <v>79</v>
      </c>
      <c r="Q134" s="19">
        <v>92</v>
      </c>
      <c r="R134">
        <v>5</v>
      </c>
      <c r="AY134" s="19"/>
      <c r="AZ134" s="19"/>
    </row>
    <row r="135" spans="5:52" x14ac:dyDescent="0.3">
      <c r="E135" s="19"/>
      <c r="F135" s="19"/>
      <c r="G135" s="19"/>
      <c r="P135" t="s">
        <v>79</v>
      </c>
      <c r="Q135" s="19">
        <v>97</v>
      </c>
      <c r="R135">
        <v>47</v>
      </c>
      <c r="AY135" s="19"/>
      <c r="AZ135" s="19"/>
    </row>
    <row r="136" spans="5:52" x14ac:dyDescent="0.3">
      <c r="E136" s="19"/>
      <c r="F136" s="19"/>
      <c r="G136" s="19"/>
      <c r="P136" t="s">
        <v>79</v>
      </c>
      <c r="Q136" s="19">
        <v>268</v>
      </c>
      <c r="R136">
        <v>16</v>
      </c>
      <c r="AY136" s="19"/>
      <c r="AZ136" s="19"/>
    </row>
    <row r="137" spans="5:52" x14ac:dyDescent="0.3">
      <c r="E137" s="19"/>
      <c r="F137" s="19"/>
      <c r="G137" s="19"/>
      <c r="P137" t="s">
        <v>79</v>
      </c>
      <c r="Q137" s="19">
        <v>100</v>
      </c>
      <c r="R137">
        <v>11</v>
      </c>
      <c r="AY137" s="19"/>
      <c r="AZ137" s="19"/>
    </row>
    <row r="138" spans="5:52" x14ac:dyDescent="0.3">
      <c r="E138" s="19"/>
      <c r="F138" s="19"/>
      <c r="G138" s="19"/>
      <c r="P138" t="s">
        <v>79</v>
      </c>
      <c r="Q138" s="19">
        <v>172</v>
      </c>
      <c r="R138">
        <v>20</v>
      </c>
      <c r="AY138" s="19"/>
      <c r="AZ138" s="19"/>
    </row>
    <row r="139" spans="5:52" x14ac:dyDescent="0.3">
      <c r="E139" s="19"/>
      <c r="F139" s="19"/>
      <c r="G139" s="19"/>
      <c r="P139" t="s">
        <v>79</v>
      </c>
      <c r="Q139" s="19">
        <v>182</v>
      </c>
      <c r="R139">
        <v>16</v>
      </c>
      <c r="AY139" s="19"/>
      <c r="AZ139" s="19"/>
    </row>
    <row r="140" spans="5:52" x14ac:dyDescent="0.3">
      <c r="E140" s="16"/>
      <c r="F140" s="19"/>
      <c r="G140" s="19"/>
      <c r="P140" t="s">
        <v>79</v>
      </c>
      <c r="Q140" s="19">
        <v>423</v>
      </c>
      <c r="R140">
        <v>90</v>
      </c>
      <c r="AY140" s="16"/>
      <c r="AZ140" s="19"/>
    </row>
    <row r="141" spans="5:52" x14ac:dyDescent="0.3">
      <c r="E141" s="19"/>
      <c r="F141" s="19"/>
      <c r="G141" s="19"/>
      <c r="P141" t="s">
        <v>79</v>
      </c>
      <c r="Q141" t="s">
        <v>79</v>
      </c>
      <c r="R141">
        <v>49</v>
      </c>
      <c r="AY141" s="19"/>
      <c r="AZ141" s="19"/>
    </row>
    <row r="142" spans="5:52" x14ac:dyDescent="0.3">
      <c r="E142" s="19"/>
      <c r="F142" s="19"/>
      <c r="G142" s="19"/>
      <c r="P142" t="s">
        <v>79</v>
      </c>
      <c r="Q142" t="s">
        <v>79</v>
      </c>
      <c r="R142">
        <v>167</v>
      </c>
      <c r="AY142" s="19"/>
      <c r="AZ142" s="19"/>
    </row>
    <row r="143" spans="5:52" x14ac:dyDescent="0.3">
      <c r="E143" s="19"/>
      <c r="F143" s="19"/>
      <c r="G143" s="19"/>
      <c r="P143" t="s">
        <v>79</v>
      </c>
      <c r="Q143" t="s">
        <v>79</v>
      </c>
      <c r="R143">
        <v>108</v>
      </c>
      <c r="AY143" s="19"/>
      <c r="AZ143" s="19"/>
    </row>
    <row r="144" spans="5:52" x14ac:dyDescent="0.3">
      <c r="E144" s="16"/>
      <c r="F144" s="19"/>
      <c r="G144" s="19"/>
      <c r="P144" t="s">
        <v>79</v>
      </c>
      <c r="Q144">
        <v>316</v>
      </c>
      <c r="R144">
        <v>40</v>
      </c>
      <c r="AY144" s="16"/>
      <c r="AZ144" s="19"/>
    </row>
    <row r="145" spans="5:52" x14ac:dyDescent="0.3">
      <c r="E145" s="19"/>
      <c r="F145" s="19"/>
      <c r="G145" s="19"/>
      <c r="P145" t="s">
        <v>79</v>
      </c>
      <c r="Q145">
        <v>205</v>
      </c>
      <c r="R145">
        <v>35</v>
      </c>
      <c r="AY145" s="19"/>
      <c r="AZ145" s="19"/>
    </row>
    <row r="146" spans="5:52" x14ac:dyDescent="0.3">
      <c r="E146" s="19"/>
      <c r="F146" s="19"/>
      <c r="G146" s="19"/>
      <c r="P146" t="s">
        <v>79</v>
      </c>
      <c r="Q146" t="s">
        <v>79</v>
      </c>
      <c r="R146">
        <v>51</v>
      </c>
      <c r="AY146" s="19"/>
      <c r="AZ146" s="19"/>
    </row>
    <row r="147" spans="5:52" x14ac:dyDescent="0.3">
      <c r="E147" s="16"/>
      <c r="F147" s="19"/>
      <c r="G147" s="19"/>
      <c r="P147" t="s">
        <v>79</v>
      </c>
      <c r="Q147" t="s">
        <v>79</v>
      </c>
      <c r="R147">
        <v>75</v>
      </c>
      <c r="AY147" s="16"/>
      <c r="AZ147" s="19"/>
    </row>
    <row r="148" spans="5:52" x14ac:dyDescent="0.3">
      <c r="E148" s="16"/>
      <c r="F148" s="19"/>
      <c r="G148" s="19"/>
      <c r="P148" t="s">
        <v>79</v>
      </c>
      <c r="Q148" t="s">
        <v>79</v>
      </c>
      <c r="R148">
        <v>88</v>
      </c>
      <c r="AY148" s="16"/>
      <c r="AZ148" s="19"/>
    </row>
    <row r="149" spans="5:52" x14ac:dyDescent="0.3">
      <c r="E149" s="16"/>
      <c r="F149" s="19"/>
      <c r="G149" s="19"/>
      <c r="P149" t="s">
        <v>79</v>
      </c>
      <c r="Q149" t="s">
        <v>79</v>
      </c>
      <c r="R149">
        <v>94</v>
      </c>
      <c r="AY149" s="16"/>
      <c r="AZ149" s="19"/>
    </row>
    <row r="150" spans="5:52" x14ac:dyDescent="0.3">
      <c r="E150" s="16"/>
      <c r="F150" s="19"/>
      <c r="G150" s="19"/>
      <c r="P150" t="s">
        <v>79</v>
      </c>
      <c r="Q150">
        <v>310</v>
      </c>
      <c r="R150">
        <v>13</v>
      </c>
      <c r="AY150" s="16"/>
      <c r="AZ150" s="19"/>
    </row>
    <row r="151" spans="5:52" x14ac:dyDescent="0.3">
      <c r="E151" s="16"/>
      <c r="F151" s="19"/>
      <c r="G151" s="19"/>
      <c r="P151" t="s">
        <v>79</v>
      </c>
      <c r="Q151" t="s">
        <v>79</v>
      </c>
      <c r="R151">
        <v>108</v>
      </c>
      <c r="AY151" s="16"/>
      <c r="AZ151" s="19"/>
    </row>
    <row r="152" spans="5:52" x14ac:dyDescent="0.3">
      <c r="E152" s="16"/>
      <c r="F152" s="19"/>
      <c r="G152" s="19"/>
      <c r="P152" t="s">
        <v>79</v>
      </c>
      <c r="Q152">
        <v>403</v>
      </c>
      <c r="R152">
        <v>23</v>
      </c>
      <c r="AY152" s="16"/>
      <c r="AZ152" s="19"/>
    </row>
    <row r="153" spans="5:52" x14ac:dyDescent="0.3">
      <c r="E153" s="16"/>
      <c r="F153" s="19"/>
      <c r="G153" s="19"/>
      <c r="P153" t="s">
        <v>79</v>
      </c>
      <c r="Q153">
        <v>374</v>
      </c>
      <c r="R153">
        <v>33</v>
      </c>
      <c r="AY153" s="16"/>
      <c r="AZ153" s="19"/>
    </row>
    <row r="154" spans="5:52" x14ac:dyDescent="0.3">
      <c r="E154" s="16"/>
      <c r="F154" s="19"/>
      <c r="G154" s="19"/>
      <c r="P154" t="s">
        <v>79</v>
      </c>
      <c r="Q154">
        <v>353</v>
      </c>
      <c r="R154">
        <v>14</v>
      </c>
      <c r="AY154" s="16"/>
      <c r="AZ154" s="19"/>
    </row>
    <row r="155" spans="5:52" x14ac:dyDescent="0.3">
      <c r="E155" s="16"/>
      <c r="F155" s="19"/>
      <c r="G155" s="19"/>
      <c r="P155" t="s">
        <v>79</v>
      </c>
      <c r="Q155">
        <v>368</v>
      </c>
      <c r="R155">
        <v>107</v>
      </c>
      <c r="AY155" s="16"/>
      <c r="AZ155" s="19"/>
    </row>
    <row r="156" spans="5:52" x14ac:dyDescent="0.3">
      <c r="E156" s="16"/>
      <c r="F156" s="16"/>
      <c r="G156" s="19"/>
      <c r="AY156" s="16"/>
      <c r="AZ156" s="16"/>
    </row>
    <row r="157" spans="5:52" x14ac:dyDescent="0.3">
      <c r="E157" s="16"/>
      <c r="F157" s="19"/>
      <c r="G157" s="19"/>
      <c r="AY157" s="16"/>
      <c r="AZ157" s="19"/>
    </row>
    <row r="158" spans="5:52" x14ac:dyDescent="0.3">
      <c r="E158" s="16"/>
      <c r="F158" s="19"/>
      <c r="G158" s="19"/>
      <c r="AY158" s="16"/>
      <c r="AZ158" s="19"/>
    </row>
    <row r="159" spans="5:52" x14ac:dyDescent="0.3">
      <c r="E159" s="16"/>
      <c r="F159" s="19"/>
      <c r="G159" s="19"/>
      <c r="AY159" s="16"/>
      <c r="AZ159" s="19"/>
    </row>
    <row r="160" spans="5:52" x14ac:dyDescent="0.3">
      <c r="E160" s="16"/>
      <c r="F160" s="19"/>
      <c r="G160" s="19"/>
      <c r="AY160" s="16"/>
      <c r="AZ160" s="19"/>
    </row>
    <row r="161" spans="5:52" x14ac:dyDescent="0.3">
      <c r="E161" s="16"/>
      <c r="F161" s="19"/>
      <c r="G161" s="19"/>
      <c r="AY161" s="16"/>
      <c r="AZ161" s="19"/>
    </row>
    <row r="162" spans="5:52" x14ac:dyDescent="0.3">
      <c r="E162" s="16"/>
      <c r="F162" s="19"/>
      <c r="G162" s="19"/>
      <c r="AY162" s="16"/>
      <c r="AZ162" s="19"/>
    </row>
  </sheetData>
  <mergeCells count="10">
    <mergeCell ref="AR5:AS5"/>
    <mergeCell ref="AT5:AU5"/>
    <mergeCell ref="G5:M5"/>
    <mergeCell ref="N5:T5"/>
    <mergeCell ref="G4:T4"/>
    <mergeCell ref="V4:AI4"/>
    <mergeCell ref="V5:AB5"/>
    <mergeCell ref="AC5:AI5"/>
    <mergeCell ref="AK5:AL5"/>
    <mergeCell ref="AM5:AN5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BEA4-A64D-430B-97EE-3AE1DE356211}">
  <dimension ref="A1:M29"/>
  <sheetViews>
    <sheetView zoomScale="70" zoomScaleNormal="70" workbookViewId="0">
      <selection activeCell="H46" sqref="H46"/>
    </sheetView>
  </sheetViews>
  <sheetFormatPr defaultColWidth="11.5546875" defaultRowHeight="14.4" x14ac:dyDescent="0.3"/>
  <sheetData>
    <row r="1" spans="1:13" x14ac:dyDescent="0.3">
      <c r="F1" s="41" t="s">
        <v>25</v>
      </c>
      <c r="G1" s="41"/>
      <c r="H1" s="41"/>
      <c r="I1" s="41"/>
      <c r="J1" s="43" t="s">
        <v>39</v>
      </c>
      <c r="K1" s="43"/>
      <c r="L1" s="43"/>
      <c r="M1" s="43"/>
    </row>
    <row r="2" spans="1:13" x14ac:dyDescent="0.3">
      <c r="A2" s="25" t="s">
        <v>21</v>
      </c>
      <c r="B2" s="25" t="s">
        <v>0</v>
      </c>
      <c r="C2" s="25" t="s">
        <v>1</v>
      </c>
      <c r="D2" s="25" t="s">
        <v>9</v>
      </c>
      <c r="E2" s="25" t="s">
        <v>2</v>
      </c>
      <c r="F2" s="45" t="s">
        <v>24</v>
      </c>
      <c r="G2" s="45"/>
      <c r="H2" s="41" t="s">
        <v>26</v>
      </c>
      <c r="I2" s="41"/>
      <c r="J2" s="45" t="s">
        <v>24</v>
      </c>
      <c r="K2" s="44"/>
      <c r="L2" s="43" t="s">
        <v>26</v>
      </c>
      <c r="M2" s="43"/>
    </row>
    <row r="3" spans="1:13" x14ac:dyDescent="0.3">
      <c r="F3" s="24" t="s">
        <v>60</v>
      </c>
      <c r="G3" s="24" t="s">
        <v>63</v>
      </c>
      <c r="H3" s="24" t="s">
        <v>60</v>
      </c>
      <c r="I3" s="24" t="s">
        <v>63</v>
      </c>
      <c r="J3" s="24" t="s">
        <v>60</v>
      </c>
      <c r="K3" s="24" t="s">
        <v>63</v>
      </c>
      <c r="L3" s="24" t="s">
        <v>60</v>
      </c>
      <c r="M3" s="24" t="s">
        <v>63</v>
      </c>
    </row>
    <row r="4" spans="1:13" x14ac:dyDescent="0.3">
      <c r="A4" t="str">
        <f>'Plate Plating'!A7</f>
        <v>UQLight04</v>
      </c>
      <c r="B4" s="3">
        <f>'Plate Plating'!B7</f>
        <v>44735</v>
      </c>
      <c r="C4">
        <f>'Plate Plating'!C7</f>
        <v>0</v>
      </c>
      <c r="D4" t="str">
        <f>'Plate Plating'!D7</f>
        <v>Acclimatisation 1</v>
      </c>
      <c r="E4" t="str">
        <f>'Plate Plating'!E7</f>
        <v>-</v>
      </c>
      <c r="F4">
        <f>AVERAGE('Plate Plating'!AR7:AR10)</f>
        <v>0</v>
      </c>
      <c r="G4">
        <f>STDEV('Plate Plating'!AR7:AR10)</f>
        <v>0</v>
      </c>
      <c r="H4">
        <f>AVERAGE('Plate Plating'!AS7:AS10)</f>
        <v>254.11130215678483</v>
      </c>
      <c r="I4">
        <f>STDEV('Plate Plating'!AS7:AS10)</f>
        <v>187.73258414120755</v>
      </c>
      <c r="J4" t="e">
        <f>AVERAGE('Plate Plating'!AT7:AT10)</f>
        <v>#NUM!</v>
      </c>
      <c r="K4" t="e">
        <f>STDEV('Plate Plating'!AT7:AT10)</f>
        <v>#NUM!</v>
      </c>
      <c r="L4">
        <f>AVERAGE('Plate Plating'!AU7:AU10)</f>
        <v>2.2933362617677648</v>
      </c>
      <c r="M4">
        <f>STDEV('Plate Plating'!AU7:AU10)</f>
        <v>0.37733346470787532</v>
      </c>
    </row>
    <row r="5" spans="1:13" x14ac:dyDescent="0.3">
      <c r="A5" t="str">
        <f>'Plate Plating'!A11</f>
        <v>UQLight04</v>
      </c>
      <c r="B5" s="3">
        <f>'Plate Plating'!B11</f>
        <v>44739</v>
      </c>
      <c r="C5">
        <f>'Plate Plating'!C11</f>
        <v>4</v>
      </c>
      <c r="D5" t="str">
        <f>'Plate Plating'!D11</f>
        <v>Acclimatisation 2</v>
      </c>
      <c r="E5" t="str">
        <f>'Plate Plating'!E11</f>
        <v>-</v>
      </c>
      <c r="F5">
        <f>AVERAGE('Plate Plating'!AR11:AR14)</f>
        <v>0</v>
      </c>
      <c r="G5">
        <f>STDEV('Plate Plating'!AR11:AR14)</f>
        <v>0</v>
      </c>
      <c r="H5">
        <f>AVERAGE('Plate Plating'!AS11:AS14)</f>
        <v>235445.64316217153</v>
      </c>
      <c r="I5">
        <f>STDEV('Plate Plating'!AS11:AS14)</f>
        <v>162186.44202431591</v>
      </c>
      <c r="J5" t="e">
        <f>AVERAGE('Plate Plating'!AT11:AT14)</f>
        <v>#NUM!</v>
      </c>
      <c r="K5" t="e">
        <f>STDEV('Plate Plating'!AT11:AT14)</f>
        <v>#NUM!</v>
      </c>
      <c r="L5">
        <f>AVERAGE('Plate Plating'!AU11:AU14)</f>
        <v>5.2778764935032267</v>
      </c>
      <c r="M5">
        <f>STDEV('Plate Plating'!AU11:AU14)</f>
        <v>0.34137325613637959</v>
      </c>
    </row>
    <row r="6" spans="1:13" x14ac:dyDescent="0.3">
      <c r="A6" t="str">
        <f>'Plate Plating'!A15</f>
        <v>UQLight04</v>
      </c>
      <c r="B6" s="3">
        <f>'Plate Plating'!B15</f>
        <v>44741</v>
      </c>
      <c r="C6">
        <f>'Plate Plating'!C15</f>
        <v>6</v>
      </c>
      <c r="D6" t="str">
        <f>'Plate Plating'!D15</f>
        <v>Colonisation</v>
      </c>
      <c r="E6" t="str">
        <f>'Plate Plating'!E15</f>
        <v>High Light</v>
      </c>
      <c r="F6">
        <f>AVERAGE('Plate Plating'!AR15:AR18)</f>
        <v>0</v>
      </c>
      <c r="G6">
        <f>STDEV('Plate Plating'!AR15:AR18)</f>
        <v>0</v>
      </c>
      <c r="H6">
        <f>AVERAGE('Plate Plating'!AS15:AS18)</f>
        <v>204252.35205919095</v>
      </c>
      <c r="I6">
        <f>STDEV('Plate Plating'!AS15:AS18)</f>
        <v>145639.23972659011</v>
      </c>
      <c r="J6" t="e">
        <f>AVERAGE('Plate Plating'!AT15:AT18)</f>
        <v>#NUM!</v>
      </c>
      <c r="K6" t="e">
        <f>STDEV('Plate Plating'!AT15:AT18)</f>
        <v>#NUM!</v>
      </c>
      <c r="L6">
        <f>AVERAGE('Plate Plating'!AU15:AU18)</f>
        <v>5.17054888022124</v>
      </c>
      <c r="M6">
        <f>STDEV('Plate Plating'!AU15:AU18)</f>
        <v>0.46824044512266183</v>
      </c>
    </row>
    <row r="7" spans="1:13" x14ac:dyDescent="0.3">
      <c r="A7" t="str">
        <f>'Plate Plating'!A19</f>
        <v>UQLight04</v>
      </c>
      <c r="B7" s="3">
        <f>'Plate Plating'!B19</f>
        <v>44741</v>
      </c>
      <c r="C7">
        <f>'Plate Plating'!C19</f>
        <v>6</v>
      </c>
      <c r="D7" t="str">
        <f>'Plate Plating'!D19</f>
        <v>Colonisation</v>
      </c>
      <c r="E7" t="str">
        <f>'Plate Plating'!E19</f>
        <v>Medium Light</v>
      </c>
      <c r="F7">
        <f>AVERAGE('Plate Plating'!AR19:AR22)</f>
        <v>0</v>
      </c>
      <c r="G7">
        <f>STDEV('Plate Plating'!AR19:AR22)</f>
        <v>0</v>
      </c>
      <c r="H7">
        <f>AVERAGE('Plate Plating'!AS19:AS22)</f>
        <v>154482.69505071576</v>
      </c>
      <c r="I7">
        <f>STDEV('Plate Plating'!AS19:AS22)</f>
        <v>146005.41969544996</v>
      </c>
      <c r="J7" t="e">
        <f>AVERAGE('Plate Plating'!AT19:AT22)</f>
        <v>#NUM!</v>
      </c>
      <c r="K7" t="e">
        <f>STDEV('Plate Plating'!AT19:AT22)</f>
        <v>#NUM!</v>
      </c>
      <c r="L7">
        <f>AVERAGE('Plate Plating'!AU19:AU22)</f>
        <v>4.9815593278044226</v>
      </c>
      <c r="M7">
        <f>STDEV('Plate Plating'!AU19:AU22)</f>
        <v>0.53515650501746503</v>
      </c>
    </row>
    <row r="8" spans="1:13" x14ac:dyDescent="0.3">
      <c r="A8" t="str">
        <f>'Plate Plating'!A23</f>
        <v>UQLight04</v>
      </c>
      <c r="B8" s="3">
        <f>'Plate Plating'!B23</f>
        <v>44741</v>
      </c>
      <c r="C8">
        <f>'Plate Plating'!C23</f>
        <v>6</v>
      </c>
      <c r="D8" t="str">
        <f>'Plate Plating'!D23</f>
        <v>Colonisation</v>
      </c>
      <c r="E8" t="str">
        <f>'Plate Plating'!E23</f>
        <v>Low Light</v>
      </c>
      <c r="F8">
        <f>AVERAGE('Plate Plating'!AR23:AR26)</f>
        <v>0</v>
      </c>
      <c r="G8">
        <f>STDEV('Plate Plating'!AR23:AR26)</f>
        <v>0</v>
      </c>
      <c r="H8">
        <f>AVERAGE('Plate Plating'!AS23:AS26)</f>
        <v>53694.948558191463</v>
      </c>
      <c r="I8">
        <f>STDEV('Plate Plating'!AS23:AS26)</f>
        <v>49509.742654868562</v>
      </c>
      <c r="J8" t="e">
        <f>AVERAGE('Plate Plating'!AT23:AT26)</f>
        <v>#NUM!</v>
      </c>
      <c r="K8" t="e">
        <f>STDEV('Plate Plating'!AT23:AT26)</f>
        <v>#NUM!</v>
      </c>
      <c r="L8">
        <f>AVERAGE('Plate Plating'!AU23:AU26)</f>
        <v>4.5735920288538621</v>
      </c>
      <c r="M8">
        <f>STDEV('Plate Plating'!AU23:AU26)</f>
        <v>0.43970295913111124</v>
      </c>
    </row>
    <row r="9" spans="1:13" x14ac:dyDescent="0.3">
      <c r="A9" t="str">
        <f>'Plate Plating'!A27</f>
        <v>UQLight04</v>
      </c>
      <c r="B9" s="3">
        <f>'Plate Plating'!B27</f>
        <v>44741</v>
      </c>
      <c r="C9">
        <f>'Plate Plating'!C27</f>
        <v>6</v>
      </c>
      <c r="D9" t="str">
        <f>'Plate Plating'!D27</f>
        <v>Colonisation</v>
      </c>
      <c r="E9" t="str">
        <f>'Plate Plating'!E27</f>
        <v>Darkness</v>
      </c>
      <c r="F9">
        <f>AVERAGE('Plate Plating'!AR27:AR30)</f>
        <v>0</v>
      </c>
      <c r="G9">
        <f>STDEV('Plate Plating'!AR27:AR30)</f>
        <v>0</v>
      </c>
      <c r="H9">
        <f>AVERAGE('Plate Plating'!AS27:AS30)</f>
        <v>97608.999848415726</v>
      </c>
      <c r="I9">
        <f>STDEV('Plate Plating'!AS27:AS30)</f>
        <v>99543.058274167095</v>
      </c>
      <c r="J9" t="e">
        <f>AVERAGE('Plate Plating'!AT27:AT30)</f>
        <v>#NUM!</v>
      </c>
      <c r="K9" t="e">
        <f>STDEV('Plate Plating'!AT27:AT30)</f>
        <v>#NUM!</v>
      </c>
      <c r="L9">
        <f>AVERAGE('Plate Plating'!AU27:AU30)</f>
        <v>4.6597923978330424</v>
      </c>
      <c r="M9">
        <f>STDEV('Plate Plating'!AU27:AU30)</f>
        <v>0.79576797920634068</v>
      </c>
    </row>
    <row r="10" spans="1:13" x14ac:dyDescent="0.3">
      <c r="A10" t="str">
        <f>'Plate Plating'!A31</f>
        <v>UQLight04</v>
      </c>
      <c r="B10" s="3">
        <f>'Plate Plating'!B31</f>
        <v>44743</v>
      </c>
      <c r="C10">
        <f>'Plate Plating'!C31</f>
        <v>8</v>
      </c>
      <c r="D10" t="str">
        <f>'Plate Plating'!D31</f>
        <v>Growth</v>
      </c>
      <c r="E10" t="str">
        <f>'Plate Plating'!E31</f>
        <v>High Light</v>
      </c>
      <c r="F10">
        <f>AVERAGE('Plate Plating'!AR31:AR34)</f>
        <v>3695893.3766860785</v>
      </c>
      <c r="G10">
        <f>STDEV('Plate Plating'!AR31:AR34)</f>
        <v>2569762.7692355094</v>
      </c>
      <c r="H10">
        <f>AVERAGE('Plate Plating'!AS31:AS34)</f>
        <v>5232640.839420164</v>
      </c>
      <c r="I10">
        <f>STDEV('Plate Plating'!AS31:AS34)</f>
        <v>4612721.4275190812</v>
      </c>
      <c r="J10">
        <f>AVERAGE('Plate Plating'!AT31:AT34)</f>
        <v>6.4834205199176189</v>
      </c>
      <c r="K10">
        <f>STDEV('Plate Plating'!AT31:AT34)</f>
        <v>0.32006804429898611</v>
      </c>
      <c r="L10">
        <f>AVERAGE('Plate Plating'!AU31:AU34)</f>
        <v>6.6079048954393418</v>
      </c>
      <c r="M10">
        <f>STDEV('Plate Plating'!AU31:AU34)</f>
        <v>0.34449362381142734</v>
      </c>
    </row>
    <row r="11" spans="1:13" x14ac:dyDescent="0.3">
      <c r="A11" t="str">
        <f>'Plate Plating'!A35</f>
        <v>UQLight04</v>
      </c>
      <c r="B11" s="3">
        <f>'Plate Plating'!B35</f>
        <v>44743</v>
      </c>
      <c r="C11">
        <f>'Plate Plating'!C35</f>
        <v>8</v>
      </c>
      <c r="D11" t="str">
        <f>'Plate Plating'!D35</f>
        <v>Growth</v>
      </c>
      <c r="E11" t="str">
        <f>'Plate Plating'!E35</f>
        <v>Medium Light</v>
      </c>
      <c r="F11">
        <f>AVERAGE('Plate Plating'!AR35:AR38)</f>
        <v>1324916.4939550736</v>
      </c>
      <c r="G11">
        <f>STDEV('Plate Plating'!AR35:AR38)</f>
        <v>570007.99869517318</v>
      </c>
      <c r="H11">
        <f>AVERAGE('Plate Plating'!AS35:AS38)</f>
        <v>1678786.7110457313</v>
      </c>
      <c r="I11">
        <f>STDEV('Plate Plating'!AS35:AS38)</f>
        <v>604060.34218704747</v>
      </c>
      <c r="J11">
        <f>AVERAGE('Plate Plating'!AT35:AT38)</f>
        <v>6.0768092768544681</v>
      </c>
      <c r="K11">
        <f>STDEV('Plate Plating'!AT35:AT38)</f>
        <v>0.25311443436663156</v>
      </c>
      <c r="L11">
        <f>AVERAGE('Plate Plating'!AU35:AU38)</f>
        <v>6.1955745541306024</v>
      </c>
      <c r="M11">
        <f>STDEV('Plate Plating'!AU35:AU38)</f>
        <v>0.19995315054652538</v>
      </c>
    </row>
    <row r="12" spans="1:13" x14ac:dyDescent="0.3">
      <c r="A12" t="str">
        <f>'Plate Plating'!A39</f>
        <v>UQLight04</v>
      </c>
      <c r="B12" s="3">
        <f>'Plate Plating'!B39</f>
        <v>44743</v>
      </c>
      <c r="C12">
        <f>'Plate Plating'!C39</f>
        <v>8</v>
      </c>
      <c r="D12" t="str">
        <f>'Plate Plating'!D39</f>
        <v>Growth</v>
      </c>
      <c r="E12" t="str">
        <f>'Plate Plating'!E39</f>
        <v>Low Light</v>
      </c>
      <c r="F12">
        <f>AVERAGE('Plate Plating'!AR39:AR42)</f>
        <v>1631741.4519303108</v>
      </c>
      <c r="G12">
        <f>STDEV('Plate Plating'!AR39:AR42)</f>
        <v>970881.3628262009</v>
      </c>
      <c r="H12">
        <f>AVERAGE('Plate Plating'!AS39:AS42)</f>
        <v>2002566.3102175966</v>
      </c>
      <c r="I12">
        <f>STDEV('Plate Plating'!AS39:AS42)</f>
        <v>1119216.9247944683</v>
      </c>
      <c r="J12">
        <f>AVERAGE('Plate Plating'!AT39:AT42)</f>
        <v>6.1426318960971518</v>
      </c>
      <c r="K12">
        <f>STDEV('Plate Plating'!AT39:AT42)</f>
        <v>0.29766817260400563</v>
      </c>
      <c r="L12">
        <f>AVERAGE('Plate Plating'!AU39:AU42)</f>
        <v>6.2427793441483477</v>
      </c>
      <c r="M12">
        <f>STDEV('Plate Plating'!AU39:AU42)</f>
        <v>0.26916265983276033</v>
      </c>
    </row>
    <row r="13" spans="1:13" x14ac:dyDescent="0.3">
      <c r="A13" t="str">
        <f>'Plate Plating'!A43</f>
        <v>UQLight04</v>
      </c>
      <c r="B13" s="3">
        <f>'Plate Plating'!B43</f>
        <v>44743</v>
      </c>
      <c r="C13">
        <f>'Plate Plating'!C43</f>
        <v>8</v>
      </c>
      <c r="D13" t="str">
        <f>'Plate Plating'!D43</f>
        <v>Growth</v>
      </c>
      <c r="E13" t="str">
        <f>'Plate Plating'!E43</f>
        <v>Darkness</v>
      </c>
      <c r="F13">
        <f>AVERAGE('Plate Plating'!AR43:AR46)</f>
        <v>524305.23955318832</v>
      </c>
      <c r="G13">
        <f>STDEV('Plate Plating'!AR43:AR46)</f>
        <v>437977.6208017093</v>
      </c>
      <c r="H13">
        <f>AVERAGE('Plate Plating'!AS43:AS46)</f>
        <v>1352103.6296124982</v>
      </c>
      <c r="I13">
        <f>STDEV('Plate Plating'!AS43:AS46)</f>
        <v>1206352.2440150862</v>
      </c>
      <c r="J13">
        <f>AVERAGE('Plate Plating'!AT43:AT46)</f>
        <v>5.5535332082966207</v>
      </c>
      <c r="K13">
        <f>STDEV('Plate Plating'!AT43:AT46)</f>
        <v>0.49397799783899055</v>
      </c>
      <c r="L13">
        <f>AVERAGE('Plate Plating'!AU43:AU46)</f>
        <v>6.0008669875629419</v>
      </c>
      <c r="M13">
        <f>STDEV('Plate Plating'!AU43:AU46)</f>
        <v>0.3938162247445649</v>
      </c>
    </row>
    <row r="14" spans="1:13" x14ac:dyDescent="0.3">
      <c r="A14" t="str">
        <f>'Plate Plating'!A47</f>
        <v>UQLight04</v>
      </c>
      <c r="B14" s="3">
        <f>'Plate Plating'!B47</f>
        <v>44746</v>
      </c>
      <c r="C14">
        <f>'Plate Plating'!C47</f>
        <v>11</v>
      </c>
      <c r="D14" t="str">
        <f>'Plate Plating'!D47</f>
        <v>Growth</v>
      </c>
      <c r="E14" t="str">
        <f>'Plate Plating'!E47</f>
        <v>High Light</v>
      </c>
      <c r="F14">
        <f>AVERAGE('Plate Plating'!AR47:AR50)</f>
        <v>112758.442064936</v>
      </c>
      <c r="G14">
        <f>STDEV('Plate Plating'!AR47:AR50)</f>
        <v>84505.188887531316</v>
      </c>
      <c r="H14">
        <f>AVERAGE('Plate Plating'!AS47:AS50)</f>
        <v>179571.36789358134</v>
      </c>
      <c r="I14">
        <f>STDEV('Plate Plating'!AS47:AS50)</f>
        <v>115918.3007578415</v>
      </c>
      <c r="J14">
        <f>AVERAGE('Plate Plating'!AT47:AT50)</f>
        <v>4.9692955074416698</v>
      </c>
      <c r="K14">
        <f>STDEV('Plate Plating'!AT47:AT50)</f>
        <v>0.30327203084872884</v>
      </c>
      <c r="L14">
        <f>AVERAGE('Plate Plating'!AU47:AU50)</f>
        <v>5.1964058829350286</v>
      </c>
      <c r="M14">
        <f>STDEV('Plate Plating'!AU47:AU50)</f>
        <v>0.2477607619363244</v>
      </c>
    </row>
    <row r="15" spans="1:13" x14ac:dyDescent="0.3">
      <c r="A15" t="str">
        <f>'Plate Plating'!A51</f>
        <v>UQLight04</v>
      </c>
      <c r="B15" s="3">
        <f>'Plate Plating'!B51</f>
        <v>44746</v>
      </c>
      <c r="C15">
        <f>'Plate Plating'!C51</f>
        <v>11</v>
      </c>
      <c r="D15" t="str">
        <f>'Plate Plating'!D51</f>
        <v>Growth</v>
      </c>
      <c r="E15" t="str">
        <f>'Plate Plating'!E51</f>
        <v>Medium Light</v>
      </c>
      <c r="F15">
        <f>AVERAGE('Plate Plating'!AR51:AR54)</f>
        <v>104051.13300899827</v>
      </c>
      <c r="G15">
        <f>STDEV('Plate Plating'!AR51:AR54)</f>
        <v>118564.70711154383</v>
      </c>
      <c r="H15">
        <f>AVERAGE('Plate Plating'!AS51:AS54)</f>
        <v>256826.70124166418</v>
      </c>
      <c r="I15">
        <f>STDEV('Plate Plating'!AS51:AS54)</f>
        <v>155836.49509525549</v>
      </c>
      <c r="J15">
        <f>AVERAGE('Plate Plating'!AT51:AT54)</f>
        <v>4.6594588934795329</v>
      </c>
      <c r="K15">
        <f>STDEV('Plate Plating'!AT51:AT54)</f>
        <v>0.74268681597096486</v>
      </c>
      <c r="L15">
        <f>AVERAGE('Plate Plating'!AU51:AU54)</f>
        <v>5.3433187941834213</v>
      </c>
      <c r="M15">
        <f>STDEV('Plate Plating'!AU51:AU54)</f>
        <v>0.28522991706190992</v>
      </c>
    </row>
    <row r="16" spans="1:13" x14ac:dyDescent="0.3">
      <c r="A16" t="str">
        <f>'Plate Plating'!A55</f>
        <v>UQLight04</v>
      </c>
      <c r="B16" s="3">
        <f>'Plate Plating'!B55</f>
        <v>44746</v>
      </c>
      <c r="C16">
        <f>'Plate Plating'!C55</f>
        <v>11</v>
      </c>
      <c r="D16" t="str">
        <f>'Plate Plating'!D55</f>
        <v>Growth</v>
      </c>
      <c r="E16" t="str">
        <f>'Plate Plating'!E55</f>
        <v>Low Light</v>
      </c>
      <c r="F16">
        <f>AVERAGE('Plate Plating'!AR55:AR58)</f>
        <v>81296.958031313101</v>
      </c>
      <c r="G16">
        <f>STDEV('Plate Plating'!AR55:AR58)</f>
        <v>54694.490005004438</v>
      </c>
      <c r="H16">
        <f>AVERAGE('Plate Plating'!AS55:AS58)</f>
        <v>277954.51965574257</v>
      </c>
      <c r="I16">
        <f>STDEV('Plate Plating'!AS55:AS58)</f>
        <v>232474.00825781512</v>
      </c>
      <c r="J16">
        <f>AVERAGE('Plate Plating'!AT55:AT58)</f>
        <v>4.7746786235796943</v>
      </c>
      <c r="K16">
        <f>STDEV('Plate Plating'!AT55:AT58)</f>
        <v>0.46898467047623532</v>
      </c>
      <c r="L16">
        <f>AVERAGE('Plate Plating'!AU55:AU58)</f>
        <v>5.2648348671715475</v>
      </c>
      <c r="M16">
        <f>STDEV('Plate Plating'!AU55:AU58)</f>
        <v>0.50567696658364958</v>
      </c>
    </row>
    <row r="17" spans="1:13" x14ac:dyDescent="0.3">
      <c r="A17" t="str">
        <f>'Plate Plating'!A59</f>
        <v>UQLight04</v>
      </c>
      <c r="B17" s="3">
        <f>'Plate Plating'!B59</f>
        <v>44746</v>
      </c>
      <c r="C17">
        <f>'Plate Plating'!C59</f>
        <v>11</v>
      </c>
      <c r="D17" t="str">
        <f>'Plate Plating'!D59</f>
        <v>Growth</v>
      </c>
      <c r="E17" t="str">
        <f>'Plate Plating'!E59</f>
        <v>Darkness</v>
      </c>
      <c r="F17">
        <f>AVERAGE('Plate Plating'!AR59:AR62)</f>
        <v>67805.081999625589</v>
      </c>
      <c r="G17">
        <f>STDEV('Plate Plating'!AR59:AR62)</f>
        <v>37307.944425723668</v>
      </c>
      <c r="H17">
        <f>AVERAGE('Plate Plating'!AS59:AS62)</f>
        <v>355223.48783651233</v>
      </c>
      <c r="I17">
        <f>STDEV('Plate Plating'!AS59:AS62)</f>
        <v>58871.830363976675</v>
      </c>
      <c r="J17">
        <f>AVERAGE('Plate Plating'!AT59:AT62)</f>
        <v>4.7891780717356287</v>
      </c>
      <c r="K17">
        <f>STDEV('Plate Plating'!AT59:AT62)</f>
        <v>0.21162822488069899</v>
      </c>
      <c r="L17">
        <f>AVERAGE('Plate Plating'!AU59:AU62)</f>
        <v>5.5458623921229844</v>
      </c>
      <c r="M17">
        <f>STDEV('Plate Plating'!AU59:AU62)</f>
        <v>7.3987461020953299E-2</v>
      </c>
    </row>
    <row r="18" spans="1:13" x14ac:dyDescent="0.3">
      <c r="A18" t="str">
        <f>'Plate Plating'!A63</f>
        <v>UQLight04</v>
      </c>
      <c r="B18" s="3">
        <f>'Plate Plating'!B63</f>
        <v>44748</v>
      </c>
      <c r="C18">
        <f>'Plate Plating'!C63</f>
        <v>13</v>
      </c>
      <c r="D18" t="str">
        <f>'Plate Plating'!D63</f>
        <v>Growth</v>
      </c>
      <c r="E18" t="str">
        <f>'Plate Plating'!E63</f>
        <v>High Light</v>
      </c>
      <c r="F18">
        <f>AVERAGE('Plate Plating'!AR63:AR66)</f>
        <v>46845.862696207631</v>
      </c>
      <c r="G18">
        <f>STDEV('Plate Plating'!AR63:AR66)</f>
        <v>63388.254785972575</v>
      </c>
      <c r="H18">
        <f>AVERAGE('Plate Plating'!AS63:AS66)</f>
        <v>274204.84174856805</v>
      </c>
      <c r="I18">
        <f>STDEV('Plate Plating'!AS63:AS66)</f>
        <v>303131.31105281465</v>
      </c>
      <c r="J18">
        <f>AVERAGE('Plate Plating'!AT63:AT66)</f>
        <v>4.4000281053702519</v>
      </c>
      <c r="K18">
        <f>STDEV('Plate Plating'!AT63:AT66)</f>
        <v>0.52836415860439123</v>
      </c>
      <c r="L18">
        <f>AVERAGE('Plate Plating'!AU63:AU66)</f>
        <v>5.255015146804574</v>
      </c>
      <c r="M18">
        <f>STDEV('Plate Plating'!AU63:AU66)</f>
        <v>0.45128343108290614</v>
      </c>
    </row>
    <row r="19" spans="1:13" x14ac:dyDescent="0.3">
      <c r="A19" t="str">
        <f>'Plate Plating'!A67</f>
        <v>UQLight04</v>
      </c>
      <c r="B19" s="3">
        <f>'Plate Plating'!B67</f>
        <v>44748</v>
      </c>
      <c r="C19">
        <f>'Plate Plating'!C67</f>
        <v>13</v>
      </c>
      <c r="D19" t="str">
        <f>'Plate Plating'!D67</f>
        <v>Growth</v>
      </c>
      <c r="E19" t="str">
        <f>'Plate Plating'!E67</f>
        <v>Medium Light</v>
      </c>
      <c r="F19">
        <f>AVERAGE('Plate Plating'!AR67:AR70)</f>
        <v>35265.879927894246</v>
      </c>
      <c r="G19">
        <f>STDEV('Plate Plating'!AR67:AR70)</f>
        <v>18308.029637170232</v>
      </c>
      <c r="H19">
        <f>AVERAGE('Plate Plating'!AS67:AS70)</f>
        <v>141555.91492733409</v>
      </c>
      <c r="I19">
        <f>STDEV('Plate Plating'!AS67:AS70)</f>
        <v>76111.118452806026</v>
      </c>
      <c r="J19">
        <f>AVERAGE('Plate Plating'!AT67:AT70)</f>
        <v>4.4617782508499166</v>
      </c>
      <c r="K19">
        <f>STDEV('Plate Plating'!AT67:AT70)</f>
        <v>0.36871715394739718</v>
      </c>
      <c r="L19">
        <f>AVERAGE('Plate Plating'!AU67:AU70)</f>
        <v>5.0944899832351673</v>
      </c>
      <c r="M19">
        <f>STDEV('Plate Plating'!AU67:AU70)</f>
        <v>0.27014834767870433</v>
      </c>
    </row>
    <row r="20" spans="1:13" x14ac:dyDescent="0.3">
      <c r="A20" t="str">
        <f>'Plate Plating'!A71</f>
        <v>UQLight04</v>
      </c>
      <c r="B20" s="3">
        <f>'Plate Plating'!B71</f>
        <v>44748</v>
      </c>
      <c r="C20">
        <f>'Plate Plating'!C71</f>
        <v>13</v>
      </c>
      <c r="D20" t="str">
        <f>'Plate Plating'!D71</f>
        <v>Growth</v>
      </c>
      <c r="E20" t="str">
        <f>'Plate Plating'!E71</f>
        <v>Low Light</v>
      </c>
      <c r="F20">
        <f>AVERAGE('Plate Plating'!AR71:AR74)</f>
        <v>23640.045014705131</v>
      </c>
      <c r="G20">
        <f>STDEV('Plate Plating'!AR71:AR74)</f>
        <v>12880.469884408723</v>
      </c>
      <c r="H20">
        <f>AVERAGE('Plate Plating'!AS71:AS74)</f>
        <v>133431.93114567644</v>
      </c>
      <c r="I20">
        <f>STDEV('Plate Plating'!AS71:AS74)</f>
        <v>64616.51543840862</v>
      </c>
      <c r="J20">
        <f>AVERAGE('Plate Plating'!AT71:AT74)</f>
        <v>4.3298381466514391</v>
      </c>
      <c r="K20">
        <f>STDEV('Plate Plating'!AT71:AT74)</f>
        <v>0.2203420399898339</v>
      </c>
      <c r="L20">
        <f>AVERAGE('Plate Plating'!AU71:AU74)</f>
        <v>5.0816563738615397</v>
      </c>
      <c r="M20">
        <f>STDEV('Plate Plating'!AU71:AU74)</f>
        <v>0.23217565394386599</v>
      </c>
    </row>
    <row r="21" spans="1:13" x14ac:dyDescent="0.3">
      <c r="A21" t="str">
        <f>'Plate Plating'!A75</f>
        <v>UQLight04</v>
      </c>
      <c r="B21" s="3">
        <f>'Plate Plating'!B75</f>
        <v>44748</v>
      </c>
      <c r="C21">
        <f>'Plate Plating'!C75</f>
        <v>13</v>
      </c>
      <c r="D21" t="str">
        <f>'Plate Plating'!D75</f>
        <v>Growth</v>
      </c>
      <c r="E21" t="str">
        <f>'Plate Plating'!E75</f>
        <v>Darkness</v>
      </c>
      <c r="F21">
        <f>AVERAGE('Plate Plating'!AR75:AR78)</f>
        <v>30515.329507313269</v>
      </c>
      <c r="G21">
        <f>STDEV('Plate Plating'!AR75:AR78)</f>
        <v>38966.525932068536</v>
      </c>
      <c r="H21">
        <f>AVERAGE('Plate Plating'!AS75:AS78)</f>
        <v>307229.19659453444</v>
      </c>
      <c r="I21">
        <f>STDEV('Plate Plating'!AS75:AS78)</f>
        <v>156134.87318504782</v>
      </c>
      <c r="J21">
        <f>AVERAGE('Plate Plating'!AT75:AT78)</f>
        <v>4.2550108493565659</v>
      </c>
      <c r="K21">
        <f>STDEV('Plate Plating'!AT75:AT78)</f>
        <v>0.483369216251958</v>
      </c>
      <c r="L21">
        <f>AVERAGE('Plate Plating'!AU75:AU78)</f>
        <v>5.4433563620074725</v>
      </c>
      <c r="M21">
        <f>STDEV('Plate Plating'!AU75:AU78)</f>
        <v>0.23050234969630862</v>
      </c>
    </row>
    <row r="22" spans="1:13" x14ac:dyDescent="0.3">
      <c r="A22" t="str">
        <f>'Plate Plating'!A79</f>
        <v>UQLight04</v>
      </c>
      <c r="B22" s="3">
        <f>'Plate Plating'!B79</f>
        <v>44750</v>
      </c>
      <c r="C22">
        <f>'Plate Plating'!C79</f>
        <v>15</v>
      </c>
      <c r="D22" t="str">
        <f>'Plate Plating'!D79</f>
        <v>Growth</v>
      </c>
      <c r="E22" t="str">
        <f>'Plate Plating'!E79</f>
        <v>High Light</v>
      </c>
      <c r="F22">
        <f>AVERAGE('Plate Plating'!AR79:AR82)</f>
        <v>32012.64111174854</v>
      </c>
      <c r="G22">
        <f>STDEV('Plate Plating'!AR79:AR82)</f>
        <v>29556.678965349911</v>
      </c>
      <c r="H22">
        <f>AVERAGE('Plate Plating'!AS79:AS82)</f>
        <v>569532.00964737998</v>
      </c>
      <c r="I22">
        <f>STDEV('Plate Plating'!AS79:AS82)</f>
        <v>332946.76336671109</v>
      </c>
      <c r="J22">
        <f>AVERAGE('Plate Plating'!AT79:AT82)</f>
        <v>4.3443702149060002</v>
      </c>
      <c r="K22">
        <f>STDEV('Plate Plating'!AT79:AT82)</f>
        <v>0.44636743267898332</v>
      </c>
      <c r="L22">
        <f>AVERAGE('Plate Plating'!AU79:AU82)</f>
        <v>5.6955160182380533</v>
      </c>
      <c r="M22">
        <f>STDEV('Plate Plating'!AU79:AU82)</f>
        <v>0.27151598932772708</v>
      </c>
    </row>
    <row r="23" spans="1:13" x14ac:dyDescent="0.3">
      <c r="A23" t="str">
        <f>'Plate Plating'!A83</f>
        <v>UQLight04</v>
      </c>
      <c r="B23" s="3">
        <f>'Plate Plating'!B83</f>
        <v>44750</v>
      </c>
      <c r="C23">
        <f>'Plate Plating'!C83</f>
        <v>15</v>
      </c>
      <c r="D23" t="str">
        <f>'Plate Plating'!D83</f>
        <v>Growth</v>
      </c>
      <c r="E23" t="str">
        <f>'Plate Plating'!E83</f>
        <v>Medium Light</v>
      </c>
      <c r="F23">
        <f>AVERAGE('Plate Plating'!AR83:AR86)</f>
        <v>96727.639163321597</v>
      </c>
      <c r="G23">
        <f>STDEV('Plate Plating'!AR83:AR86)</f>
        <v>51443.604981095428</v>
      </c>
      <c r="H23">
        <f>AVERAGE('Plate Plating'!AS83:AS86)</f>
        <v>313934.64262192766</v>
      </c>
      <c r="I23">
        <f>STDEV('Plate Plating'!AS83:AS86)</f>
        <v>151683.48455163909</v>
      </c>
      <c r="J23">
        <f>AVERAGE('Plate Plating'!AT83:AT86)</f>
        <v>4.913922137348929</v>
      </c>
      <c r="K23">
        <f>STDEV('Plate Plating'!AT83:AT86)</f>
        <v>0.32301835625655367</v>
      </c>
      <c r="L23">
        <f>AVERAGE('Plate Plating'!AU83:AU86)</f>
        <v>5.4612502589272331</v>
      </c>
      <c r="M23">
        <f>STDEV('Plate Plating'!AU83:AU86)</f>
        <v>0.19939963351501946</v>
      </c>
    </row>
    <row r="24" spans="1:13" x14ac:dyDescent="0.3">
      <c r="A24" t="str">
        <f>'Plate Plating'!A87</f>
        <v>UQLight04</v>
      </c>
      <c r="B24" s="3">
        <f>'Plate Plating'!B87</f>
        <v>44750</v>
      </c>
      <c r="C24">
        <f>'Plate Plating'!C87</f>
        <v>15</v>
      </c>
      <c r="D24" t="str">
        <f>'Plate Plating'!D87</f>
        <v>Growth</v>
      </c>
      <c r="E24" t="str">
        <f>'Plate Plating'!E87</f>
        <v>Low Light</v>
      </c>
      <c r="F24">
        <f>AVERAGE('Plate Plating'!AR87:AR90)</f>
        <v>279281.82006240939</v>
      </c>
      <c r="G24">
        <f>STDEV('Plate Plating'!AR87:AR90)</f>
        <v>278214.53988541145</v>
      </c>
      <c r="H24">
        <f>AVERAGE('Plate Plating'!AS87:AS90)</f>
        <v>643415.8030497958</v>
      </c>
      <c r="I24">
        <f>STDEV('Plate Plating'!AS87:AS90)</f>
        <v>314481.85227389663</v>
      </c>
      <c r="J24">
        <f>AVERAGE('Plate Plating'!AT87:AT90)</f>
        <v>5.2682456887302624</v>
      </c>
      <c r="K24">
        <f>STDEV('Plate Plating'!AT87:AT90)</f>
        <v>0.47284552426400694</v>
      </c>
      <c r="L24">
        <f>AVERAGE('Plate Plating'!AU87:AU90)</f>
        <v>5.7479812638829868</v>
      </c>
      <c r="M24">
        <f>STDEV('Plate Plating'!AU87:AU90)</f>
        <v>0.29525390587711886</v>
      </c>
    </row>
    <row r="25" spans="1:13" x14ac:dyDescent="0.3">
      <c r="A25" t="str">
        <f>'Plate Plating'!A91</f>
        <v>UQLight04</v>
      </c>
      <c r="B25" s="3">
        <f>'Plate Plating'!B91</f>
        <v>44750</v>
      </c>
      <c r="C25">
        <f>'Plate Plating'!C91</f>
        <v>15</v>
      </c>
      <c r="D25" t="str">
        <f>'Plate Plating'!D91</f>
        <v>Growth</v>
      </c>
      <c r="E25" t="str">
        <f>'Plate Plating'!E91</f>
        <v>Darkness</v>
      </c>
      <c r="F25">
        <f>AVERAGE('Plate Plating'!AR91:AR94)</f>
        <v>142965.70045349011</v>
      </c>
      <c r="G25">
        <f>STDEV('Plate Plating'!AR91:AR94)</f>
        <v>141580.45522336182</v>
      </c>
      <c r="H25">
        <f>AVERAGE('Plate Plating'!AS91:AS94)</f>
        <v>726698.04834874219</v>
      </c>
      <c r="I25">
        <f>STDEV('Plate Plating'!AS91:AS94)</f>
        <v>423782.16720507515</v>
      </c>
      <c r="J25">
        <f>AVERAGE('Plate Plating'!AT91:AT94)</f>
        <v>4.9387739433955709</v>
      </c>
      <c r="K25">
        <f>STDEV('Plate Plating'!AT91:AT94)</f>
        <v>0.55357781724604982</v>
      </c>
      <c r="L25">
        <f>AVERAGE('Plate Plating'!AU91:AU94)</f>
        <v>5.8092184778399316</v>
      </c>
      <c r="M25">
        <f>STDEV('Plate Plating'!AU91:AU94)</f>
        <v>0.24227176108967624</v>
      </c>
    </row>
    <row r="26" spans="1:13" x14ac:dyDescent="0.3">
      <c r="A26" t="str">
        <f>'Plate Plating'!A95</f>
        <v>UQLight04</v>
      </c>
      <c r="B26" s="3">
        <f>'Plate Plating'!B95</f>
        <v>44753</v>
      </c>
      <c r="C26">
        <f>'Plate Plating'!C95</f>
        <v>18</v>
      </c>
      <c r="D26" t="str">
        <f>'Plate Plating'!D95</f>
        <v>Growth</v>
      </c>
      <c r="E26" t="str">
        <f>'Plate Plating'!E95</f>
        <v>High Light</v>
      </c>
      <c r="F26">
        <f>AVERAGE('Plate Plating'!AR95:AR98)</f>
        <v>24260.084035191747</v>
      </c>
      <c r="G26">
        <f>STDEV('Plate Plating'!AR95:AR98)</f>
        <v>36818.954723075614</v>
      </c>
      <c r="H26">
        <f>AVERAGE('Plate Plating'!AS95:AS98)</f>
        <v>202517.78210072531</v>
      </c>
      <c r="I26">
        <f>STDEV('Plate Plating'!AS95:AS98)</f>
        <v>69572.347178111318</v>
      </c>
      <c r="J26">
        <f>AVERAGE('Plate Plating'!AT95:AT98)</f>
        <v>3.8732207110405596</v>
      </c>
      <c r="K26">
        <f>STDEV('Plate Plating'!AT95:AT98)</f>
        <v>0.89275500229760074</v>
      </c>
      <c r="L26">
        <f>AVERAGE('Plate Plating'!AU95:AU98)</f>
        <v>5.2871602753941191</v>
      </c>
      <c r="M26">
        <f>STDEV('Plate Plating'!AU95:AU98)</f>
        <v>0.14973436660176775</v>
      </c>
    </row>
    <row r="27" spans="1:13" x14ac:dyDescent="0.3">
      <c r="A27" t="str">
        <f>'Plate Plating'!A99</f>
        <v>UQLight04</v>
      </c>
      <c r="B27" s="3">
        <f>'Plate Plating'!B99</f>
        <v>44753</v>
      </c>
      <c r="C27">
        <f>'Plate Plating'!C99</f>
        <v>18</v>
      </c>
      <c r="D27" t="str">
        <f>'Plate Plating'!D99</f>
        <v>Growth</v>
      </c>
      <c r="E27" t="str">
        <f>'Plate Plating'!E99</f>
        <v>Medium Light</v>
      </c>
      <c r="F27">
        <f>AVERAGE('Plate Plating'!AR99:AR102)</f>
        <v>24272.716845555995</v>
      </c>
      <c r="G27">
        <f>STDEV('Plate Plating'!AR99:AR102)</f>
        <v>31328.264356364376</v>
      </c>
      <c r="H27">
        <f>AVERAGE('Plate Plating'!AS99:AS102)</f>
        <v>349879.80589226645</v>
      </c>
      <c r="I27">
        <f>STDEV('Plate Plating'!AS99:AS102)</f>
        <v>177087.4743629634</v>
      </c>
      <c r="J27">
        <f>AVERAGE('Plate Plating'!AT99:AT102)</f>
        <v>4.0348501213435446</v>
      </c>
      <c r="K27">
        <f>STDEV('Plate Plating'!AT99:AT102)</f>
        <v>0.69628459494744144</v>
      </c>
      <c r="L27">
        <f>AVERAGE('Plate Plating'!AU99:AU102)</f>
        <v>5.5026810499408576</v>
      </c>
      <c r="M27">
        <f>STDEV('Plate Plating'!AU99:AU102)</f>
        <v>0.21750658825525176</v>
      </c>
    </row>
    <row r="28" spans="1:13" x14ac:dyDescent="0.3">
      <c r="A28" t="str">
        <f>'Plate Plating'!A103</f>
        <v>UQLight04</v>
      </c>
      <c r="B28" s="3">
        <f>'Plate Plating'!B103</f>
        <v>44753</v>
      </c>
      <c r="C28">
        <f>'Plate Plating'!C103</f>
        <v>18</v>
      </c>
      <c r="D28" t="str">
        <f>'Plate Plating'!D103</f>
        <v>Growth</v>
      </c>
      <c r="E28" t="str">
        <f>'Plate Plating'!E103</f>
        <v>Low Light</v>
      </c>
      <c r="F28">
        <f>AVERAGE('Plate Plating'!AR103:AR106)</f>
        <v>41174.257326972838</v>
      </c>
      <c r="G28">
        <f>STDEV('Plate Plating'!AR103:AR106)</f>
        <v>43589.570703402285</v>
      </c>
      <c r="H28">
        <f>AVERAGE('Plate Plating'!AS103:AS106)</f>
        <v>322417.53915180918</v>
      </c>
      <c r="I28">
        <f>STDEV('Plate Plating'!AS103:AS106)</f>
        <v>206164.86625808489</v>
      </c>
      <c r="J28">
        <f>AVERAGE('Plate Plating'!AT103:AT106)</f>
        <v>4.2795161562250303</v>
      </c>
      <c r="K28">
        <f>STDEV('Plate Plating'!AT103:AT106)</f>
        <v>0.78043308833110714</v>
      </c>
      <c r="L28">
        <f>AVERAGE('Plate Plating'!AU103:AU106)</f>
        <v>5.4178878899701637</v>
      </c>
      <c r="M28">
        <f>STDEV('Plate Plating'!AU103:AU106)</f>
        <v>0.35067238756855373</v>
      </c>
    </row>
    <row r="29" spans="1:13" x14ac:dyDescent="0.3">
      <c r="A29" t="str">
        <f>'Plate Plating'!A107</f>
        <v>UQLight04</v>
      </c>
      <c r="B29" s="3">
        <f>'Plate Plating'!B107</f>
        <v>44753</v>
      </c>
      <c r="C29">
        <f>'Plate Plating'!C107</f>
        <v>18</v>
      </c>
      <c r="D29" t="str">
        <f>'Plate Plating'!D107</f>
        <v>Growth</v>
      </c>
      <c r="E29" t="str">
        <f>'Plate Plating'!E107</f>
        <v>Darkness</v>
      </c>
      <c r="F29">
        <f>AVERAGE('Plate Plating'!AR107:AR110)</f>
        <v>134958.49937447539</v>
      </c>
      <c r="G29">
        <f>STDEV('Plate Plating'!AR107:AR110)</f>
        <v>105543.34459890334</v>
      </c>
      <c r="H29">
        <f>AVERAGE('Plate Plating'!AS107:AS110)</f>
        <v>471354.37221084739</v>
      </c>
      <c r="I29">
        <f>STDEV('Plate Plating'!AS107:AS110)</f>
        <v>341950.89599074743</v>
      </c>
      <c r="J29">
        <f>AVERAGE('Plate Plating'!AT107:AT110)</f>
        <v>5.0121476506263267</v>
      </c>
      <c r="K29">
        <f>STDEV('Plate Plating'!AT107:AT110)</f>
        <v>0.38095769359086856</v>
      </c>
      <c r="L29">
        <f>AVERAGE('Plate Plating'!AU107:AU110)</f>
        <v>5.5855558717117164</v>
      </c>
      <c r="M29">
        <f>STDEV('Plate Plating'!AU107:AU110)</f>
        <v>0.32397441779789871</v>
      </c>
    </row>
  </sheetData>
  <autoFilter ref="A1:M29" xr:uid="{B249BEA4-A64D-430B-97EE-3AE1DE356211}">
    <filterColumn colId="5" showButton="0"/>
    <filterColumn colId="6" showButton="0"/>
    <filterColumn colId="7" showButton="0"/>
    <filterColumn colId="9" showButton="0"/>
    <filterColumn colId="10" showButton="0"/>
    <filterColumn colId="11" showButton="0"/>
  </autoFilter>
  <mergeCells count="6">
    <mergeCell ref="F2:G2"/>
    <mergeCell ref="H2:I2"/>
    <mergeCell ref="J2:K2"/>
    <mergeCell ref="L2:M2"/>
    <mergeCell ref="F1:I1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3B71-40B1-4C95-8564-62D5B7ECF2DB}">
  <sheetPr>
    <pageSetUpPr fitToPage="1"/>
  </sheetPr>
  <dimension ref="A1:K65"/>
  <sheetViews>
    <sheetView topLeftCell="A15" zoomScale="70" zoomScaleNormal="70" workbookViewId="0">
      <selection activeCell="K29" sqref="K29"/>
    </sheetView>
  </sheetViews>
  <sheetFormatPr defaultColWidth="11.5546875" defaultRowHeight="14.4" x14ac:dyDescent="0.3"/>
  <cols>
    <col min="1" max="1" width="15" bestFit="1" customWidth="1"/>
  </cols>
  <sheetData>
    <row r="1" spans="1:11" x14ac:dyDescent="0.3">
      <c r="B1" s="4" t="s">
        <v>1</v>
      </c>
      <c r="C1" s="4" t="s">
        <v>65</v>
      </c>
    </row>
    <row r="2" spans="1:11" x14ac:dyDescent="0.3">
      <c r="A2" s="40" t="s">
        <v>15</v>
      </c>
      <c r="B2">
        <v>4</v>
      </c>
      <c r="C2">
        <v>0</v>
      </c>
    </row>
    <row r="3" spans="1:11" x14ac:dyDescent="0.3">
      <c r="A3" s="40"/>
      <c r="B3">
        <v>4</v>
      </c>
      <c r="C3">
        <v>100000000</v>
      </c>
    </row>
    <row r="4" spans="1:11" x14ac:dyDescent="0.3">
      <c r="A4" s="40" t="s">
        <v>16</v>
      </c>
      <c r="B4">
        <v>6</v>
      </c>
      <c r="C4">
        <v>0</v>
      </c>
    </row>
    <row r="5" spans="1:11" x14ac:dyDescent="0.3">
      <c r="A5" s="40"/>
      <c r="B5">
        <v>6</v>
      </c>
      <c r="C5">
        <v>100000000</v>
      </c>
    </row>
    <row r="6" spans="1:11" x14ac:dyDescent="0.3">
      <c r="A6" s="40" t="s">
        <v>20</v>
      </c>
      <c r="B6">
        <v>8</v>
      </c>
      <c r="C6">
        <v>0</v>
      </c>
    </row>
    <row r="7" spans="1:11" x14ac:dyDescent="0.3">
      <c r="A7" s="40"/>
      <c r="B7">
        <v>8</v>
      </c>
      <c r="C7">
        <v>100000000</v>
      </c>
    </row>
    <row r="8" spans="1:11" x14ac:dyDescent="0.3">
      <c r="A8" s="40" t="s">
        <v>64</v>
      </c>
      <c r="B8">
        <v>18</v>
      </c>
      <c r="C8">
        <v>0</v>
      </c>
    </row>
    <row r="9" spans="1:11" x14ac:dyDescent="0.3">
      <c r="A9" s="40"/>
      <c r="B9">
        <v>18</v>
      </c>
      <c r="C9">
        <v>100000000</v>
      </c>
    </row>
    <row r="10" spans="1:11" x14ac:dyDescent="0.3">
      <c r="A10" s="32"/>
    </row>
    <row r="11" spans="1:11" x14ac:dyDescent="0.3">
      <c r="A11" s="32"/>
      <c r="C11" s="43" t="s">
        <v>82</v>
      </c>
      <c r="D11" s="43"/>
      <c r="E11" s="43"/>
      <c r="F11" s="43"/>
      <c r="G11" s="43"/>
      <c r="H11" s="43"/>
      <c r="I11" s="43"/>
      <c r="J11" s="43" t="s">
        <v>85</v>
      </c>
      <c r="K11" s="43"/>
    </row>
    <row r="12" spans="1:11" x14ac:dyDescent="0.3">
      <c r="A12" s="32"/>
      <c r="B12" s="4"/>
      <c r="C12" s="33"/>
      <c r="D12" s="33"/>
      <c r="E12" s="33"/>
      <c r="F12" s="33" t="s">
        <v>60</v>
      </c>
      <c r="G12" s="33" t="s">
        <v>63</v>
      </c>
      <c r="H12" s="33" t="s">
        <v>60</v>
      </c>
      <c r="I12" s="33" t="s">
        <v>63</v>
      </c>
      <c r="J12" t="s">
        <v>83</v>
      </c>
      <c r="K12" t="s">
        <v>84</v>
      </c>
    </row>
    <row r="13" spans="1:11" x14ac:dyDescent="0.3">
      <c r="A13" s="32"/>
      <c r="B13" s="4" t="s">
        <v>1</v>
      </c>
      <c r="C13" s="6">
        <v>10000000</v>
      </c>
      <c r="F13" t="s">
        <v>83</v>
      </c>
      <c r="H13" t="s">
        <v>84</v>
      </c>
      <c r="J13">
        <v>0.1</v>
      </c>
    </row>
    <row r="14" spans="1:11" x14ac:dyDescent="0.3">
      <c r="A14" s="49" t="s">
        <v>24</v>
      </c>
      <c r="B14" s="48">
        <v>6</v>
      </c>
      <c r="C14">
        <v>75</v>
      </c>
      <c r="D14">
        <f>C14*C13</f>
        <v>750000000</v>
      </c>
      <c r="E14">
        <f>LOG10(D14)</f>
        <v>8.8750612633917001</v>
      </c>
      <c r="F14" s="48">
        <f>AVERAGE(D14:D16)</f>
        <v>690000000</v>
      </c>
      <c r="G14" s="48">
        <f>STDEV(D14:D16)</f>
        <v>95393920.141694561</v>
      </c>
      <c r="H14" s="48">
        <f>AVERAGE(E14:E16)</f>
        <v>8.8359069922285371</v>
      </c>
      <c r="I14" s="48">
        <f>STDEV(E14:E16)</f>
        <v>6.2836293895321346E-2</v>
      </c>
      <c r="J14" s="47">
        <f>F14*J13</f>
        <v>69000000</v>
      </c>
      <c r="K14" s="48">
        <f>LOG10(J14)</f>
        <v>7.8388490907372557</v>
      </c>
    </row>
    <row r="15" spans="1:11" x14ac:dyDescent="0.3">
      <c r="A15" s="49"/>
      <c r="B15" s="48"/>
      <c r="C15">
        <v>58</v>
      </c>
      <c r="D15">
        <f>C15*C13</f>
        <v>580000000</v>
      </c>
      <c r="E15">
        <f>LOG10(D15)</f>
        <v>8.7634279935629369</v>
      </c>
      <c r="F15" s="48"/>
      <c r="G15" s="48"/>
      <c r="H15" s="48"/>
      <c r="I15" s="48"/>
      <c r="J15" s="47"/>
      <c r="K15" s="48"/>
    </row>
    <row r="16" spans="1:11" x14ac:dyDescent="0.3">
      <c r="A16" s="49"/>
      <c r="B16" s="48"/>
      <c r="C16">
        <v>74</v>
      </c>
      <c r="D16">
        <f>C16*C13</f>
        <v>740000000</v>
      </c>
      <c r="E16">
        <f>LOG10(D16)</f>
        <v>8.8692317197309762</v>
      </c>
      <c r="F16" s="48"/>
      <c r="G16" s="48"/>
      <c r="H16" s="48"/>
      <c r="I16" s="48"/>
      <c r="J16" s="47"/>
      <c r="K16" s="48"/>
    </row>
    <row r="19" spans="1:10" ht="16.2" x14ac:dyDescent="0.3">
      <c r="A19" s="4" t="s">
        <v>17</v>
      </c>
      <c r="C19" s="43" t="s">
        <v>76</v>
      </c>
      <c r="D19" s="43"/>
      <c r="E19" s="43"/>
      <c r="F19" s="43"/>
      <c r="G19" s="43" t="s">
        <v>78</v>
      </c>
      <c r="H19" s="43"/>
      <c r="I19" s="43"/>
      <c r="J19" s="43"/>
    </row>
    <row r="20" spans="1:10" ht="14.85" customHeight="1" x14ac:dyDescent="0.3">
      <c r="A20" s="25" t="s">
        <v>0</v>
      </c>
      <c r="B20" s="25" t="s">
        <v>1</v>
      </c>
      <c r="C20" s="39" t="s">
        <v>24</v>
      </c>
      <c r="D20" s="39"/>
      <c r="E20" s="39" t="s">
        <v>26</v>
      </c>
      <c r="F20" s="39"/>
      <c r="G20" s="39" t="s">
        <v>24</v>
      </c>
      <c r="H20" s="39"/>
      <c r="I20" s="39" t="s">
        <v>26</v>
      </c>
      <c r="J20" s="39"/>
    </row>
    <row r="21" spans="1:10" x14ac:dyDescent="0.3">
      <c r="C21" s="2" t="s">
        <v>60</v>
      </c>
      <c r="D21" s="2" t="s">
        <v>63</v>
      </c>
      <c r="E21" s="2" t="s">
        <v>60</v>
      </c>
      <c r="F21" s="2" t="s">
        <v>63</v>
      </c>
      <c r="G21" s="2" t="s">
        <v>60</v>
      </c>
      <c r="H21" s="2" t="s">
        <v>63</v>
      </c>
      <c r="I21" s="2" t="s">
        <v>60</v>
      </c>
      <c r="J21" s="2" t="s">
        <v>63</v>
      </c>
    </row>
    <row r="22" spans="1:10" x14ac:dyDescent="0.3">
      <c r="A22" s="3">
        <f>'Plate Plating average'!B4</f>
        <v>44735</v>
      </c>
      <c r="B22" s="28">
        <f>'Plate Plating average'!C4</f>
        <v>0</v>
      </c>
      <c r="C22">
        <f>'Plate Plating average'!F4</f>
        <v>0</v>
      </c>
      <c r="D22">
        <f>'Plate Plating average'!G4</f>
        <v>0</v>
      </c>
      <c r="E22">
        <f>'Plate Plating average'!H4</f>
        <v>254.11130215678483</v>
      </c>
      <c r="F22">
        <f>'Plate Plating average'!I4</f>
        <v>187.73258414120755</v>
      </c>
      <c r="G22" t="e">
        <f>'Plate Plating average'!J4</f>
        <v>#NUM!</v>
      </c>
      <c r="H22" t="e">
        <f>'Plate Plating average'!K4</f>
        <v>#NUM!</v>
      </c>
      <c r="I22">
        <f>'Plate Plating average'!L4</f>
        <v>2.2933362617677648</v>
      </c>
      <c r="J22">
        <f>'Plate Plating average'!M4</f>
        <v>0.37733346470787532</v>
      </c>
    </row>
    <row r="23" spans="1:10" x14ac:dyDescent="0.3">
      <c r="A23" s="3">
        <f>'Plate Plating average'!B5</f>
        <v>44739</v>
      </c>
      <c r="B23" s="28">
        <f>'Plate Plating average'!C5</f>
        <v>4</v>
      </c>
      <c r="C23">
        <f>'Plate Plating average'!F5</f>
        <v>0</v>
      </c>
      <c r="D23">
        <f>'Plate Plating average'!G5</f>
        <v>0</v>
      </c>
      <c r="E23">
        <f>'Plate Plating average'!H5</f>
        <v>235445.64316217153</v>
      </c>
      <c r="F23">
        <f>'Plate Plating average'!I5</f>
        <v>162186.44202431591</v>
      </c>
      <c r="G23" t="e">
        <f>'Plate Plating average'!J5</f>
        <v>#NUM!</v>
      </c>
      <c r="H23" t="e">
        <f>'Plate Plating average'!K5</f>
        <v>#NUM!</v>
      </c>
      <c r="I23">
        <f>'Plate Plating average'!L5</f>
        <v>5.2778764935032267</v>
      </c>
      <c r="J23">
        <f>'Plate Plating average'!M5</f>
        <v>0.34137325613637959</v>
      </c>
    </row>
    <row r="24" spans="1:10" x14ac:dyDescent="0.3">
      <c r="A24" s="3">
        <f>'Plate Plating average'!B6</f>
        <v>44741</v>
      </c>
      <c r="B24" s="28">
        <f>'Plate Plating average'!C6</f>
        <v>6</v>
      </c>
      <c r="C24">
        <f>'Plate Plating average'!F6</f>
        <v>0</v>
      </c>
      <c r="D24">
        <f>'Plate Plating average'!G6</f>
        <v>0</v>
      </c>
      <c r="E24">
        <f>'Plate Plating average'!H6</f>
        <v>204252.35205919095</v>
      </c>
      <c r="F24">
        <f>'Plate Plating average'!I6</f>
        <v>145639.23972659011</v>
      </c>
      <c r="G24" t="e">
        <f>'Plate Plating average'!J6</f>
        <v>#NUM!</v>
      </c>
      <c r="H24" t="e">
        <f>'Plate Plating average'!K6</f>
        <v>#NUM!</v>
      </c>
      <c r="I24">
        <f>'Plate Plating average'!L6</f>
        <v>5.17054888022124</v>
      </c>
      <c r="J24">
        <f>'Plate Plating average'!M6</f>
        <v>0.46824044512266183</v>
      </c>
    </row>
    <row r="25" spans="1:10" x14ac:dyDescent="0.3">
      <c r="A25" s="3">
        <f>'Plate Plating average'!B10</f>
        <v>44743</v>
      </c>
      <c r="B25" s="28">
        <f>'Plate Plating average'!C10</f>
        <v>8</v>
      </c>
      <c r="C25">
        <f>'Plate Plating average'!F10</f>
        <v>3695893.3766860785</v>
      </c>
      <c r="D25">
        <f>'Plate Plating average'!G10</f>
        <v>2569762.7692355094</v>
      </c>
      <c r="E25">
        <f>'Plate Plating average'!H10</f>
        <v>5232640.839420164</v>
      </c>
      <c r="F25">
        <f>'Plate Plating average'!I10</f>
        <v>4612721.4275190812</v>
      </c>
      <c r="G25">
        <f>'Plate Plating average'!J10</f>
        <v>6.4834205199176189</v>
      </c>
      <c r="H25">
        <f>'Plate Plating average'!K10</f>
        <v>0.32006804429898611</v>
      </c>
      <c r="I25">
        <f>'Plate Plating average'!L10</f>
        <v>6.6079048954393418</v>
      </c>
      <c r="J25">
        <f>'Plate Plating average'!M10</f>
        <v>0.34449362381142734</v>
      </c>
    </row>
    <row r="26" spans="1:10" x14ac:dyDescent="0.3">
      <c r="A26" s="3">
        <f>'Plate Plating average'!B14</f>
        <v>44746</v>
      </c>
      <c r="B26" s="28">
        <f>'Plate Plating average'!C14</f>
        <v>11</v>
      </c>
      <c r="C26">
        <f>'Plate Plating average'!F14</f>
        <v>112758.442064936</v>
      </c>
      <c r="D26">
        <f>'Plate Plating average'!G14</f>
        <v>84505.188887531316</v>
      </c>
      <c r="E26">
        <f>'Plate Plating average'!H14</f>
        <v>179571.36789358134</v>
      </c>
      <c r="F26">
        <f>'Plate Plating average'!I14</f>
        <v>115918.3007578415</v>
      </c>
      <c r="G26">
        <f>'Plate Plating average'!J14</f>
        <v>4.9692955074416698</v>
      </c>
      <c r="H26">
        <f>'Plate Plating average'!K14</f>
        <v>0.30327203084872884</v>
      </c>
      <c r="I26">
        <f>'Plate Plating average'!L14</f>
        <v>5.1964058829350286</v>
      </c>
      <c r="J26">
        <f>'Plate Plating average'!M14</f>
        <v>0.2477607619363244</v>
      </c>
    </row>
    <row r="27" spans="1:10" x14ac:dyDescent="0.3">
      <c r="A27" s="3">
        <f>'Plate Plating average'!B18</f>
        <v>44748</v>
      </c>
      <c r="B27" s="28">
        <f>'Plate Plating average'!C18</f>
        <v>13</v>
      </c>
      <c r="C27">
        <f>'Plate Plating average'!F18</f>
        <v>46845.862696207631</v>
      </c>
      <c r="D27">
        <f>'Plate Plating average'!G18</f>
        <v>63388.254785972575</v>
      </c>
      <c r="E27">
        <f>'Plate Plating average'!H18</f>
        <v>274204.84174856805</v>
      </c>
      <c r="F27">
        <f>'Plate Plating average'!I18</f>
        <v>303131.31105281465</v>
      </c>
      <c r="G27">
        <f>'Plate Plating average'!J18</f>
        <v>4.4000281053702519</v>
      </c>
      <c r="H27">
        <f>'Plate Plating average'!K18</f>
        <v>0.52836415860439123</v>
      </c>
      <c r="I27">
        <f>'Plate Plating average'!L18</f>
        <v>5.255015146804574</v>
      </c>
      <c r="J27">
        <f>'Plate Plating average'!M18</f>
        <v>0.45128343108290614</v>
      </c>
    </row>
    <row r="28" spans="1:10" x14ac:dyDescent="0.3">
      <c r="A28" s="3">
        <f>'Plate Plating average'!B22</f>
        <v>44750</v>
      </c>
      <c r="B28" s="28">
        <f>'Plate Plating average'!C22</f>
        <v>15</v>
      </c>
      <c r="C28">
        <f>'Plate Plating average'!F22</f>
        <v>32012.64111174854</v>
      </c>
      <c r="D28">
        <f>'Plate Plating average'!G22</f>
        <v>29556.678965349911</v>
      </c>
      <c r="E28">
        <f>'Plate Plating average'!H22</f>
        <v>569532.00964737998</v>
      </c>
      <c r="F28">
        <f>'Plate Plating average'!I22</f>
        <v>332946.76336671109</v>
      </c>
      <c r="G28">
        <f>'Plate Plating average'!J22</f>
        <v>4.3443702149060002</v>
      </c>
      <c r="H28">
        <f>'Plate Plating average'!K22</f>
        <v>0.44636743267898332</v>
      </c>
      <c r="I28">
        <f>'Plate Plating average'!L22</f>
        <v>5.6955160182380533</v>
      </c>
      <c r="J28">
        <f>'Plate Plating average'!M22</f>
        <v>0.27151598932772708</v>
      </c>
    </row>
    <row r="29" spans="1:10" x14ac:dyDescent="0.3">
      <c r="A29" s="3">
        <f>'Plate Plating average'!B26</f>
        <v>44753</v>
      </c>
      <c r="B29" s="28">
        <f>'Plate Plating average'!C26</f>
        <v>18</v>
      </c>
      <c r="C29">
        <f>'Plate Plating average'!F26</f>
        <v>24260.084035191747</v>
      </c>
      <c r="D29">
        <f>'Plate Plating average'!G26</f>
        <v>36818.954723075614</v>
      </c>
      <c r="E29">
        <f>'Plate Plating average'!H26</f>
        <v>202517.78210072531</v>
      </c>
      <c r="F29">
        <f>'Plate Plating average'!I26</f>
        <v>69572.347178111318</v>
      </c>
      <c r="G29">
        <f>'Plate Plating average'!J26</f>
        <v>3.8732207110405596</v>
      </c>
      <c r="H29">
        <f>'Plate Plating average'!K26</f>
        <v>0.89275500229760074</v>
      </c>
      <c r="I29">
        <f>'Plate Plating average'!L26</f>
        <v>5.2871602753941191</v>
      </c>
      <c r="J29">
        <f>'Plate Plating average'!M26</f>
        <v>0.14973436660176775</v>
      </c>
    </row>
    <row r="31" spans="1:10" ht="16.2" x14ac:dyDescent="0.3">
      <c r="A31" s="4" t="s">
        <v>91</v>
      </c>
      <c r="C31" s="43" t="s">
        <v>76</v>
      </c>
      <c r="D31" s="43"/>
      <c r="E31" s="43"/>
      <c r="F31" s="43"/>
      <c r="G31" s="43" t="s">
        <v>78</v>
      </c>
      <c r="H31" s="43"/>
      <c r="I31" s="43"/>
      <c r="J31" s="43"/>
    </row>
    <row r="32" spans="1:10" ht="14.85" customHeight="1" x14ac:dyDescent="0.3">
      <c r="A32" s="25" t="s">
        <v>0</v>
      </c>
      <c r="B32" s="25" t="s">
        <v>1</v>
      </c>
      <c r="C32" s="39" t="s">
        <v>24</v>
      </c>
      <c r="D32" s="39"/>
      <c r="E32" s="39" t="s">
        <v>26</v>
      </c>
      <c r="F32" s="39"/>
      <c r="G32" s="39" t="s">
        <v>24</v>
      </c>
      <c r="H32" s="39"/>
      <c r="I32" s="39" t="s">
        <v>26</v>
      </c>
      <c r="J32" s="39"/>
    </row>
    <row r="33" spans="1:10" x14ac:dyDescent="0.3">
      <c r="C33" s="2" t="s">
        <v>60</v>
      </c>
      <c r="D33" s="2" t="s">
        <v>63</v>
      </c>
      <c r="E33" s="2" t="s">
        <v>60</v>
      </c>
      <c r="F33" s="2" t="s">
        <v>63</v>
      </c>
      <c r="G33" s="2" t="s">
        <v>60</v>
      </c>
      <c r="H33" s="2" t="s">
        <v>63</v>
      </c>
      <c r="I33" s="2" t="s">
        <v>60</v>
      </c>
      <c r="J33" s="2" t="s">
        <v>63</v>
      </c>
    </row>
    <row r="34" spans="1:10" x14ac:dyDescent="0.3">
      <c r="A34" s="3">
        <f>'Plate Plating average'!B4</f>
        <v>44735</v>
      </c>
      <c r="B34" s="28">
        <f>'Plate Plating average'!C4</f>
        <v>0</v>
      </c>
      <c r="C34">
        <f>'Plate Plating average'!F4</f>
        <v>0</v>
      </c>
      <c r="D34">
        <f>'Plate Plating average'!G4</f>
        <v>0</v>
      </c>
      <c r="E34">
        <f>'Plate Plating average'!H4</f>
        <v>254.11130215678483</v>
      </c>
      <c r="F34">
        <f>'Plate Plating average'!I4</f>
        <v>187.73258414120755</v>
      </c>
      <c r="G34" t="e">
        <f>'Plate Plating average'!J4</f>
        <v>#NUM!</v>
      </c>
      <c r="H34" t="e">
        <f>'Plate Plating average'!K4</f>
        <v>#NUM!</v>
      </c>
      <c r="I34">
        <f>'Plate Plating average'!L4</f>
        <v>2.2933362617677648</v>
      </c>
      <c r="J34">
        <f>'Plate Plating average'!M4</f>
        <v>0.37733346470787532</v>
      </c>
    </row>
    <row r="35" spans="1:10" x14ac:dyDescent="0.3">
      <c r="A35" s="3">
        <f>'Plate Plating average'!B5</f>
        <v>44739</v>
      </c>
      <c r="B35" s="28">
        <f>'Plate Plating average'!C5</f>
        <v>4</v>
      </c>
      <c r="C35">
        <f>'Plate Plating average'!F5</f>
        <v>0</v>
      </c>
      <c r="D35">
        <f>'Plate Plating average'!G5</f>
        <v>0</v>
      </c>
      <c r="E35">
        <f>'Plate Plating average'!H5</f>
        <v>235445.64316217153</v>
      </c>
      <c r="F35">
        <f>'Plate Plating average'!I5</f>
        <v>162186.44202431591</v>
      </c>
      <c r="G35" t="e">
        <f>'Plate Plating average'!J5</f>
        <v>#NUM!</v>
      </c>
      <c r="H35" t="e">
        <f>'Plate Plating average'!K5</f>
        <v>#NUM!</v>
      </c>
      <c r="I35">
        <f>'Plate Plating average'!L5</f>
        <v>5.2778764935032267</v>
      </c>
      <c r="J35">
        <f>'Plate Plating average'!M5</f>
        <v>0.34137325613637959</v>
      </c>
    </row>
    <row r="36" spans="1:10" x14ac:dyDescent="0.3">
      <c r="A36" s="3">
        <f>'Plate Plating average'!B7</f>
        <v>44741</v>
      </c>
      <c r="B36" s="28">
        <f>'Plate Plating average'!C7</f>
        <v>6</v>
      </c>
      <c r="C36">
        <f>'Plate Plating average'!F7</f>
        <v>0</v>
      </c>
      <c r="D36">
        <f>'Plate Plating average'!G7</f>
        <v>0</v>
      </c>
      <c r="E36">
        <f>'Plate Plating average'!H7</f>
        <v>154482.69505071576</v>
      </c>
      <c r="F36">
        <f>'Plate Plating average'!I7</f>
        <v>146005.41969544996</v>
      </c>
      <c r="G36" t="e">
        <f>'Plate Plating average'!J7</f>
        <v>#NUM!</v>
      </c>
      <c r="H36" t="e">
        <f>'Plate Plating average'!K7</f>
        <v>#NUM!</v>
      </c>
      <c r="I36">
        <f>'Plate Plating average'!L7</f>
        <v>4.9815593278044226</v>
      </c>
      <c r="J36">
        <f>'Plate Plating average'!M7</f>
        <v>0.53515650501746503</v>
      </c>
    </row>
    <row r="37" spans="1:10" x14ac:dyDescent="0.3">
      <c r="A37" s="3">
        <f>'Plate Plating average'!B11</f>
        <v>44743</v>
      </c>
      <c r="B37" s="28">
        <f>'Plate Plating average'!C11</f>
        <v>8</v>
      </c>
      <c r="C37">
        <f>'Plate Plating average'!F11</f>
        <v>1324916.4939550736</v>
      </c>
      <c r="D37">
        <f>'Plate Plating average'!G11</f>
        <v>570007.99869517318</v>
      </c>
      <c r="E37">
        <f>'Plate Plating average'!H11</f>
        <v>1678786.7110457313</v>
      </c>
      <c r="F37">
        <f>'Plate Plating average'!I11</f>
        <v>604060.34218704747</v>
      </c>
      <c r="G37">
        <f>'Plate Plating average'!J11</f>
        <v>6.0768092768544681</v>
      </c>
      <c r="H37">
        <f>'Plate Plating average'!K11</f>
        <v>0.25311443436663156</v>
      </c>
      <c r="I37">
        <f>'Plate Plating average'!L11</f>
        <v>6.1955745541306024</v>
      </c>
      <c r="J37">
        <f>'Plate Plating average'!M11</f>
        <v>0.19995315054652538</v>
      </c>
    </row>
    <row r="38" spans="1:10" x14ac:dyDescent="0.3">
      <c r="A38" s="3">
        <f>'Plate Plating average'!B15</f>
        <v>44746</v>
      </c>
      <c r="B38" s="28">
        <f>'Plate Plating average'!C15</f>
        <v>11</v>
      </c>
      <c r="C38">
        <f>'Plate Plating average'!F15</f>
        <v>104051.13300899827</v>
      </c>
      <c r="D38">
        <f>'Plate Plating average'!G15</f>
        <v>118564.70711154383</v>
      </c>
      <c r="E38">
        <f>'Plate Plating average'!H15</f>
        <v>256826.70124166418</v>
      </c>
      <c r="F38">
        <f>'Plate Plating average'!I15</f>
        <v>155836.49509525549</v>
      </c>
      <c r="G38">
        <f>'Plate Plating average'!J15</f>
        <v>4.6594588934795329</v>
      </c>
      <c r="H38">
        <f>'Plate Plating average'!K15</f>
        <v>0.74268681597096486</v>
      </c>
      <c r="I38">
        <f>'Plate Plating average'!L15</f>
        <v>5.3433187941834213</v>
      </c>
      <c r="J38">
        <f>'Plate Plating average'!M15</f>
        <v>0.28522991706190992</v>
      </c>
    </row>
    <row r="39" spans="1:10" x14ac:dyDescent="0.3">
      <c r="A39" s="3">
        <f>'Plate Plating average'!B19</f>
        <v>44748</v>
      </c>
      <c r="B39" s="28">
        <f>'Plate Plating average'!C19</f>
        <v>13</v>
      </c>
      <c r="C39">
        <f>'Plate Plating average'!F19</f>
        <v>35265.879927894246</v>
      </c>
      <c r="D39">
        <f>'Plate Plating average'!G19</f>
        <v>18308.029637170232</v>
      </c>
      <c r="E39">
        <f>'Plate Plating average'!H19</f>
        <v>141555.91492733409</v>
      </c>
      <c r="F39">
        <f>'Plate Plating average'!I19</f>
        <v>76111.118452806026</v>
      </c>
      <c r="G39">
        <f>'Plate Plating average'!J19</f>
        <v>4.4617782508499166</v>
      </c>
      <c r="H39">
        <f>'Plate Plating average'!K19</f>
        <v>0.36871715394739718</v>
      </c>
      <c r="I39">
        <f>'Plate Plating average'!L19</f>
        <v>5.0944899832351673</v>
      </c>
      <c r="J39">
        <f>'Plate Plating average'!M19</f>
        <v>0.27014834767870433</v>
      </c>
    </row>
    <row r="40" spans="1:10" x14ac:dyDescent="0.3">
      <c r="A40" s="3">
        <f>'Plate Plating average'!B23</f>
        <v>44750</v>
      </c>
      <c r="B40" s="28">
        <f>'Plate Plating average'!C23</f>
        <v>15</v>
      </c>
      <c r="C40">
        <f>'Plate Plating average'!F23</f>
        <v>96727.639163321597</v>
      </c>
      <c r="D40">
        <f>'Plate Plating average'!G23</f>
        <v>51443.604981095428</v>
      </c>
      <c r="E40">
        <f>'Plate Plating average'!H23</f>
        <v>313934.64262192766</v>
      </c>
      <c r="F40">
        <f>'Plate Plating average'!I23</f>
        <v>151683.48455163909</v>
      </c>
      <c r="G40">
        <f>'Plate Plating average'!J23</f>
        <v>4.913922137348929</v>
      </c>
      <c r="H40">
        <f>'Plate Plating average'!K23</f>
        <v>0.32301835625655367</v>
      </c>
      <c r="I40">
        <f>'Plate Plating average'!L23</f>
        <v>5.4612502589272331</v>
      </c>
      <c r="J40">
        <f>'Plate Plating average'!M23</f>
        <v>0.19939963351501946</v>
      </c>
    </row>
    <row r="41" spans="1:10" x14ac:dyDescent="0.3">
      <c r="A41" s="3">
        <f>'Plate Plating average'!B27</f>
        <v>44753</v>
      </c>
      <c r="B41" s="28">
        <f>'Plate Plating average'!C27</f>
        <v>18</v>
      </c>
      <c r="C41">
        <f>'Plate Plating average'!F27</f>
        <v>24272.716845555995</v>
      </c>
      <c r="D41">
        <f>'Plate Plating average'!G27</f>
        <v>31328.264356364376</v>
      </c>
      <c r="E41">
        <f>'Plate Plating average'!H27</f>
        <v>349879.80589226645</v>
      </c>
      <c r="F41">
        <f>'Plate Plating average'!I27</f>
        <v>177087.4743629634</v>
      </c>
      <c r="G41">
        <f>'Plate Plating average'!J27</f>
        <v>4.0348501213435446</v>
      </c>
      <c r="H41">
        <f>'Plate Plating average'!K27</f>
        <v>0.69628459494744144</v>
      </c>
      <c r="I41">
        <f>'Plate Plating average'!L27</f>
        <v>5.5026810499408576</v>
      </c>
      <c r="J41">
        <f>'Plate Plating average'!M27</f>
        <v>0.21750658825525176</v>
      </c>
    </row>
    <row r="43" spans="1:10" ht="16.2" x14ac:dyDescent="0.3">
      <c r="A43" s="4" t="s">
        <v>18</v>
      </c>
      <c r="C43" s="43" t="s">
        <v>76</v>
      </c>
      <c r="D43" s="43"/>
      <c r="E43" s="43"/>
      <c r="F43" s="43"/>
      <c r="G43" s="43" t="s">
        <v>78</v>
      </c>
      <c r="H43" s="43"/>
      <c r="I43" s="43"/>
      <c r="J43" s="43"/>
    </row>
    <row r="44" spans="1:10" ht="14.85" customHeight="1" x14ac:dyDescent="0.3">
      <c r="A44" s="25" t="s">
        <v>0</v>
      </c>
      <c r="B44" s="25" t="s">
        <v>1</v>
      </c>
      <c r="C44" s="39" t="s">
        <v>24</v>
      </c>
      <c r="D44" s="39"/>
      <c r="E44" s="39" t="s">
        <v>26</v>
      </c>
      <c r="F44" s="39"/>
      <c r="G44" s="39" t="s">
        <v>24</v>
      </c>
      <c r="H44" s="39"/>
      <c r="I44" s="39" t="s">
        <v>26</v>
      </c>
      <c r="J44" s="39"/>
    </row>
    <row r="45" spans="1:10" x14ac:dyDescent="0.3">
      <c r="C45" s="2" t="s">
        <v>60</v>
      </c>
      <c r="D45" s="2" t="s">
        <v>63</v>
      </c>
      <c r="E45" s="2" t="s">
        <v>60</v>
      </c>
      <c r="F45" s="2" t="s">
        <v>63</v>
      </c>
      <c r="G45" s="2" t="s">
        <v>60</v>
      </c>
      <c r="H45" s="2" t="s">
        <v>63</v>
      </c>
      <c r="I45" s="2" t="s">
        <v>60</v>
      </c>
      <c r="J45" s="2" t="s">
        <v>63</v>
      </c>
    </row>
    <row r="46" spans="1:10" x14ac:dyDescent="0.3">
      <c r="A46" s="3">
        <f>'Plate Plating average'!B4</f>
        <v>44735</v>
      </c>
      <c r="B46" s="28">
        <f>'Plate Plating average'!C4</f>
        <v>0</v>
      </c>
      <c r="C46">
        <f>'Plate Plating average'!F4</f>
        <v>0</v>
      </c>
      <c r="D46">
        <f>'Plate Plating average'!G4</f>
        <v>0</v>
      </c>
      <c r="E46">
        <f>'Plate Plating average'!H4</f>
        <v>254.11130215678483</v>
      </c>
      <c r="F46">
        <f>'Plate Plating average'!I4</f>
        <v>187.73258414120755</v>
      </c>
      <c r="G46" t="e">
        <f>'Plate Plating average'!J4</f>
        <v>#NUM!</v>
      </c>
      <c r="H46" t="e">
        <f>'Plate Plating average'!K4</f>
        <v>#NUM!</v>
      </c>
      <c r="I46">
        <f>'Plate Plating average'!L4</f>
        <v>2.2933362617677648</v>
      </c>
      <c r="J46">
        <f>'Plate Plating average'!M4</f>
        <v>0.37733346470787532</v>
      </c>
    </row>
    <row r="47" spans="1:10" x14ac:dyDescent="0.3">
      <c r="A47" s="3">
        <f>'Plate Plating average'!B5</f>
        <v>44739</v>
      </c>
      <c r="B47" s="28">
        <f>'Plate Plating average'!C5</f>
        <v>4</v>
      </c>
      <c r="C47">
        <f>'Plate Plating average'!F5</f>
        <v>0</v>
      </c>
      <c r="D47">
        <f>'Plate Plating average'!G5</f>
        <v>0</v>
      </c>
      <c r="E47">
        <f>'Plate Plating average'!H5</f>
        <v>235445.64316217153</v>
      </c>
      <c r="F47">
        <f>'Plate Plating average'!I5</f>
        <v>162186.44202431591</v>
      </c>
      <c r="G47" t="e">
        <f>'Plate Plating average'!J5</f>
        <v>#NUM!</v>
      </c>
      <c r="H47" t="e">
        <f>'Plate Plating average'!K5</f>
        <v>#NUM!</v>
      </c>
      <c r="I47">
        <f>'Plate Plating average'!L5</f>
        <v>5.2778764935032267</v>
      </c>
      <c r="J47">
        <f>'Plate Plating average'!M5</f>
        <v>0.34137325613637959</v>
      </c>
    </row>
    <row r="48" spans="1:10" x14ac:dyDescent="0.3">
      <c r="A48" s="3">
        <f>'Plate Plating average'!B8</f>
        <v>44741</v>
      </c>
      <c r="B48" s="28">
        <f>'Plate Plating average'!C8</f>
        <v>6</v>
      </c>
      <c r="C48">
        <f>'Plate Plating average'!F8</f>
        <v>0</v>
      </c>
      <c r="D48">
        <f>'Plate Plating average'!G8</f>
        <v>0</v>
      </c>
      <c r="E48">
        <f>'Plate Plating average'!H8</f>
        <v>53694.948558191463</v>
      </c>
      <c r="F48">
        <f>'Plate Plating average'!I8</f>
        <v>49509.742654868562</v>
      </c>
      <c r="G48" t="e">
        <f>'Plate Plating average'!J8</f>
        <v>#NUM!</v>
      </c>
      <c r="H48" t="e">
        <f>'Plate Plating average'!K8</f>
        <v>#NUM!</v>
      </c>
      <c r="I48">
        <f>'Plate Plating average'!L8</f>
        <v>4.5735920288538621</v>
      </c>
      <c r="J48">
        <f>'Plate Plating average'!M8</f>
        <v>0.43970295913111124</v>
      </c>
    </row>
    <row r="49" spans="1:10" x14ac:dyDescent="0.3">
      <c r="A49" s="3">
        <f>'Plate Plating average'!B12</f>
        <v>44743</v>
      </c>
      <c r="B49" s="28">
        <f>'Plate Plating average'!C12</f>
        <v>8</v>
      </c>
      <c r="C49">
        <f>'Plate Plating average'!F12</f>
        <v>1631741.4519303108</v>
      </c>
      <c r="D49">
        <f>'Plate Plating average'!G12</f>
        <v>970881.3628262009</v>
      </c>
      <c r="E49">
        <f>'Plate Plating average'!H12</f>
        <v>2002566.3102175966</v>
      </c>
      <c r="F49">
        <f>'Plate Plating average'!I12</f>
        <v>1119216.9247944683</v>
      </c>
      <c r="G49">
        <f>'Plate Plating average'!J12</f>
        <v>6.1426318960971518</v>
      </c>
      <c r="H49">
        <f>'Plate Plating average'!K12</f>
        <v>0.29766817260400563</v>
      </c>
      <c r="I49">
        <f>'Plate Plating average'!L12</f>
        <v>6.2427793441483477</v>
      </c>
      <c r="J49">
        <f>'Plate Plating average'!M12</f>
        <v>0.26916265983276033</v>
      </c>
    </row>
    <row r="50" spans="1:10" x14ac:dyDescent="0.3">
      <c r="A50" s="3">
        <f>'Plate Plating average'!B16</f>
        <v>44746</v>
      </c>
      <c r="B50" s="28">
        <f>'Plate Plating average'!C16</f>
        <v>11</v>
      </c>
      <c r="C50">
        <f>'Plate Plating average'!F16</f>
        <v>81296.958031313101</v>
      </c>
      <c r="D50">
        <f>'Plate Plating average'!G16</f>
        <v>54694.490005004438</v>
      </c>
      <c r="E50">
        <f>'Plate Plating average'!H16</f>
        <v>277954.51965574257</v>
      </c>
      <c r="F50">
        <f>'Plate Plating average'!I16</f>
        <v>232474.00825781512</v>
      </c>
      <c r="G50">
        <f>'Plate Plating average'!J16</f>
        <v>4.7746786235796943</v>
      </c>
      <c r="H50">
        <f>'Plate Plating average'!K16</f>
        <v>0.46898467047623532</v>
      </c>
      <c r="I50">
        <f>'Plate Plating average'!L16</f>
        <v>5.2648348671715475</v>
      </c>
      <c r="J50">
        <f>'Plate Plating average'!M16</f>
        <v>0.50567696658364958</v>
      </c>
    </row>
    <row r="51" spans="1:10" x14ac:dyDescent="0.3">
      <c r="A51" s="3">
        <f>'Plate Plating average'!B20</f>
        <v>44748</v>
      </c>
      <c r="B51" s="28">
        <f>'Plate Plating average'!C20</f>
        <v>13</v>
      </c>
      <c r="C51">
        <f>'Plate Plating average'!F20</f>
        <v>23640.045014705131</v>
      </c>
      <c r="D51">
        <f>'Plate Plating average'!G20</f>
        <v>12880.469884408723</v>
      </c>
      <c r="E51">
        <f>'Plate Plating average'!H20</f>
        <v>133431.93114567644</v>
      </c>
      <c r="F51">
        <f>'Plate Plating average'!I20</f>
        <v>64616.51543840862</v>
      </c>
      <c r="G51">
        <f>'Plate Plating average'!J20</f>
        <v>4.3298381466514391</v>
      </c>
      <c r="H51">
        <f>'Plate Plating average'!K20</f>
        <v>0.2203420399898339</v>
      </c>
      <c r="I51">
        <f>'Plate Plating average'!L20</f>
        <v>5.0816563738615397</v>
      </c>
      <c r="J51">
        <f>'Plate Plating average'!M20</f>
        <v>0.23217565394386599</v>
      </c>
    </row>
    <row r="52" spans="1:10" x14ac:dyDescent="0.3">
      <c r="A52" s="3">
        <f>'Plate Plating average'!B24</f>
        <v>44750</v>
      </c>
      <c r="B52" s="28">
        <f>'Plate Plating average'!C24</f>
        <v>15</v>
      </c>
      <c r="C52">
        <f>'Plate Plating average'!F24</f>
        <v>279281.82006240939</v>
      </c>
      <c r="D52">
        <f>'Plate Plating average'!G24</f>
        <v>278214.53988541145</v>
      </c>
      <c r="E52">
        <f>'Plate Plating average'!H24</f>
        <v>643415.8030497958</v>
      </c>
      <c r="F52">
        <f>'Plate Plating average'!I24</f>
        <v>314481.85227389663</v>
      </c>
      <c r="G52">
        <f>'Plate Plating average'!J24</f>
        <v>5.2682456887302624</v>
      </c>
      <c r="H52">
        <f>'Plate Plating average'!K24</f>
        <v>0.47284552426400694</v>
      </c>
      <c r="I52">
        <f>'Plate Plating average'!L24</f>
        <v>5.7479812638829868</v>
      </c>
      <c r="J52">
        <f>'Plate Plating average'!M24</f>
        <v>0.29525390587711886</v>
      </c>
    </row>
    <row r="53" spans="1:10" x14ac:dyDescent="0.3">
      <c r="A53" s="3">
        <f>'Plate Plating average'!B28</f>
        <v>44753</v>
      </c>
      <c r="B53" s="28">
        <f>'Plate Plating average'!C28</f>
        <v>18</v>
      </c>
      <c r="C53">
        <f>'Plate Plating average'!F28</f>
        <v>41174.257326972838</v>
      </c>
      <c r="D53">
        <f>'Plate Plating average'!G28</f>
        <v>43589.570703402285</v>
      </c>
      <c r="E53">
        <f>'Plate Plating average'!H28</f>
        <v>322417.53915180918</v>
      </c>
      <c r="F53">
        <f>'Plate Plating average'!I28</f>
        <v>206164.86625808489</v>
      </c>
      <c r="G53">
        <f>'Plate Plating average'!J28</f>
        <v>4.2795161562250303</v>
      </c>
      <c r="H53">
        <f>'Plate Plating average'!K28</f>
        <v>0.78043308833110714</v>
      </c>
      <c r="I53">
        <f>'Plate Plating average'!L28</f>
        <v>5.4178878899701637</v>
      </c>
      <c r="J53">
        <f>'Plate Plating average'!M28</f>
        <v>0.35067238756855373</v>
      </c>
    </row>
    <row r="54" spans="1:10" x14ac:dyDescent="0.3">
      <c r="A54" s="3"/>
      <c r="B54" s="28"/>
    </row>
    <row r="55" spans="1:10" ht="16.2" x14ac:dyDescent="0.3">
      <c r="A55" s="4" t="s">
        <v>19</v>
      </c>
      <c r="C55" s="43" t="s">
        <v>76</v>
      </c>
      <c r="D55" s="43"/>
      <c r="E55" s="43"/>
      <c r="F55" s="43"/>
      <c r="G55" s="43" t="s">
        <v>78</v>
      </c>
      <c r="H55" s="43"/>
      <c r="I55" s="43"/>
      <c r="J55" s="43"/>
    </row>
    <row r="56" spans="1:10" ht="14.85" customHeight="1" x14ac:dyDescent="0.3">
      <c r="A56" s="25" t="s">
        <v>0</v>
      </c>
      <c r="B56" s="25" t="s">
        <v>1</v>
      </c>
      <c r="C56" s="39" t="s">
        <v>24</v>
      </c>
      <c r="D56" s="39"/>
      <c r="E56" s="39" t="s">
        <v>26</v>
      </c>
      <c r="F56" s="39"/>
      <c r="G56" s="39" t="s">
        <v>24</v>
      </c>
      <c r="H56" s="39"/>
      <c r="I56" s="39" t="s">
        <v>26</v>
      </c>
      <c r="J56" s="39"/>
    </row>
    <row r="57" spans="1:10" x14ac:dyDescent="0.3">
      <c r="C57" s="2" t="s">
        <v>60</v>
      </c>
      <c r="D57" s="2" t="s">
        <v>63</v>
      </c>
      <c r="E57" s="2" t="s">
        <v>60</v>
      </c>
      <c r="F57" s="2" t="s">
        <v>63</v>
      </c>
      <c r="G57" s="2" t="s">
        <v>60</v>
      </c>
      <c r="H57" s="2" t="s">
        <v>63</v>
      </c>
      <c r="I57" s="2" t="s">
        <v>60</v>
      </c>
      <c r="J57" s="2" t="s">
        <v>63</v>
      </c>
    </row>
    <row r="58" spans="1:10" x14ac:dyDescent="0.3">
      <c r="A58" s="3">
        <f>'Plate Plating average'!B4</f>
        <v>44735</v>
      </c>
      <c r="B58" s="28">
        <f>'Plate Plating average'!C4</f>
        <v>0</v>
      </c>
      <c r="C58">
        <f>'Plate Plating average'!F4</f>
        <v>0</v>
      </c>
      <c r="D58">
        <f>'Plate Plating average'!G4</f>
        <v>0</v>
      </c>
      <c r="E58">
        <f>'Plate Plating average'!H4</f>
        <v>254.11130215678483</v>
      </c>
      <c r="F58">
        <f>'Plate Plating average'!I4</f>
        <v>187.73258414120755</v>
      </c>
      <c r="G58" t="e">
        <f>'Plate Plating average'!J4</f>
        <v>#NUM!</v>
      </c>
      <c r="H58" t="e">
        <f>'Plate Plating average'!K4</f>
        <v>#NUM!</v>
      </c>
      <c r="I58">
        <f>'Plate Plating average'!L4</f>
        <v>2.2933362617677648</v>
      </c>
      <c r="J58">
        <f>'Plate Plating average'!M4</f>
        <v>0.37733346470787532</v>
      </c>
    </row>
    <row r="59" spans="1:10" x14ac:dyDescent="0.3">
      <c r="A59" s="3">
        <f>'Plate Plating average'!B5</f>
        <v>44739</v>
      </c>
      <c r="B59" s="28">
        <f>'Plate Plating average'!C5</f>
        <v>4</v>
      </c>
      <c r="C59">
        <f>'Plate Plating average'!F5</f>
        <v>0</v>
      </c>
      <c r="D59">
        <f>'Plate Plating average'!G5</f>
        <v>0</v>
      </c>
      <c r="E59">
        <f>'Plate Plating average'!H5</f>
        <v>235445.64316217153</v>
      </c>
      <c r="F59">
        <f>'Plate Plating average'!I5</f>
        <v>162186.44202431591</v>
      </c>
      <c r="G59" t="e">
        <f>'Plate Plating average'!J5</f>
        <v>#NUM!</v>
      </c>
      <c r="H59" t="e">
        <f>'Plate Plating average'!K5</f>
        <v>#NUM!</v>
      </c>
      <c r="I59">
        <f>'Plate Plating average'!L5</f>
        <v>5.2778764935032267</v>
      </c>
      <c r="J59">
        <f>'Plate Plating average'!M5</f>
        <v>0.34137325613637959</v>
      </c>
    </row>
    <row r="60" spans="1:10" x14ac:dyDescent="0.3">
      <c r="A60" s="3">
        <f>'Plate Plating average'!B9</f>
        <v>44741</v>
      </c>
      <c r="B60" s="28">
        <f>'Plate Plating average'!C9</f>
        <v>6</v>
      </c>
      <c r="C60">
        <f>'Plate Plating average'!F9</f>
        <v>0</v>
      </c>
      <c r="D60">
        <f>'Plate Plating average'!G9</f>
        <v>0</v>
      </c>
      <c r="E60">
        <f>'Plate Plating average'!H9</f>
        <v>97608.999848415726</v>
      </c>
      <c r="F60">
        <f>'Plate Plating average'!I9</f>
        <v>99543.058274167095</v>
      </c>
      <c r="G60" t="e">
        <f>'Plate Plating average'!J9</f>
        <v>#NUM!</v>
      </c>
      <c r="H60" t="e">
        <f>'Plate Plating average'!K9</f>
        <v>#NUM!</v>
      </c>
      <c r="I60">
        <f>'Plate Plating average'!L9</f>
        <v>4.6597923978330424</v>
      </c>
      <c r="J60">
        <f>'Plate Plating average'!M9</f>
        <v>0.79576797920634068</v>
      </c>
    </row>
    <row r="61" spans="1:10" x14ac:dyDescent="0.3">
      <c r="A61" s="3">
        <f>'Plate Plating average'!B13</f>
        <v>44743</v>
      </c>
      <c r="B61" s="28">
        <f>'Plate Plating average'!C13</f>
        <v>8</v>
      </c>
      <c r="C61">
        <f>'Plate Plating average'!F13</f>
        <v>524305.23955318832</v>
      </c>
      <c r="D61">
        <f>'Plate Plating average'!G13</f>
        <v>437977.6208017093</v>
      </c>
      <c r="E61">
        <f>'Plate Plating average'!H13</f>
        <v>1352103.6296124982</v>
      </c>
      <c r="F61">
        <f>'Plate Plating average'!I13</f>
        <v>1206352.2440150862</v>
      </c>
      <c r="G61">
        <f>'Plate Plating average'!J13</f>
        <v>5.5535332082966207</v>
      </c>
      <c r="H61">
        <f>'Plate Plating average'!K13</f>
        <v>0.49397799783899055</v>
      </c>
      <c r="I61">
        <f>'Plate Plating average'!L13</f>
        <v>6.0008669875629419</v>
      </c>
      <c r="J61">
        <f>'Plate Plating average'!M13</f>
        <v>0.3938162247445649</v>
      </c>
    </row>
    <row r="62" spans="1:10" x14ac:dyDescent="0.3">
      <c r="A62" s="3">
        <f>'Plate Plating average'!B17</f>
        <v>44746</v>
      </c>
      <c r="B62" s="28">
        <f>'Plate Plating average'!C17</f>
        <v>11</v>
      </c>
      <c r="C62">
        <f>'Plate Plating average'!F17</f>
        <v>67805.081999625589</v>
      </c>
      <c r="D62">
        <f>'Plate Plating average'!G17</f>
        <v>37307.944425723668</v>
      </c>
      <c r="E62">
        <f>'Plate Plating average'!H17</f>
        <v>355223.48783651233</v>
      </c>
      <c r="F62">
        <f>'Plate Plating average'!I17</f>
        <v>58871.830363976675</v>
      </c>
      <c r="G62">
        <f>'Plate Plating average'!J17</f>
        <v>4.7891780717356287</v>
      </c>
      <c r="H62">
        <f>'Plate Plating average'!K17</f>
        <v>0.21162822488069899</v>
      </c>
      <c r="I62">
        <f>'Plate Plating average'!L17</f>
        <v>5.5458623921229844</v>
      </c>
      <c r="J62">
        <f>'Plate Plating average'!M17</f>
        <v>7.3987461020953299E-2</v>
      </c>
    </row>
    <row r="63" spans="1:10" x14ac:dyDescent="0.3">
      <c r="A63" s="3">
        <f>'Plate Plating average'!B21</f>
        <v>44748</v>
      </c>
      <c r="B63" s="28">
        <f>'Plate Plating average'!C21</f>
        <v>13</v>
      </c>
      <c r="C63">
        <f>'Plate Plating average'!F21</f>
        <v>30515.329507313269</v>
      </c>
      <c r="D63">
        <f>'Plate Plating average'!G21</f>
        <v>38966.525932068536</v>
      </c>
      <c r="E63">
        <f>'Plate Plating average'!H21</f>
        <v>307229.19659453444</v>
      </c>
      <c r="F63">
        <f>'Plate Plating average'!I21</f>
        <v>156134.87318504782</v>
      </c>
      <c r="G63">
        <f>'Plate Plating average'!J21</f>
        <v>4.2550108493565659</v>
      </c>
      <c r="H63">
        <f>'Plate Plating average'!K21</f>
        <v>0.483369216251958</v>
      </c>
      <c r="I63">
        <f>'Plate Plating average'!L21</f>
        <v>5.4433563620074725</v>
      </c>
      <c r="J63">
        <f>'Plate Plating average'!M21</f>
        <v>0.23050234969630862</v>
      </c>
    </row>
    <row r="64" spans="1:10" x14ac:dyDescent="0.3">
      <c r="A64" s="3">
        <f>'Plate Plating average'!B25</f>
        <v>44750</v>
      </c>
      <c r="B64" s="28">
        <f>'Plate Plating average'!C25</f>
        <v>15</v>
      </c>
      <c r="C64">
        <f>'Plate Plating average'!F25</f>
        <v>142965.70045349011</v>
      </c>
      <c r="D64">
        <f>'Plate Plating average'!G25</f>
        <v>141580.45522336182</v>
      </c>
      <c r="E64">
        <f>'Plate Plating average'!H25</f>
        <v>726698.04834874219</v>
      </c>
      <c r="F64">
        <f>'Plate Plating average'!I25</f>
        <v>423782.16720507515</v>
      </c>
      <c r="G64">
        <f>'Plate Plating average'!J25</f>
        <v>4.9387739433955709</v>
      </c>
      <c r="H64">
        <f>'Plate Plating average'!K25</f>
        <v>0.55357781724604982</v>
      </c>
      <c r="I64">
        <f>'Plate Plating average'!L25</f>
        <v>5.8092184778399316</v>
      </c>
      <c r="J64">
        <f>'Plate Plating average'!M25</f>
        <v>0.24227176108967624</v>
      </c>
    </row>
    <row r="65" spans="1:10" x14ac:dyDescent="0.3">
      <c r="A65" s="3">
        <f>'Plate Plating average'!B29</f>
        <v>44753</v>
      </c>
      <c r="B65" s="28">
        <f>'Plate Plating average'!C29</f>
        <v>18</v>
      </c>
      <c r="C65">
        <f>'Plate Plating average'!F29</f>
        <v>134958.49937447539</v>
      </c>
      <c r="D65">
        <f>'Plate Plating average'!G29</f>
        <v>105543.34459890334</v>
      </c>
      <c r="E65">
        <f>'Plate Plating average'!H29</f>
        <v>471354.37221084739</v>
      </c>
      <c r="F65">
        <f>'Plate Plating average'!I29</f>
        <v>341950.89599074743</v>
      </c>
      <c r="G65">
        <f>'Plate Plating average'!J29</f>
        <v>5.0121476506263267</v>
      </c>
      <c r="H65">
        <f>'Plate Plating average'!K29</f>
        <v>0.38095769359086856</v>
      </c>
      <c r="I65">
        <f>'Plate Plating average'!L29</f>
        <v>5.5855558717117164</v>
      </c>
      <c r="J65">
        <f>'Plate Plating average'!M29</f>
        <v>0.32397441779789871</v>
      </c>
    </row>
  </sheetData>
  <mergeCells count="38">
    <mergeCell ref="A2:A3"/>
    <mergeCell ref="A4:A5"/>
    <mergeCell ref="A6:A7"/>
    <mergeCell ref="A8:A9"/>
    <mergeCell ref="C20:D20"/>
    <mergeCell ref="C19:F19"/>
    <mergeCell ref="F14:F16"/>
    <mergeCell ref="C11:I11"/>
    <mergeCell ref="A14:A16"/>
    <mergeCell ref="B14:B16"/>
    <mergeCell ref="C56:D56"/>
    <mergeCell ref="E56:F56"/>
    <mergeCell ref="G56:H56"/>
    <mergeCell ref="I56:J56"/>
    <mergeCell ref="G20:H20"/>
    <mergeCell ref="I20:J20"/>
    <mergeCell ref="C32:D32"/>
    <mergeCell ref="E32:F32"/>
    <mergeCell ref="G32:H32"/>
    <mergeCell ref="I32:J32"/>
    <mergeCell ref="E20:F20"/>
    <mergeCell ref="C55:F55"/>
    <mergeCell ref="G55:J55"/>
    <mergeCell ref="C44:D44"/>
    <mergeCell ref="E44:F44"/>
    <mergeCell ref="G44:H44"/>
    <mergeCell ref="I44:J44"/>
    <mergeCell ref="G19:J19"/>
    <mergeCell ref="C31:F31"/>
    <mergeCell ref="G31:J31"/>
    <mergeCell ref="C43:F43"/>
    <mergeCell ref="G43:J43"/>
    <mergeCell ref="J14:J16"/>
    <mergeCell ref="K14:K16"/>
    <mergeCell ref="J11:K11"/>
    <mergeCell ref="G14:G16"/>
    <mergeCell ref="H14:H16"/>
    <mergeCell ref="I14:I16"/>
  </mergeCells>
  <pageMargins left="0.7" right="0.7" top="0.75" bottom="0.75" header="0.3" footer="0.3"/>
  <pageSetup paperSize="9" scale="40" fitToHeight="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C574-0B19-43BD-9CBD-CA52386F1CC3}">
  <dimension ref="A1:V106"/>
  <sheetViews>
    <sheetView topLeftCell="C1" zoomScale="70" zoomScaleNormal="70" workbookViewId="0">
      <selection activeCell="O3" sqref="N3:O106"/>
    </sheetView>
  </sheetViews>
  <sheetFormatPr defaultColWidth="11.5546875" defaultRowHeight="14.4" x14ac:dyDescent="0.3"/>
  <cols>
    <col min="5" max="5" width="13.5546875" bestFit="1" customWidth="1"/>
    <col min="7" max="8" width="15.88671875" customWidth="1"/>
    <col min="9" max="9" width="14.109375" customWidth="1"/>
    <col min="11" max="11" width="17.88671875" customWidth="1"/>
    <col min="12" max="13" width="14.77734375" customWidth="1"/>
    <col min="14" max="14" width="17.77734375" bestFit="1" customWidth="1"/>
    <col min="21" max="22" width="10.88671875" style="16"/>
  </cols>
  <sheetData>
    <row r="1" spans="1:22" x14ac:dyDescent="0.3">
      <c r="A1" s="1" t="s">
        <v>21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49" t="s">
        <v>40</v>
      </c>
      <c r="H1" s="49"/>
      <c r="I1" s="49"/>
      <c r="J1" s="49"/>
      <c r="K1" s="49"/>
      <c r="L1" s="26"/>
      <c r="M1" s="26"/>
      <c r="N1" s="1" t="s">
        <v>41</v>
      </c>
      <c r="O1" s="1" t="s">
        <v>42</v>
      </c>
    </row>
    <row r="2" spans="1:22" ht="28.8" x14ac:dyDescent="0.3">
      <c r="A2" s="26"/>
      <c r="B2" s="26"/>
      <c r="C2" s="26"/>
      <c r="D2" s="26"/>
      <c r="E2" s="26"/>
      <c r="F2" s="26"/>
      <c r="G2" s="27" t="s">
        <v>71</v>
      </c>
      <c r="H2" s="27" t="s">
        <v>72</v>
      </c>
      <c r="I2" s="27" t="s">
        <v>75</v>
      </c>
      <c r="J2" s="27" t="s">
        <v>73</v>
      </c>
      <c r="K2" s="27" t="s">
        <v>70</v>
      </c>
      <c r="L2" s="26" t="s">
        <v>74</v>
      </c>
      <c r="M2" s="27" t="s">
        <v>75</v>
      </c>
      <c r="N2" s="27" t="s">
        <v>70</v>
      </c>
      <c r="O2" s="26"/>
    </row>
    <row r="3" spans="1:22" x14ac:dyDescent="0.3">
      <c r="A3" t="s">
        <v>22</v>
      </c>
      <c r="B3" s="3">
        <v>44735</v>
      </c>
      <c r="C3">
        <f>B3-$B$3</f>
        <v>0</v>
      </c>
      <c r="D3" t="s">
        <v>15</v>
      </c>
      <c r="E3" t="s">
        <v>10</v>
      </c>
      <c r="F3" t="s">
        <v>11</v>
      </c>
      <c r="K3">
        <v>20</v>
      </c>
      <c r="N3">
        <v>1</v>
      </c>
      <c r="O3">
        <v>8</v>
      </c>
    </row>
    <row r="4" spans="1:22" x14ac:dyDescent="0.3">
      <c r="A4" t="s">
        <v>22</v>
      </c>
      <c r="B4" s="3">
        <v>44735</v>
      </c>
      <c r="C4">
        <f t="shared" ref="C4:C67" si="0">B4-$B$3</f>
        <v>0</v>
      </c>
      <c r="D4" t="s">
        <v>15</v>
      </c>
      <c r="E4" t="s">
        <v>10</v>
      </c>
      <c r="F4" t="s">
        <v>12</v>
      </c>
      <c r="K4">
        <v>20</v>
      </c>
      <c r="N4">
        <v>1</v>
      </c>
      <c r="O4">
        <v>8</v>
      </c>
      <c r="P4" s="10"/>
      <c r="Q4" s="10"/>
      <c r="R4" s="10"/>
      <c r="S4" s="10"/>
      <c r="T4" s="10"/>
      <c r="U4" s="10"/>
    </row>
    <row r="5" spans="1:22" x14ac:dyDescent="0.3">
      <c r="A5" t="s">
        <v>22</v>
      </c>
      <c r="B5" s="3">
        <v>44735</v>
      </c>
      <c r="C5">
        <f t="shared" si="0"/>
        <v>0</v>
      </c>
      <c r="D5" t="s">
        <v>15</v>
      </c>
      <c r="E5" t="s">
        <v>10</v>
      </c>
      <c r="F5" t="s">
        <v>13</v>
      </c>
      <c r="K5">
        <v>20</v>
      </c>
      <c r="N5">
        <v>1</v>
      </c>
      <c r="O5">
        <v>8</v>
      </c>
      <c r="P5" s="6"/>
      <c r="Q5" s="6"/>
      <c r="R5" s="6"/>
      <c r="S5" s="6"/>
      <c r="T5" s="6"/>
      <c r="U5" s="11"/>
      <c r="V5" s="22"/>
    </row>
    <row r="6" spans="1:22" x14ac:dyDescent="0.3">
      <c r="A6" t="s">
        <v>22</v>
      </c>
      <c r="B6" s="3">
        <v>44735</v>
      </c>
      <c r="C6">
        <f t="shared" si="0"/>
        <v>0</v>
      </c>
      <c r="D6" t="s">
        <v>15</v>
      </c>
      <c r="E6" t="s">
        <v>10</v>
      </c>
      <c r="F6" t="s">
        <v>14</v>
      </c>
      <c r="K6">
        <v>20</v>
      </c>
      <c r="N6">
        <v>1</v>
      </c>
      <c r="O6">
        <v>8</v>
      </c>
      <c r="V6" s="22"/>
    </row>
    <row r="7" spans="1:22" x14ac:dyDescent="0.3">
      <c r="A7" t="s">
        <v>22</v>
      </c>
      <c r="B7" s="3">
        <v>44739</v>
      </c>
      <c r="C7">
        <f t="shared" si="0"/>
        <v>4</v>
      </c>
      <c r="D7" t="s">
        <v>16</v>
      </c>
      <c r="E7" t="s">
        <v>10</v>
      </c>
      <c r="F7" t="s">
        <v>11</v>
      </c>
      <c r="G7">
        <f>AVERAGE(0.064,0.064)</f>
        <v>6.4000000000000001E-2</v>
      </c>
      <c r="H7">
        <f>AVERAGE(0.006,0.006)</f>
        <v>6.0000000000000001E-3</v>
      </c>
      <c r="I7">
        <v>10</v>
      </c>
      <c r="J7">
        <f>(G7-(2*H7))*I7</f>
        <v>0.52</v>
      </c>
      <c r="K7">
        <f>(J7+'Nitrates Standart Curves'!$AC$3)/'Nitrates Standart Curves'!$AB$3</f>
        <v>2.0515826494724503</v>
      </c>
      <c r="L7">
        <f>AVERAGE(0.059,0.059,0.06)</f>
        <v>5.9333333333333328E-2</v>
      </c>
      <c r="M7">
        <v>2</v>
      </c>
      <c r="N7">
        <f>(((L7*M7)+'Phosphate Standart Curve'!$K$3)/'Phosphate Standart Curve'!$J$3)</f>
        <v>0.22618163820836426</v>
      </c>
      <c r="O7">
        <v>9.3699999999999992</v>
      </c>
    </row>
    <row r="8" spans="1:22" x14ac:dyDescent="0.3">
      <c r="A8" t="s">
        <v>22</v>
      </c>
      <c r="B8" s="3">
        <v>44739</v>
      </c>
      <c r="C8">
        <f t="shared" si="0"/>
        <v>4</v>
      </c>
      <c r="D8" t="s">
        <v>16</v>
      </c>
      <c r="E8" t="s">
        <v>10</v>
      </c>
      <c r="F8" t="s">
        <v>12</v>
      </c>
      <c r="G8">
        <f>AVERAGE(0.024,0.025)</f>
        <v>2.4500000000000001E-2</v>
      </c>
      <c r="H8">
        <v>3.0000000000000001E-3</v>
      </c>
      <c r="I8">
        <v>10</v>
      </c>
      <c r="J8">
        <f t="shared" ref="J8:J71" si="1">(G8-(2*H8))*I8</f>
        <v>0.18500000000000003</v>
      </c>
      <c r="K8">
        <f>(J8+'Nitrates Standart Curves'!$AC$3)/'Nitrates Standart Curves'!$AB$3</f>
        <v>0.74247753028526775</v>
      </c>
      <c r="L8">
        <f>AVERAGE(0.036,0.036,0.037)</f>
        <v>3.6333333333333329E-2</v>
      </c>
      <c r="M8">
        <v>2</v>
      </c>
      <c r="N8">
        <f>(((L8*M8)+'Phosphate Standart Curve'!$K$3)/'Phosphate Standart Curve'!$J$3)</f>
        <v>0.14080673100717642</v>
      </c>
      <c r="O8">
        <v>9.36</v>
      </c>
    </row>
    <row r="9" spans="1:22" x14ac:dyDescent="0.3">
      <c r="A9" t="s">
        <v>22</v>
      </c>
      <c r="B9" s="3">
        <v>44739</v>
      </c>
      <c r="C9">
        <f t="shared" si="0"/>
        <v>4</v>
      </c>
      <c r="D9" t="s">
        <v>16</v>
      </c>
      <c r="E9" t="s">
        <v>10</v>
      </c>
      <c r="F9" t="s">
        <v>13</v>
      </c>
      <c r="G9">
        <f>AVERAGE(0.079,0.079)</f>
        <v>7.9000000000000001E-2</v>
      </c>
      <c r="H9">
        <v>4.0000000000000001E-3</v>
      </c>
      <c r="I9">
        <v>10</v>
      </c>
      <c r="J9">
        <f t="shared" si="1"/>
        <v>0.71000000000000008</v>
      </c>
      <c r="K9">
        <f>(J9+'Nitrates Standart Curves'!$AC$3)/'Nitrates Standart Curves'!$AB$3</f>
        <v>2.794060179757718</v>
      </c>
      <c r="L9">
        <f>AVERAGE(0.079,0.075,0.078)</f>
        <v>7.7333333333333323E-2</v>
      </c>
      <c r="M9">
        <v>2</v>
      </c>
      <c r="N9">
        <f>(((L9*M9)+'Phosphate Standart Curve'!$K$3)/'Phosphate Standart Curve'!$J$3)</f>
        <v>0.29299678297451126</v>
      </c>
      <c r="O9">
        <v>9.43</v>
      </c>
    </row>
    <row r="10" spans="1:22" x14ac:dyDescent="0.3">
      <c r="A10" t="s">
        <v>22</v>
      </c>
      <c r="B10" s="3">
        <v>44739</v>
      </c>
      <c r="C10">
        <f t="shared" si="0"/>
        <v>4</v>
      </c>
      <c r="D10" t="s">
        <v>16</v>
      </c>
      <c r="E10" t="s">
        <v>10</v>
      </c>
      <c r="F10" t="s">
        <v>14</v>
      </c>
      <c r="G10">
        <f>AVERAGE(0.027,0.026)</f>
        <v>2.6499999999999999E-2</v>
      </c>
      <c r="H10">
        <v>3.0000000000000001E-3</v>
      </c>
      <c r="I10">
        <v>10</v>
      </c>
      <c r="J10">
        <f t="shared" si="1"/>
        <v>0.20499999999999996</v>
      </c>
      <c r="K10">
        <f>(J10+'Nitrates Standart Curves'!$AC$3)/'Nitrates Standart Curves'!$AB$3</f>
        <v>0.82063305978897982</v>
      </c>
      <c r="L10">
        <f>AVERAGE(0.021,0.02,0.021)</f>
        <v>2.0666666666666667E-2</v>
      </c>
      <c r="M10">
        <v>2</v>
      </c>
      <c r="N10">
        <f>(((L10*M10)+'Phosphate Standart Curve'!$K$3)/'Phosphate Standart Curve'!$J$3)</f>
        <v>8.2652808710715175E-2</v>
      </c>
      <c r="O10">
        <v>9.33</v>
      </c>
    </row>
    <row r="11" spans="1:22" x14ac:dyDescent="0.3">
      <c r="A11" t="s">
        <v>22</v>
      </c>
      <c r="B11" s="3">
        <v>44741</v>
      </c>
      <c r="C11">
        <f t="shared" si="0"/>
        <v>6</v>
      </c>
      <c r="D11" t="s">
        <v>20</v>
      </c>
      <c r="E11" t="s">
        <v>17</v>
      </c>
      <c r="F11" t="s">
        <v>11</v>
      </c>
      <c r="G11">
        <f>AVERAGE(0.123,0.128)</f>
        <v>0.1255</v>
      </c>
      <c r="H11">
        <v>2.1499999999999998E-2</v>
      </c>
      <c r="I11">
        <v>2</v>
      </c>
      <c r="J11">
        <f t="shared" si="1"/>
        <v>0.16500000000000001</v>
      </c>
      <c r="K11">
        <f>(J11+'Nitrates Standart Curves'!$AC$3)/'Nitrates Standart Curves'!$AB$3</f>
        <v>0.66432200078155534</v>
      </c>
      <c r="L11">
        <f>AVERAGE(0.007,0.005)</f>
        <v>6.0000000000000001E-3</v>
      </c>
      <c r="M11">
        <f>10/6</f>
        <v>1.6666666666666667</v>
      </c>
      <c r="N11">
        <f>(((L11*M11)+'Phosphate Standart Curve'!$K$21)/'Phosphate Standart Curve'!$J$21)</f>
        <v>3.4541336353340883E-2</v>
      </c>
      <c r="O11">
        <v>9.41</v>
      </c>
    </row>
    <row r="12" spans="1:22" x14ac:dyDescent="0.3">
      <c r="A12" t="s">
        <v>22</v>
      </c>
      <c r="B12" s="3">
        <v>44741</v>
      </c>
      <c r="C12">
        <f t="shared" si="0"/>
        <v>6</v>
      </c>
      <c r="D12" t="s">
        <v>20</v>
      </c>
      <c r="E12" t="s">
        <v>17</v>
      </c>
      <c r="F12" t="s">
        <v>12</v>
      </c>
      <c r="G12">
        <v>0.11</v>
      </c>
      <c r="H12">
        <v>2.4E-2</v>
      </c>
      <c r="I12">
        <v>2</v>
      </c>
      <c r="J12">
        <f t="shared" si="1"/>
        <v>0.124</v>
      </c>
      <c r="K12">
        <f>(J12+'Nitrates Standart Curves'!$AC$3)/'Nitrates Standart Curves'!$AB$3</f>
        <v>0.50410316529894483</v>
      </c>
      <c r="L12">
        <v>6.0000000000000001E-3</v>
      </c>
      <c r="M12">
        <f t="shared" ref="M12:M26" si="2">10/6</f>
        <v>1.6666666666666667</v>
      </c>
      <c r="N12">
        <f>(((L12*M12)+'Phosphate Standart Curve'!$K$21)/'Phosphate Standart Curve'!$J$21)</f>
        <v>3.4541336353340883E-2</v>
      </c>
      <c r="O12">
        <v>9.36</v>
      </c>
    </row>
    <row r="13" spans="1:22" x14ac:dyDescent="0.3">
      <c r="A13" t="s">
        <v>22</v>
      </c>
      <c r="B13" s="3">
        <v>44741</v>
      </c>
      <c r="C13">
        <f t="shared" si="0"/>
        <v>6</v>
      </c>
      <c r="D13" t="s">
        <v>20</v>
      </c>
      <c r="E13" t="s">
        <v>17</v>
      </c>
      <c r="F13" t="s">
        <v>13</v>
      </c>
      <c r="G13">
        <v>0.1145</v>
      </c>
      <c r="H13">
        <v>2.3E-2</v>
      </c>
      <c r="I13">
        <v>2</v>
      </c>
      <c r="J13">
        <f t="shared" si="1"/>
        <v>0.13700000000000001</v>
      </c>
      <c r="K13">
        <f>(J13+'Nitrates Standart Curves'!$AC$3)/'Nitrates Standart Curves'!$AB$3</f>
        <v>0.55490425947635802</v>
      </c>
      <c r="L13">
        <v>4.4999999999999997E-3</v>
      </c>
      <c r="M13">
        <f t="shared" si="2"/>
        <v>1.6666666666666667</v>
      </c>
      <c r="N13">
        <f>(((L13*M13)+'Phosphate Standart Curve'!$K$21)/'Phosphate Standart Curve'!$J$21)</f>
        <v>2.9822574556436391E-2</v>
      </c>
      <c r="O13">
        <v>9.43</v>
      </c>
    </row>
    <row r="14" spans="1:22" x14ac:dyDescent="0.3">
      <c r="A14" t="s">
        <v>22</v>
      </c>
      <c r="B14" s="3">
        <v>44741</v>
      </c>
      <c r="C14">
        <f t="shared" si="0"/>
        <v>6</v>
      </c>
      <c r="D14" t="s">
        <v>20</v>
      </c>
      <c r="E14" t="s">
        <v>17</v>
      </c>
      <c r="F14" t="s">
        <v>14</v>
      </c>
      <c r="G14">
        <v>0.3105</v>
      </c>
      <c r="H14">
        <v>5.2999999999999999E-2</v>
      </c>
      <c r="I14">
        <v>2</v>
      </c>
      <c r="J14">
        <f t="shared" si="1"/>
        <v>0.40900000000000003</v>
      </c>
      <c r="K14">
        <f>(J14+'Nitrates Standart Curves'!$AC$3)/'Nitrates Standart Curves'!$AB$3</f>
        <v>1.6178194607268463</v>
      </c>
      <c r="L14">
        <v>5.0000000000000001E-3</v>
      </c>
      <c r="M14">
        <f t="shared" si="2"/>
        <v>1.6666666666666667</v>
      </c>
      <c r="N14">
        <f>(((L14*M14)+'Phosphate Standart Curve'!$K$21)/'Phosphate Standart Curve'!$J$21)</f>
        <v>3.1395495155404553E-2</v>
      </c>
      <c r="O14">
        <v>9.5500000000000007</v>
      </c>
    </row>
    <row r="15" spans="1:22" x14ac:dyDescent="0.3">
      <c r="A15" t="s">
        <v>22</v>
      </c>
      <c r="B15" s="3">
        <v>44741</v>
      </c>
      <c r="C15">
        <f t="shared" si="0"/>
        <v>6</v>
      </c>
      <c r="D15" t="s">
        <v>20</v>
      </c>
      <c r="E15" t="s">
        <v>91</v>
      </c>
      <c r="F15" t="s">
        <v>11</v>
      </c>
      <c r="G15">
        <v>0.105</v>
      </c>
      <c r="H15">
        <v>1.7000000000000001E-2</v>
      </c>
      <c r="I15">
        <v>2</v>
      </c>
      <c r="J15">
        <f t="shared" si="1"/>
        <v>0.14199999999999999</v>
      </c>
      <c r="K15">
        <f>(J15+'Nitrates Standart Curves'!$AC$3)/'Nitrates Standart Curves'!$AB$3</f>
        <v>0.57444314185228595</v>
      </c>
      <c r="L15">
        <v>5.0000000000000001E-3</v>
      </c>
      <c r="M15">
        <f t="shared" si="2"/>
        <v>1.6666666666666667</v>
      </c>
      <c r="N15">
        <f>(((L15*M15)+'Phosphate Standart Curve'!$K$21)/'Phosphate Standart Curve'!$J$21)</f>
        <v>3.1395495155404553E-2</v>
      </c>
      <c r="O15">
        <v>9.06</v>
      </c>
    </row>
    <row r="16" spans="1:22" x14ac:dyDescent="0.3">
      <c r="A16" t="s">
        <v>22</v>
      </c>
      <c r="B16" s="3">
        <v>44741</v>
      </c>
      <c r="C16">
        <f t="shared" si="0"/>
        <v>6</v>
      </c>
      <c r="D16" t="s">
        <v>20</v>
      </c>
      <c r="E16" t="s">
        <v>91</v>
      </c>
      <c r="F16" t="s">
        <v>12</v>
      </c>
      <c r="G16">
        <v>0.1115</v>
      </c>
      <c r="H16">
        <v>1.7999999999999999E-2</v>
      </c>
      <c r="I16">
        <v>2</v>
      </c>
      <c r="J16">
        <f t="shared" si="1"/>
        <v>0.15100000000000002</v>
      </c>
      <c r="K16">
        <f>(J16+'Nitrates Standart Curves'!$AC$3)/'Nitrates Standart Curves'!$AB$3</f>
        <v>0.60961313012895668</v>
      </c>
      <c r="L16">
        <v>5.0000000000000001E-3</v>
      </c>
      <c r="M16">
        <f t="shared" si="2"/>
        <v>1.6666666666666667</v>
      </c>
      <c r="N16">
        <f>(((L16*M16)+'Phosphate Standart Curve'!$K$21)/'Phosphate Standart Curve'!$J$21)</f>
        <v>3.1395495155404553E-2</v>
      </c>
      <c r="O16">
        <v>9.2799999999999994</v>
      </c>
    </row>
    <row r="17" spans="1:15" x14ac:dyDescent="0.3">
      <c r="A17" t="s">
        <v>22</v>
      </c>
      <c r="B17" s="3">
        <v>44741</v>
      </c>
      <c r="C17">
        <f t="shared" si="0"/>
        <v>6</v>
      </c>
      <c r="D17" t="s">
        <v>20</v>
      </c>
      <c r="E17" t="s">
        <v>91</v>
      </c>
      <c r="F17" t="s">
        <v>13</v>
      </c>
      <c r="G17">
        <f>AVERAGE(0.166,0.169)</f>
        <v>0.16750000000000001</v>
      </c>
      <c r="H17">
        <v>3.1E-2</v>
      </c>
      <c r="I17">
        <v>2</v>
      </c>
      <c r="J17">
        <f t="shared" si="1"/>
        <v>0.21100000000000002</v>
      </c>
      <c r="K17">
        <f>(J17+'Nitrates Standart Curves'!$AC$3)/'Nitrates Standart Curves'!$AB$3</f>
        <v>0.84407971864009379</v>
      </c>
      <c r="L17">
        <v>5.0000000000000001E-3</v>
      </c>
      <c r="M17">
        <f t="shared" si="2"/>
        <v>1.6666666666666667</v>
      </c>
      <c r="N17">
        <f>(((L17*M17)+'Phosphate Standart Curve'!$K$21)/'Phosphate Standart Curve'!$J$21)</f>
        <v>3.1395495155404553E-2</v>
      </c>
      <c r="O17">
        <v>9.33</v>
      </c>
    </row>
    <row r="18" spans="1:15" x14ac:dyDescent="0.3">
      <c r="A18" t="s">
        <v>22</v>
      </c>
      <c r="B18" s="3">
        <v>44741</v>
      </c>
      <c r="C18">
        <f t="shared" si="0"/>
        <v>6</v>
      </c>
      <c r="D18" t="s">
        <v>20</v>
      </c>
      <c r="E18" t="s">
        <v>91</v>
      </c>
      <c r="F18" t="s">
        <v>14</v>
      </c>
      <c r="G18">
        <v>0.11650000000000001</v>
      </c>
      <c r="H18">
        <v>2.5999999999999999E-2</v>
      </c>
      <c r="I18">
        <v>2</v>
      </c>
      <c r="J18">
        <f t="shared" si="1"/>
        <v>0.129</v>
      </c>
      <c r="K18">
        <f>(J18+'Nitrates Standart Curves'!$AC$3)/'Nitrates Standart Curves'!$AB$3</f>
        <v>0.52364204767487299</v>
      </c>
      <c r="L18">
        <v>6.0000000000000001E-3</v>
      </c>
      <c r="M18">
        <f t="shared" si="2"/>
        <v>1.6666666666666667</v>
      </c>
      <c r="N18">
        <f>(((L18*M18)+'Phosphate Standart Curve'!$K$21)/'Phosphate Standart Curve'!$J$21)</f>
        <v>3.4541336353340883E-2</v>
      </c>
      <c r="O18">
        <v>9.31</v>
      </c>
    </row>
    <row r="19" spans="1:15" x14ac:dyDescent="0.3">
      <c r="A19" t="s">
        <v>22</v>
      </c>
      <c r="B19" s="3">
        <v>44741</v>
      </c>
      <c r="C19">
        <f t="shared" si="0"/>
        <v>6</v>
      </c>
      <c r="D19" t="s">
        <v>20</v>
      </c>
      <c r="E19" t="s">
        <v>18</v>
      </c>
      <c r="F19" t="s">
        <v>11</v>
      </c>
      <c r="G19">
        <v>0.107</v>
      </c>
      <c r="H19">
        <v>2.1000000000000001E-2</v>
      </c>
      <c r="I19">
        <v>2</v>
      </c>
      <c r="J19">
        <f t="shared" si="1"/>
        <v>0.13</v>
      </c>
      <c r="K19">
        <f>(J19+'Nitrates Standart Curves'!$AC$3)/'Nitrates Standart Curves'!$AB$3</f>
        <v>0.52754982415005858</v>
      </c>
      <c r="L19">
        <v>7.4999999999999997E-3</v>
      </c>
      <c r="M19">
        <f t="shared" si="2"/>
        <v>1.6666666666666667</v>
      </c>
      <c r="N19">
        <f>(((L19*M19)+'Phosphate Standart Curve'!$K$21)/'Phosphate Standart Curve'!$J$21)</f>
        <v>3.9260098150245372E-2</v>
      </c>
      <c r="O19">
        <v>9.32</v>
      </c>
    </row>
    <row r="20" spans="1:15" x14ac:dyDescent="0.3">
      <c r="A20" t="s">
        <v>22</v>
      </c>
      <c r="B20" s="3">
        <v>44741</v>
      </c>
      <c r="C20">
        <f t="shared" si="0"/>
        <v>6</v>
      </c>
      <c r="D20" t="s">
        <v>20</v>
      </c>
      <c r="E20" t="s">
        <v>18</v>
      </c>
      <c r="F20" t="s">
        <v>12</v>
      </c>
      <c r="G20">
        <f>AVERAGE(0.218,0.221)</f>
        <v>0.2195</v>
      </c>
      <c r="H20">
        <f>AVERAGE(0.034,0.037)</f>
        <v>3.5500000000000004E-2</v>
      </c>
      <c r="I20">
        <v>2</v>
      </c>
      <c r="J20">
        <f t="shared" si="1"/>
        <v>0.29699999999999999</v>
      </c>
      <c r="K20">
        <f>(J20+'Nitrates Standart Curves'!$AC$3)/'Nitrates Standart Curves'!$AB$3</f>
        <v>1.180148495506057</v>
      </c>
      <c r="L20">
        <v>5.4999999999999997E-3</v>
      </c>
      <c r="M20">
        <f t="shared" si="2"/>
        <v>1.6666666666666667</v>
      </c>
      <c r="N20">
        <f>(((L20*M20)+'Phosphate Standart Curve'!$K$21)/'Phosphate Standart Curve'!$J$21)</f>
        <v>3.2968415754372711E-2</v>
      </c>
      <c r="O20">
        <v>9.31</v>
      </c>
    </row>
    <row r="21" spans="1:15" x14ac:dyDescent="0.3">
      <c r="A21" t="s">
        <v>22</v>
      </c>
      <c r="B21" s="3">
        <v>44741</v>
      </c>
      <c r="C21">
        <f t="shared" si="0"/>
        <v>6</v>
      </c>
      <c r="D21" t="s">
        <v>20</v>
      </c>
      <c r="E21" t="s">
        <v>18</v>
      </c>
      <c r="F21" t="s">
        <v>13</v>
      </c>
      <c r="G21">
        <v>9.9000000000000005E-2</v>
      </c>
      <c r="H21">
        <f>AVERAGE(0.019,0.022)</f>
        <v>2.0499999999999997E-2</v>
      </c>
      <c r="I21">
        <v>2</v>
      </c>
      <c r="J21">
        <f t="shared" si="1"/>
        <v>0.11600000000000002</v>
      </c>
      <c r="K21">
        <f>(J21+'Nitrates Standart Curves'!$AC$3)/'Nitrates Standart Curves'!$AB$3</f>
        <v>0.47284095349746003</v>
      </c>
      <c r="L21">
        <v>5.0000000000000001E-3</v>
      </c>
      <c r="M21">
        <f t="shared" si="2"/>
        <v>1.6666666666666667</v>
      </c>
      <c r="N21">
        <f>(((L21*M21)+'Phosphate Standart Curve'!$K$21)/'Phosphate Standart Curve'!$J$21)</f>
        <v>3.1395495155404553E-2</v>
      </c>
      <c r="O21">
        <v>9.27</v>
      </c>
    </row>
    <row r="22" spans="1:15" x14ac:dyDescent="0.3">
      <c r="A22" t="s">
        <v>22</v>
      </c>
      <c r="B22" s="3">
        <v>44741</v>
      </c>
      <c r="C22">
        <f t="shared" si="0"/>
        <v>6</v>
      </c>
      <c r="D22" t="s">
        <v>20</v>
      </c>
      <c r="E22" t="s">
        <v>18</v>
      </c>
      <c r="F22" t="s">
        <v>14</v>
      </c>
      <c r="G22">
        <f>AVERAGE(0.135,0.138)</f>
        <v>0.13650000000000001</v>
      </c>
      <c r="H22">
        <v>2.9000000000000001E-2</v>
      </c>
      <c r="I22">
        <v>2</v>
      </c>
      <c r="J22">
        <f t="shared" si="1"/>
        <v>0.15700000000000003</v>
      </c>
      <c r="K22">
        <f>(J22+'Nitrates Standart Curves'!$AC$3)/'Nitrates Standart Curves'!$AB$3</f>
        <v>0.63305978898007043</v>
      </c>
      <c r="L22">
        <f>AVERAGE(0.008,0.005)</f>
        <v>6.5000000000000006E-3</v>
      </c>
      <c r="M22">
        <f t="shared" si="2"/>
        <v>1.6666666666666667</v>
      </c>
      <c r="N22">
        <f>(((L22*M22)+'Phosphate Standart Curve'!$K$21)/'Phosphate Standart Curve'!$J$21)</f>
        <v>3.6114256952309048E-2</v>
      </c>
      <c r="O22">
        <v>9.08</v>
      </c>
    </row>
    <row r="23" spans="1:15" x14ac:dyDescent="0.3">
      <c r="A23" t="s">
        <v>22</v>
      </c>
      <c r="B23" s="3">
        <v>44741</v>
      </c>
      <c r="C23">
        <f t="shared" si="0"/>
        <v>6</v>
      </c>
      <c r="D23" t="s">
        <v>20</v>
      </c>
      <c r="E23" t="s">
        <v>19</v>
      </c>
      <c r="F23" t="s">
        <v>11</v>
      </c>
      <c r="G23">
        <f>AVERAGE(0.649,0.658)</f>
        <v>0.65349999999999997</v>
      </c>
      <c r="H23">
        <v>1.7999999999999999E-2</v>
      </c>
      <c r="I23">
        <v>2</v>
      </c>
      <c r="J23">
        <f t="shared" si="1"/>
        <v>1.2349999999999999</v>
      </c>
      <c r="K23">
        <f>(J23+'Nitrates Standart Curves'!$AC$3)/'Nitrates Standart Curves'!$AB$3</f>
        <v>4.845642829230167</v>
      </c>
      <c r="L23">
        <v>3.9E-2</v>
      </c>
      <c r="M23">
        <f t="shared" si="2"/>
        <v>1.6666666666666667</v>
      </c>
      <c r="N23">
        <f>(((L23*M23)+'Phosphate Standart Curve'!$K$21)/'Phosphate Standart Curve'!$J$21)</f>
        <v>0.1383540958852397</v>
      </c>
      <c r="O23">
        <v>8.16</v>
      </c>
    </row>
    <row r="24" spans="1:15" x14ac:dyDescent="0.3">
      <c r="A24" t="s">
        <v>22</v>
      </c>
      <c r="B24" s="3">
        <v>44741</v>
      </c>
      <c r="C24">
        <f t="shared" si="0"/>
        <v>6</v>
      </c>
      <c r="D24" t="s">
        <v>20</v>
      </c>
      <c r="E24" t="s">
        <v>19</v>
      </c>
      <c r="F24" t="s">
        <v>12</v>
      </c>
      <c r="G24">
        <f>AVERAGE(0.595,0.598)</f>
        <v>0.59650000000000003</v>
      </c>
      <c r="H24">
        <v>2.0500000000000001E-2</v>
      </c>
      <c r="I24">
        <v>2</v>
      </c>
      <c r="J24">
        <f t="shared" si="1"/>
        <v>1.111</v>
      </c>
      <c r="K24">
        <f>(J24+'Nitrates Standart Curves'!$AC$3)/'Nitrates Standart Curves'!$AB$3</f>
        <v>4.3610785463071506</v>
      </c>
      <c r="L24">
        <v>6.0000000000000001E-3</v>
      </c>
      <c r="M24">
        <f t="shared" si="2"/>
        <v>1.6666666666666667</v>
      </c>
      <c r="N24">
        <f>(((L24*M24)+'Phosphate Standart Curve'!$K$21)/'Phosphate Standart Curve'!$J$21)</f>
        <v>3.4541336353340883E-2</v>
      </c>
      <c r="O24">
        <v>8.1</v>
      </c>
    </row>
    <row r="25" spans="1:15" x14ac:dyDescent="0.3">
      <c r="A25" t="s">
        <v>22</v>
      </c>
      <c r="B25" s="3">
        <v>44741</v>
      </c>
      <c r="C25">
        <f t="shared" si="0"/>
        <v>6</v>
      </c>
      <c r="D25" t="s">
        <v>20</v>
      </c>
      <c r="E25" t="s">
        <v>19</v>
      </c>
      <c r="F25" t="s">
        <v>13</v>
      </c>
      <c r="G25">
        <f>AVERAGE(0.204,0.2307)</f>
        <v>0.21734999999999999</v>
      </c>
      <c r="H25">
        <v>2.5999999999999999E-2</v>
      </c>
      <c r="I25">
        <v>2</v>
      </c>
      <c r="J25">
        <f t="shared" si="1"/>
        <v>0.33069999999999999</v>
      </c>
      <c r="K25">
        <f>(J25+'Nitrates Standart Curves'!$AC$3)/'Nitrates Standart Curves'!$AB$3</f>
        <v>1.3118405627198124</v>
      </c>
      <c r="L25">
        <v>6.0000000000000001E-3</v>
      </c>
      <c r="M25">
        <f t="shared" si="2"/>
        <v>1.6666666666666667</v>
      </c>
      <c r="N25">
        <f>(((L25*M25)+'Phosphate Standart Curve'!$K$21)/'Phosphate Standart Curve'!$J$21)</f>
        <v>3.4541336353340883E-2</v>
      </c>
      <c r="O25">
        <v>8.0399999999999991</v>
      </c>
    </row>
    <row r="26" spans="1:15" x14ac:dyDescent="0.3">
      <c r="A26" t="s">
        <v>22</v>
      </c>
      <c r="B26" s="3">
        <v>44741</v>
      </c>
      <c r="C26">
        <f t="shared" si="0"/>
        <v>6</v>
      </c>
      <c r="D26" t="s">
        <v>20</v>
      </c>
      <c r="E26" t="s">
        <v>19</v>
      </c>
      <c r="F26" t="s">
        <v>14</v>
      </c>
      <c r="G26">
        <f>AVERAGE(1.046,1.052)</f>
        <v>1.0489999999999999</v>
      </c>
      <c r="H26">
        <v>2.4500000000000001E-2</v>
      </c>
      <c r="I26">
        <v>2</v>
      </c>
      <c r="J26">
        <f t="shared" si="1"/>
        <v>1.9999999999999998</v>
      </c>
      <c r="K26">
        <f>(J26+'Nitrates Standart Curves'!$AC$3)/'Nitrates Standart Curves'!$AB$3</f>
        <v>7.8350918327471657</v>
      </c>
      <c r="L26">
        <v>8.4000000000000005E-2</v>
      </c>
      <c r="M26">
        <f t="shared" si="2"/>
        <v>1.6666666666666667</v>
      </c>
      <c r="N26">
        <f>(((L26*M26)+'Phosphate Standart Curve'!$K$21)/'Phosphate Standart Curve'!$J$21)</f>
        <v>0.27991694979237447</v>
      </c>
      <c r="O26">
        <v>8.11</v>
      </c>
    </row>
    <row r="27" spans="1:15" x14ac:dyDescent="0.3">
      <c r="A27" t="s">
        <v>22</v>
      </c>
      <c r="B27" s="3">
        <v>44743</v>
      </c>
      <c r="C27">
        <f t="shared" si="0"/>
        <v>8</v>
      </c>
      <c r="D27" t="s">
        <v>23</v>
      </c>
      <c r="E27" t="s">
        <v>17</v>
      </c>
      <c r="F27" t="s">
        <v>11</v>
      </c>
      <c r="G27">
        <v>1.15E-2</v>
      </c>
      <c r="H27">
        <v>4.0000000000000001E-3</v>
      </c>
      <c r="I27">
        <v>50</v>
      </c>
      <c r="J27">
        <f t="shared" si="1"/>
        <v>0.17499999999999999</v>
      </c>
      <c r="K27">
        <f>(J27+'Nitrates Standart Curves'!$AC$3)/'Nitrates Standart Curves'!$AB$3</f>
        <v>0.70339976553341144</v>
      </c>
      <c r="L27">
        <v>1.0500000000000001E-2</v>
      </c>
      <c r="M27">
        <v>2</v>
      </c>
      <c r="N27">
        <f>((((L27-'Phosphate Standart Curve'!$I$39)*M27)+'Phosphate Standart Curve'!$K$39)/'Phosphate Standart Curve'!$J$39)</f>
        <v>4.2355371900826451E-2</v>
      </c>
      <c r="O27">
        <v>9.2899999999999991</v>
      </c>
    </row>
    <row r="28" spans="1:15" x14ac:dyDescent="0.3">
      <c r="A28" t="s">
        <v>22</v>
      </c>
      <c r="B28" s="3">
        <v>44743</v>
      </c>
      <c r="C28">
        <f t="shared" si="0"/>
        <v>8</v>
      </c>
      <c r="D28" t="s">
        <v>23</v>
      </c>
      <c r="E28" t="s">
        <v>17</v>
      </c>
      <c r="F28" t="s">
        <v>12</v>
      </c>
      <c r="G28">
        <v>8.5000000000000006E-3</v>
      </c>
      <c r="H28">
        <v>4.0000000000000001E-3</v>
      </c>
      <c r="I28">
        <v>50</v>
      </c>
      <c r="J28">
        <f t="shared" si="1"/>
        <v>2.5000000000000022E-2</v>
      </c>
      <c r="K28">
        <f>(J28+'Nitrates Standart Curves'!$AC$3)/'Nitrates Standart Curves'!$AB$3</f>
        <v>0.11723329425556867</v>
      </c>
      <c r="L28">
        <v>7.4999999999999997E-3</v>
      </c>
      <c r="M28">
        <v>2</v>
      </c>
      <c r="N28">
        <f>((((L28-'Phosphate Standart Curve'!$I$39)*M28)+'Phosphate Standart Curve'!$K$39)/'Phosphate Standart Curve'!$J$39)</f>
        <v>2.9958677685950411E-2</v>
      </c>
      <c r="O28">
        <v>9.35</v>
      </c>
    </row>
    <row r="29" spans="1:15" x14ac:dyDescent="0.3">
      <c r="A29" t="s">
        <v>22</v>
      </c>
      <c r="B29" s="3">
        <v>44743</v>
      </c>
      <c r="C29">
        <f t="shared" si="0"/>
        <v>8</v>
      </c>
      <c r="D29" t="s">
        <v>23</v>
      </c>
      <c r="E29" t="s">
        <v>17</v>
      </c>
      <c r="F29" t="s">
        <v>13</v>
      </c>
      <c r="G29">
        <v>2.2499999999999999E-2</v>
      </c>
      <c r="H29">
        <f>AVERAGE(0.003,0.007)</f>
        <v>5.0000000000000001E-3</v>
      </c>
      <c r="I29">
        <v>50</v>
      </c>
      <c r="J29">
        <f t="shared" si="1"/>
        <v>0.625</v>
      </c>
      <c r="K29">
        <f>(J29+'Nitrates Standart Curves'!$AC$3)/'Nitrates Standart Curves'!$AB$3</f>
        <v>2.4618991793669402</v>
      </c>
      <c r="L29">
        <v>1.2E-2</v>
      </c>
      <c r="M29">
        <v>2</v>
      </c>
      <c r="N29">
        <f>((((L29-'Phosphate Standart Curve'!$I$39)*M29)+'Phosphate Standart Curve'!$K$39)/'Phosphate Standart Curve'!$J$39)</f>
        <v>4.8553719008264468E-2</v>
      </c>
      <c r="O29">
        <v>9.3000000000000007</v>
      </c>
    </row>
    <row r="30" spans="1:15" x14ac:dyDescent="0.3">
      <c r="A30" t="s">
        <v>22</v>
      </c>
      <c r="B30" s="3">
        <v>44743</v>
      </c>
      <c r="C30">
        <f t="shared" si="0"/>
        <v>8</v>
      </c>
      <c r="D30" t="s">
        <v>23</v>
      </c>
      <c r="E30" t="s">
        <v>17</v>
      </c>
      <c r="F30" t="s">
        <v>14</v>
      </c>
      <c r="G30">
        <v>6.0000000000000001E-3</v>
      </c>
      <c r="H30">
        <v>2E-3</v>
      </c>
      <c r="I30">
        <v>50</v>
      </c>
      <c r="J30">
        <f t="shared" si="1"/>
        <v>0.1</v>
      </c>
      <c r="K30">
        <f>(J30+'Nitrates Standart Curves'!$AC$3)/'Nitrates Standart Curves'!$AB$3</f>
        <v>0.41031652989449002</v>
      </c>
      <c r="L30">
        <v>1.35E-2</v>
      </c>
      <c r="M30">
        <v>2</v>
      </c>
      <c r="N30">
        <f>((((L30-'Phosphate Standart Curve'!$I$39)*M30)+'Phosphate Standart Curve'!$K$39)/'Phosphate Standart Curve'!$J$39)</f>
        <v>5.4752066115702477E-2</v>
      </c>
      <c r="O30">
        <v>9.5</v>
      </c>
    </row>
    <row r="31" spans="1:15" x14ac:dyDescent="0.3">
      <c r="A31" t="s">
        <v>22</v>
      </c>
      <c r="B31" s="3">
        <v>44743</v>
      </c>
      <c r="C31">
        <f t="shared" si="0"/>
        <v>8</v>
      </c>
      <c r="D31" t="s">
        <v>23</v>
      </c>
      <c r="E31" t="s">
        <v>91</v>
      </c>
      <c r="F31" t="s">
        <v>11</v>
      </c>
      <c r="G31">
        <v>3.7499999999999999E-2</v>
      </c>
      <c r="H31">
        <v>2E-3</v>
      </c>
      <c r="I31">
        <v>50</v>
      </c>
      <c r="J31">
        <f t="shared" si="1"/>
        <v>1.675</v>
      </c>
      <c r="K31">
        <f>(J31+'Nitrates Standart Curves'!$AC$3)/'Nitrates Standart Curves'!$AB$3</f>
        <v>6.5650644783118395</v>
      </c>
      <c r="L31">
        <v>2.8500000000000001E-2</v>
      </c>
      <c r="M31">
        <v>2</v>
      </c>
      <c r="N31">
        <f>((((L31-'Phosphate Standart Curve'!$I$39)*M31)+'Phosphate Standart Curve'!$K$39)/'Phosphate Standart Curve'!$J$39)</f>
        <v>0.11673553719008267</v>
      </c>
      <c r="O31">
        <v>9.3000000000000007</v>
      </c>
    </row>
    <row r="32" spans="1:15" x14ac:dyDescent="0.3">
      <c r="A32" t="s">
        <v>22</v>
      </c>
      <c r="B32" s="3">
        <v>44743</v>
      </c>
      <c r="C32">
        <f t="shared" si="0"/>
        <v>8</v>
      </c>
      <c r="D32" t="s">
        <v>23</v>
      </c>
      <c r="E32" t="s">
        <v>91</v>
      </c>
      <c r="F32" t="s">
        <v>12</v>
      </c>
      <c r="G32">
        <v>1.4500000000000001E-2</v>
      </c>
      <c r="H32">
        <v>4.0000000000000001E-3</v>
      </c>
      <c r="I32">
        <v>50</v>
      </c>
      <c r="J32">
        <f t="shared" si="1"/>
        <v>0.32500000000000001</v>
      </c>
      <c r="K32">
        <f>(J32+'Nitrates Standart Curves'!$AC$3)/'Nitrates Standart Curves'!$AB$3</f>
        <v>1.2895662368112544</v>
      </c>
      <c r="L32">
        <v>1.0999999999999999E-2</v>
      </c>
      <c r="M32">
        <v>2</v>
      </c>
      <c r="N32">
        <f>((((L32-'Phosphate Standart Curve'!$I$39)*M32)+'Phosphate Standart Curve'!$K$39)/'Phosphate Standart Curve'!$J$39)</f>
        <v>4.4421487603305783E-2</v>
      </c>
      <c r="O32">
        <v>9.14</v>
      </c>
    </row>
    <row r="33" spans="1:15" x14ac:dyDescent="0.3">
      <c r="A33" t="s">
        <v>22</v>
      </c>
      <c r="B33" s="3">
        <v>44743</v>
      </c>
      <c r="C33">
        <f t="shared" si="0"/>
        <v>8</v>
      </c>
      <c r="D33" t="s">
        <v>23</v>
      </c>
      <c r="E33" t="s">
        <v>91</v>
      </c>
      <c r="F33" t="s">
        <v>13</v>
      </c>
      <c r="G33">
        <v>8.9999999999999993E-3</v>
      </c>
      <c r="H33">
        <v>3.0000000000000001E-3</v>
      </c>
      <c r="I33">
        <v>50</v>
      </c>
      <c r="J33">
        <f t="shared" si="1"/>
        <v>0.14999999999999997</v>
      </c>
      <c r="K33">
        <f>(J33+'Nitrates Standart Curves'!$AC$3)/'Nitrates Standart Curves'!$AB$3</f>
        <v>0.60570535365377087</v>
      </c>
      <c r="L33">
        <v>1.4E-2</v>
      </c>
      <c r="M33">
        <v>2</v>
      </c>
      <c r="N33">
        <f>((((L33-'Phosphate Standart Curve'!$I$39)*M33)+'Phosphate Standart Curve'!$K$39)/'Phosphate Standart Curve'!$J$39)</f>
        <v>5.6818181818181823E-2</v>
      </c>
      <c r="O33">
        <v>9.07</v>
      </c>
    </row>
    <row r="34" spans="1:15" x14ac:dyDescent="0.3">
      <c r="A34" t="s">
        <v>22</v>
      </c>
      <c r="B34" s="3">
        <v>44743</v>
      </c>
      <c r="C34">
        <f t="shared" si="0"/>
        <v>8</v>
      </c>
      <c r="D34" t="s">
        <v>23</v>
      </c>
      <c r="E34" t="s">
        <v>91</v>
      </c>
      <c r="F34" t="s">
        <v>14</v>
      </c>
      <c r="G34">
        <f>AVERAGE(0.03,0.026)</f>
        <v>2.7999999999999997E-2</v>
      </c>
      <c r="H34">
        <v>3.0000000000000001E-3</v>
      </c>
      <c r="I34">
        <v>50</v>
      </c>
      <c r="J34">
        <f t="shared" si="1"/>
        <v>1.0999999999999999</v>
      </c>
      <c r="K34">
        <f>(J34+'Nitrates Standart Curves'!$AC$3)/'Nitrates Standart Curves'!$AB$3</f>
        <v>4.3180930050801081</v>
      </c>
      <c r="L34">
        <v>3.4500000000000003E-2</v>
      </c>
      <c r="M34">
        <v>2</v>
      </c>
      <c r="N34">
        <f>((((L34-'Phosphate Standart Curve'!$I$39)*M34)+'Phosphate Standart Curve'!$K$39)/'Phosphate Standart Curve'!$J$39)</f>
        <v>0.14152892561983474</v>
      </c>
      <c r="O34">
        <v>9.2200000000000006</v>
      </c>
    </row>
    <row r="35" spans="1:15" x14ac:dyDescent="0.3">
      <c r="A35" t="s">
        <v>22</v>
      </c>
      <c r="B35" s="3">
        <v>44743</v>
      </c>
      <c r="C35">
        <f t="shared" si="0"/>
        <v>8</v>
      </c>
      <c r="D35" t="s">
        <v>23</v>
      </c>
      <c r="E35" t="s">
        <v>18</v>
      </c>
      <c r="F35" t="s">
        <v>11</v>
      </c>
      <c r="G35">
        <v>5.0500000000000003E-2</v>
      </c>
      <c r="H35">
        <v>3.5000000000000001E-3</v>
      </c>
      <c r="I35">
        <v>50</v>
      </c>
      <c r="J35">
        <f t="shared" si="1"/>
        <v>2.1750000000000003</v>
      </c>
      <c r="K35">
        <f>(J35+'Nitrates Standart Curves'!$AC$3)/'Nitrates Standart Curves'!$AB$3</f>
        <v>8.5189527159046499</v>
      </c>
      <c r="L35">
        <v>2.7E-2</v>
      </c>
      <c r="M35">
        <v>2</v>
      </c>
      <c r="N35">
        <f>((((L35-'Phosphate Standart Curve'!$I$39)*M35)+'Phosphate Standart Curve'!$K$39)/'Phosphate Standart Curve'!$J$39)</f>
        <v>0.11053719008264465</v>
      </c>
      <c r="O35">
        <v>8.8000000000000007</v>
      </c>
    </row>
    <row r="36" spans="1:15" x14ac:dyDescent="0.3">
      <c r="A36" t="s">
        <v>22</v>
      </c>
      <c r="B36" s="3">
        <v>44743</v>
      </c>
      <c r="C36">
        <f t="shared" si="0"/>
        <v>8</v>
      </c>
      <c r="D36" t="s">
        <v>23</v>
      </c>
      <c r="E36" t="s">
        <v>18</v>
      </c>
      <c r="F36" t="s">
        <v>12</v>
      </c>
      <c r="G36">
        <v>1.7000000000000001E-2</v>
      </c>
      <c r="H36">
        <v>2.5000000000000001E-3</v>
      </c>
      <c r="I36">
        <v>50</v>
      </c>
      <c r="J36">
        <f t="shared" si="1"/>
        <v>0.6</v>
      </c>
      <c r="K36">
        <f>(J36+'Nitrates Standart Curves'!$AC$3)/'Nitrates Standart Curves'!$AB$3</f>
        <v>2.3642047674872995</v>
      </c>
      <c r="L36">
        <v>2.3E-2</v>
      </c>
      <c r="M36">
        <v>2</v>
      </c>
      <c r="N36">
        <f>((((L36-'Phosphate Standart Curve'!$I$39)*M36)+'Phosphate Standart Curve'!$K$39)/'Phosphate Standart Curve'!$J$39)</f>
        <v>9.4008264462809923E-2</v>
      </c>
      <c r="O36">
        <v>8.92</v>
      </c>
    </row>
    <row r="37" spans="1:15" x14ac:dyDescent="0.3">
      <c r="A37" t="s">
        <v>22</v>
      </c>
      <c r="B37" s="3">
        <v>44743</v>
      </c>
      <c r="C37">
        <f t="shared" si="0"/>
        <v>8</v>
      </c>
      <c r="D37" t="s">
        <v>23</v>
      </c>
      <c r="E37" t="s">
        <v>18</v>
      </c>
      <c r="F37" t="s">
        <v>13</v>
      </c>
      <c r="G37">
        <v>2.9000000000000001E-2</v>
      </c>
      <c r="H37">
        <v>2.5000000000000001E-3</v>
      </c>
      <c r="I37">
        <v>50</v>
      </c>
      <c r="J37">
        <f t="shared" si="1"/>
        <v>1.2</v>
      </c>
      <c r="K37">
        <f>(J37+'Nitrates Standart Curves'!$AC$3)/'Nitrates Standart Curves'!$AB$3</f>
        <v>4.7088706525986703</v>
      </c>
      <c r="L37">
        <v>3.1E-2</v>
      </c>
      <c r="M37">
        <v>2</v>
      </c>
      <c r="N37">
        <f>((((L37-'Phosphate Standart Curve'!$I$39)*M37)+'Phosphate Standart Curve'!$K$39)/'Phosphate Standart Curve'!$J$39)</f>
        <v>0.12706611570247933</v>
      </c>
      <c r="O37">
        <v>9.02</v>
      </c>
    </row>
    <row r="38" spans="1:15" x14ac:dyDescent="0.3">
      <c r="A38" t="s">
        <v>22</v>
      </c>
      <c r="B38" s="3">
        <v>44743</v>
      </c>
      <c r="C38">
        <f t="shared" si="0"/>
        <v>8</v>
      </c>
      <c r="D38" t="s">
        <v>23</v>
      </c>
      <c r="E38" t="s">
        <v>18</v>
      </c>
      <c r="F38" t="s">
        <v>14</v>
      </c>
      <c r="G38">
        <v>2.35E-2</v>
      </c>
      <c r="H38">
        <v>4.0000000000000001E-3</v>
      </c>
      <c r="I38">
        <v>50</v>
      </c>
      <c r="J38">
        <f t="shared" si="1"/>
        <v>0.77500000000000002</v>
      </c>
      <c r="K38">
        <f>(J38+'Nitrates Standart Curves'!$AC$3)/'Nitrates Standart Curves'!$AB$3</f>
        <v>3.0480656506447832</v>
      </c>
      <c r="L38">
        <v>3.7999999999999999E-2</v>
      </c>
      <c r="M38">
        <v>2</v>
      </c>
      <c r="N38">
        <f>((((L38-'Phosphate Standart Curve'!$I$39)*M38)+'Phosphate Standart Curve'!$K$39)/'Phosphate Standart Curve'!$J$39)</f>
        <v>0.15599173553719009</v>
      </c>
      <c r="O38">
        <v>9.24</v>
      </c>
    </row>
    <row r="39" spans="1:15" x14ac:dyDescent="0.3">
      <c r="A39" t="s">
        <v>22</v>
      </c>
      <c r="B39" s="3">
        <v>44743</v>
      </c>
      <c r="C39">
        <f t="shared" si="0"/>
        <v>8</v>
      </c>
      <c r="D39" t="s">
        <v>23</v>
      </c>
      <c r="E39" t="s">
        <v>19</v>
      </c>
      <c r="F39" t="s">
        <v>11</v>
      </c>
      <c r="G39">
        <v>0.11550000000000001</v>
      </c>
      <c r="H39">
        <v>4.0000000000000001E-3</v>
      </c>
      <c r="I39">
        <v>50</v>
      </c>
      <c r="J39">
        <f t="shared" si="1"/>
        <v>5.3750000000000009</v>
      </c>
      <c r="K39">
        <f>(J39+'Nitrates Standart Curves'!$AC$3)/'Nitrates Standart Curves'!$AB$3</f>
        <v>21.023837436498635</v>
      </c>
      <c r="L39">
        <v>0.26800000000000002</v>
      </c>
      <c r="M39">
        <v>2</v>
      </c>
      <c r="N39">
        <f>((((L39-'Phosphate Standart Curve'!$I$39)*M39)+'Phosphate Standart Curve'!$K$39)/'Phosphate Standart Curve'!$J$39)</f>
        <v>1.1064049586776858</v>
      </c>
      <c r="O39">
        <v>7.9</v>
      </c>
    </row>
    <row r="40" spans="1:15" x14ac:dyDescent="0.3">
      <c r="A40" t="s">
        <v>22</v>
      </c>
      <c r="B40" s="3">
        <v>44743</v>
      </c>
      <c r="C40">
        <f t="shared" si="0"/>
        <v>8</v>
      </c>
      <c r="D40" t="s">
        <v>23</v>
      </c>
      <c r="E40" t="s">
        <v>19</v>
      </c>
      <c r="F40" t="s">
        <v>12</v>
      </c>
      <c r="G40">
        <v>0.11</v>
      </c>
      <c r="H40">
        <f>AVERAGE(0.003,0.009)</f>
        <v>6.0000000000000001E-3</v>
      </c>
      <c r="I40">
        <v>50</v>
      </c>
      <c r="J40">
        <f t="shared" si="1"/>
        <v>4.9000000000000004</v>
      </c>
      <c r="K40">
        <f>(J40+'Nitrates Standart Curves'!$AC$3)/'Nitrates Standart Curves'!$AB$3</f>
        <v>19.167643610785461</v>
      </c>
      <c r="L40">
        <v>0.21299999999999999</v>
      </c>
      <c r="M40">
        <v>2</v>
      </c>
      <c r="N40">
        <f>((((L40-'Phosphate Standart Curve'!$I$39)*M40)+'Phosphate Standart Curve'!$K$39)/'Phosphate Standart Curve'!$J$39)</f>
        <v>0.87913223140495866</v>
      </c>
      <c r="O40">
        <v>7.66</v>
      </c>
    </row>
    <row r="41" spans="1:15" x14ac:dyDescent="0.3">
      <c r="A41" t="s">
        <v>22</v>
      </c>
      <c r="B41" s="3">
        <v>44743</v>
      </c>
      <c r="C41">
        <f t="shared" si="0"/>
        <v>8</v>
      </c>
      <c r="D41" t="s">
        <v>23</v>
      </c>
      <c r="E41" t="s">
        <v>19</v>
      </c>
      <c r="F41" t="s">
        <v>13</v>
      </c>
      <c r="G41">
        <f>AVERAGE(0.115,0.112)</f>
        <v>0.1135</v>
      </c>
      <c r="H41">
        <v>1.2999999999999999E-2</v>
      </c>
      <c r="I41">
        <v>50</v>
      </c>
      <c r="J41">
        <f t="shared" si="1"/>
        <v>4.375</v>
      </c>
      <c r="K41">
        <f>(J41+'Nitrates Standart Curves'!$AC$3)/'Nitrates Standart Curves'!$AB$3</f>
        <v>17.116060961313011</v>
      </c>
      <c r="L41">
        <v>0.23449999999999999</v>
      </c>
      <c r="M41">
        <v>2</v>
      </c>
      <c r="N41">
        <f>((((L41-'Phosphate Standart Curve'!$I$39)*M41)+'Phosphate Standart Curve'!$K$39)/'Phosphate Standart Curve'!$J$39)</f>
        <v>0.96797520661157022</v>
      </c>
      <c r="O41">
        <v>7.55</v>
      </c>
    </row>
    <row r="42" spans="1:15" x14ac:dyDescent="0.3">
      <c r="A42" t="s">
        <v>22</v>
      </c>
      <c r="B42" s="3">
        <v>44743</v>
      </c>
      <c r="C42">
        <f t="shared" si="0"/>
        <v>8</v>
      </c>
      <c r="D42" t="s">
        <v>23</v>
      </c>
      <c r="E42" t="s">
        <v>19</v>
      </c>
      <c r="F42" t="s">
        <v>14</v>
      </c>
      <c r="G42">
        <v>0.112</v>
      </c>
      <c r="H42">
        <v>3.0000000000000001E-3</v>
      </c>
      <c r="I42">
        <v>50</v>
      </c>
      <c r="J42">
        <f t="shared" si="1"/>
        <v>5.3</v>
      </c>
      <c r="K42">
        <f>(J42+'Nitrates Standart Curves'!$AC$3)/'Nitrates Standart Curves'!$AB$3</f>
        <v>20.730754200859707</v>
      </c>
      <c r="L42">
        <v>0.29449999999999998</v>
      </c>
      <c r="M42">
        <v>2</v>
      </c>
      <c r="N42">
        <f>((((L42-'Phosphate Standart Curve'!$I$39)*M42)+'Phosphate Standart Curve'!$K$39)/'Phosphate Standart Curve'!$J$39)</f>
        <v>1.2159090909090908</v>
      </c>
      <c r="O42">
        <v>7.53</v>
      </c>
    </row>
    <row r="43" spans="1:15" x14ac:dyDescent="0.3">
      <c r="A43" t="s">
        <v>22</v>
      </c>
      <c r="B43" s="3">
        <v>44746</v>
      </c>
      <c r="C43">
        <f t="shared" si="0"/>
        <v>11</v>
      </c>
      <c r="D43" t="s">
        <v>23</v>
      </c>
      <c r="E43" t="s">
        <v>17</v>
      </c>
      <c r="F43" t="s">
        <v>11</v>
      </c>
      <c r="G43">
        <v>0.63500000000000001</v>
      </c>
      <c r="H43">
        <v>0.189</v>
      </c>
      <c r="I43">
        <v>1</v>
      </c>
      <c r="J43">
        <f t="shared" si="1"/>
        <v>0.25700000000000001</v>
      </c>
      <c r="K43">
        <f>(J43+'Nitrates Standart Curves'!$AC$3)/'Nitrates Standart Curves'!$AB$3</f>
        <v>1.0238374364986322</v>
      </c>
      <c r="L43">
        <v>8.9999999999999993E-3</v>
      </c>
      <c r="M43">
        <f>10/8</f>
        <v>1.25</v>
      </c>
      <c r="N43">
        <f>((((L43-'Phosphate Standart Curve'!$I$57)*M43)+'Phosphate Standart Curve'!$K$57)/'Phosphate Standart Curve'!$J$57)</f>
        <v>3.8746438746438752E-2</v>
      </c>
      <c r="O43">
        <v>8.7100000000000009</v>
      </c>
    </row>
    <row r="44" spans="1:15" x14ac:dyDescent="0.3">
      <c r="A44" t="s">
        <v>22</v>
      </c>
      <c r="B44" s="3">
        <v>44746</v>
      </c>
      <c r="C44">
        <f t="shared" si="0"/>
        <v>11</v>
      </c>
      <c r="D44" t="s">
        <v>23</v>
      </c>
      <c r="E44" t="s">
        <v>17</v>
      </c>
      <c r="F44" t="s">
        <v>12</v>
      </c>
      <c r="G44">
        <v>0.59099999999999997</v>
      </c>
      <c r="H44">
        <v>0.188</v>
      </c>
      <c r="I44">
        <v>1</v>
      </c>
      <c r="J44">
        <f t="shared" si="1"/>
        <v>0.21499999999999997</v>
      </c>
      <c r="K44">
        <f>(J44+'Nitrates Standart Curves'!$AC$3)/'Nitrates Standart Curves'!$AB$3</f>
        <v>0.85971082454083614</v>
      </c>
      <c r="L44">
        <v>7.0000000000000001E-3</v>
      </c>
      <c r="M44">
        <f>10/7</f>
        <v>1.4285714285714286</v>
      </c>
      <c r="N44">
        <f>((((L44-'Phosphate Standart Curve'!$I$57)*M44)+'Phosphate Standart Curve'!$K$57)/'Phosphate Standart Curve'!$J$57)</f>
        <v>3.6033102699769365E-2</v>
      </c>
      <c r="O44">
        <v>8.93</v>
      </c>
    </row>
    <row r="45" spans="1:15" x14ac:dyDescent="0.3">
      <c r="A45" t="s">
        <v>22</v>
      </c>
      <c r="B45" s="3">
        <v>44746</v>
      </c>
      <c r="C45">
        <f t="shared" si="0"/>
        <v>11</v>
      </c>
      <c r="D45" t="s">
        <v>23</v>
      </c>
      <c r="E45" t="s">
        <v>17</v>
      </c>
      <c r="F45" t="s">
        <v>13</v>
      </c>
      <c r="G45">
        <v>0.63</v>
      </c>
      <c r="H45">
        <v>0.20399999999999999</v>
      </c>
      <c r="I45">
        <v>1</v>
      </c>
      <c r="J45">
        <f t="shared" si="1"/>
        <v>0.22200000000000003</v>
      </c>
      <c r="K45">
        <f>(J45+'Nitrates Standart Curves'!$AC$3)/'Nitrates Standart Curves'!$AB$3</f>
        <v>0.88706525986713569</v>
      </c>
      <c r="L45">
        <v>8.0000000000000002E-3</v>
      </c>
      <c r="M45">
        <f>10/7</f>
        <v>1.4285714285714286</v>
      </c>
      <c r="N45">
        <f>((((L45-'Phosphate Standart Curve'!$I$57)*M45)+'Phosphate Standart Curve'!$K$57)/'Phosphate Standart Curve'!$J$57)</f>
        <v>3.8746438746438752E-2</v>
      </c>
      <c r="O45">
        <v>8.6999999999999993</v>
      </c>
    </row>
    <row r="46" spans="1:15" x14ac:dyDescent="0.3">
      <c r="A46" t="s">
        <v>22</v>
      </c>
      <c r="B46" s="3">
        <v>44746</v>
      </c>
      <c r="C46">
        <f t="shared" si="0"/>
        <v>11</v>
      </c>
      <c r="D46" t="s">
        <v>23</v>
      </c>
      <c r="E46" t="s">
        <v>17</v>
      </c>
      <c r="F46" t="s">
        <v>14</v>
      </c>
      <c r="G46">
        <v>0.53600000000000003</v>
      </c>
      <c r="H46">
        <v>0.159</v>
      </c>
      <c r="I46">
        <v>1</v>
      </c>
      <c r="J46">
        <f t="shared" si="1"/>
        <v>0.21800000000000003</v>
      </c>
      <c r="K46">
        <f>(J46+'Nitrates Standart Curves'!$AC$3)/'Nitrates Standart Curves'!$AB$3</f>
        <v>0.87143415396639323</v>
      </c>
      <c r="L46">
        <v>7.0000000000000001E-3</v>
      </c>
      <c r="M46">
        <f>10/8</f>
        <v>1.25</v>
      </c>
      <c r="N46">
        <f>((((L46-'Phosphate Standart Curve'!$I$57)*M46)+'Phosphate Standart Curve'!$K$57)/'Phosphate Standart Curve'!$J$57)</f>
        <v>3.3998100664767335E-2</v>
      </c>
      <c r="O46">
        <v>8.85</v>
      </c>
    </row>
    <row r="47" spans="1:15" x14ac:dyDescent="0.3">
      <c r="A47" t="s">
        <v>22</v>
      </c>
      <c r="B47" s="3">
        <v>44746</v>
      </c>
      <c r="C47">
        <f t="shared" si="0"/>
        <v>11</v>
      </c>
      <c r="D47" t="s">
        <v>23</v>
      </c>
      <c r="E47" t="s">
        <v>91</v>
      </c>
      <c r="F47" t="s">
        <v>11</v>
      </c>
      <c r="G47">
        <v>0.65</v>
      </c>
      <c r="H47">
        <v>0.222</v>
      </c>
      <c r="I47">
        <v>1</v>
      </c>
      <c r="J47">
        <f t="shared" si="1"/>
        <v>0.20600000000000002</v>
      </c>
      <c r="K47">
        <f>(J47+'Nitrates Standart Curves'!$AC$3)/'Nitrates Standart Curves'!$AB$3</f>
        <v>0.82454083626416574</v>
      </c>
      <c r="L47">
        <v>8.0000000000000002E-3</v>
      </c>
      <c r="M47">
        <f>10/8</f>
        <v>1.25</v>
      </c>
      <c r="N47">
        <f>((((L47-'Phosphate Standart Curve'!$I$57)*M47)+'Phosphate Standart Curve'!$K$57)/'Phosphate Standart Curve'!$J$57)</f>
        <v>3.637226970560304E-2</v>
      </c>
      <c r="O47">
        <v>8.8000000000000007</v>
      </c>
    </row>
    <row r="48" spans="1:15" x14ac:dyDescent="0.3">
      <c r="A48" t="s">
        <v>22</v>
      </c>
      <c r="B48" s="3">
        <v>44746</v>
      </c>
      <c r="C48">
        <f t="shared" si="0"/>
        <v>11</v>
      </c>
      <c r="D48" t="s">
        <v>23</v>
      </c>
      <c r="E48" t="s">
        <v>91</v>
      </c>
      <c r="F48" t="s">
        <v>12</v>
      </c>
      <c r="G48">
        <v>0.54600000000000004</v>
      </c>
      <c r="H48">
        <v>0.15</v>
      </c>
      <c r="I48">
        <v>1</v>
      </c>
      <c r="J48">
        <f t="shared" si="1"/>
        <v>0.24600000000000005</v>
      </c>
      <c r="K48">
        <f>(J48+'Nitrates Standart Curves'!$AC$3)/'Nitrates Standart Curves'!$AB$3</f>
        <v>0.98085189527159067</v>
      </c>
      <c r="L48">
        <v>8.9999999999999993E-3</v>
      </c>
      <c r="M48">
        <f>10/9</f>
        <v>1.1111111111111112</v>
      </c>
      <c r="N48">
        <f>((((L48-'Phosphate Standart Curve'!$I$57)*M48)+'Phosphate Standart Curve'!$K$57)/'Phosphate Standart Curve'!$J$57)</f>
        <v>3.6636066265695898E-2</v>
      </c>
      <c r="O48">
        <v>8.9</v>
      </c>
    </row>
    <row r="49" spans="1:15" x14ac:dyDescent="0.3">
      <c r="A49" t="s">
        <v>22</v>
      </c>
      <c r="B49" s="3">
        <v>44746</v>
      </c>
      <c r="C49">
        <f t="shared" si="0"/>
        <v>11</v>
      </c>
      <c r="D49" t="s">
        <v>23</v>
      </c>
      <c r="E49" t="s">
        <v>91</v>
      </c>
      <c r="F49" t="s">
        <v>13</v>
      </c>
      <c r="G49">
        <v>0.67400000000000004</v>
      </c>
      <c r="H49">
        <v>0.19400000000000001</v>
      </c>
      <c r="I49">
        <v>1</v>
      </c>
      <c r="J49">
        <f t="shared" si="1"/>
        <v>0.28600000000000003</v>
      </c>
      <c r="K49">
        <f>(J49+'Nitrates Standart Curves'!$AC$3)/'Nitrates Standart Curves'!$AB$3</f>
        <v>1.1371629542790154</v>
      </c>
      <c r="L49">
        <v>8.0000000000000002E-3</v>
      </c>
      <c r="M49">
        <f>10/8</f>
        <v>1.25</v>
      </c>
      <c r="N49">
        <f>((((L49-'Phosphate Standart Curve'!$I$57)*M49)+'Phosphate Standart Curve'!$K$57)/'Phosphate Standart Curve'!$J$57)</f>
        <v>3.637226970560304E-2</v>
      </c>
      <c r="O49">
        <v>9.06</v>
      </c>
    </row>
    <row r="50" spans="1:15" x14ac:dyDescent="0.3">
      <c r="A50" t="s">
        <v>22</v>
      </c>
      <c r="B50" s="3">
        <v>44746</v>
      </c>
      <c r="C50">
        <f t="shared" si="0"/>
        <v>11</v>
      </c>
      <c r="D50" t="s">
        <v>23</v>
      </c>
      <c r="E50" t="s">
        <v>91</v>
      </c>
      <c r="F50" t="s">
        <v>14</v>
      </c>
      <c r="G50">
        <v>0.39300000000000002</v>
      </c>
      <c r="H50">
        <v>0.122</v>
      </c>
      <c r="I50">
        <v>1</v>
      </c>
      <c r="J50">
        <f t="shared" si="1"/>
        <v>0.14900000000000002</v>
      </c>
      <c r="K50">
        <f>(J50+'Nitrates Standart Curves'!$AC$3)/'Nitrates Standart Curves'!$AB$3</f>
        <v>0.6017975771785854</v>
      </c>
      <c r="L50">
        <v>5.0000000000000001E-3</v>
      </c>
      <c r="M50">
        <f>10/8</f>
        <v>1.25</v>
      </c>
      <c r="N50">
        <f>((((L50-'Phosphate Standart Curve'!$I$57)*M50)+'Phosphate Standart Curve'!$K$57)/'Phosphate Standart Curve'!$J$57)</f>
        <v>2.9249762583095921E-2</v>
      </c>
      <c r="O50">
        <v>8.9</v>
      </c>
    </row>
    <row r="51" spans="1:15" x14ac:dyDescent="0.3">
      <c r="A51" t="s">
        <v>22</v>
      </c>
      <c r="B51" s="3">
        <v>44746</v>
      </c>
      <c r="C51">
        <f t="shared" si="0"/>
        <v>11</v>
      </c>
      <c r="D51" t="s">
        <v>23</v>
      </c>
      <c r="E51" t="s">
        <v>18</v>
      </c>
      <c r="F51" t="s">
        <v>11</v>
      </c>
      <c r="G51">
        <v>0.627</v>
      </c>
      <c r="H51">
        <v>0.155</v>
      </c>
      <c r="I51">
        <v>1</v>
      </c>
      <c r="J51">
        <f t="shared" si="1"/>
        <v>0.317</v>
      </c>
      <c r="K51">
        <f>(J51+'Nitrates Standart Curves'!$AC$3)/'Nitrates Standart Curves'!$AB$3</f>
        <v>1.2583040250097695</v>
      </c>
      <c r="L51">
        <v>1.0999999999999999E-2</v>
      </c>
      <c r="M51">
        <f>10/9</f>
        <v>1.1111111111111112</v>
      </c>
      <c r="N51">
        <f>((((L51-'Phosphate Standart Curve'!$I$57)*M51)+'Phosphate Standart Curve'!$K$57)/'Phosphate Standart Curve'!$J$57)</f>
        <v>4.08568112271816E-2</v>
      </c>
      <c r="O51">
        <v>9.01</v>
      </c>
    </row>
    <row r="52" spans="1:15" x14ac:dyDescent="0.3">
      <c r="A52" t="s">
        <v>22</v>
      </c>
      <c r="B52" s="3">
        <v>44746</v>
      </c>
      <c r="C52">
        <f t="shared" si="0"/>
        <v>11</v>
      </c>
      <c r="D52" t="s">
        <v>23</v>
      </c>
      <c r="E52" t="s">
        <v>18</v>
      </c>
      <c r="F52" t="s">
        <v>12</v>
      </c>
      <c r="G52">
        <v>0.41299999999999998</v>
      </c>
      <c r="H52">
        <v>0.11600000000000001</v>
      </c>
      <c r="I52">
        <v>1</v>
      </c>
      <c r="J52">
        <f t="shared" si="1"/>
        <v>0.18099999999999997</v>
      </c>
      <c r="K52">
        <f>(J52+'Nitrates Standart Curves'!$AC$3)/'Nitrates Standart Curves'!$AB$3</f>
        <v>0.72684642438452507</v>
      </c>
      <c r="L52">
        <v>5.0000000000000001E-3</v>
      </c>
      <c r="M52">
        <f>10/7</f>
        <v>1.4285714285714286</v>
      </c>
      <c r="N52">
        <f>((((L52-'Phosphate Standart Curve'!$I$57)*M52)+'Phosphate Standart Curve'!$K$57)/'Phosphate Standart Curve'!$J$57)</f>
        <v>3.0606430606430604E-2</v>
      </c>
      <c r="O52">
        <v>9.01</v>
      </c>
    </row>
    <row r="53" spans="1:15" x14ac:dyDescent="0.3">
      <c r="A53" t="s">
        <v>22</v>
      </c>
      <c r="B53" s="3">
        <v>44746</v>
      </c>
      <c r="C53">
        <f t="shared" si="0"/>
        <v>11</v>
      </c>
      <c r="D53" t="s">
        <v>23</v>
      </c>
      <c r="E53" t="s">
        <v>18</v>
      </c>
      <c r="F53" t="s">
        <v>13</v>
      </c>
      <c r="G53">
        <v>0.39500000000000002</v>
      </c>
      <c r="H53">
        <v>0.109</v>
      </c>
      <c r="I53">
        <v>1</v>
      </c>
      <c r="J53">
        <f t="shared" si="1"/>
        <v>0.17700000000000002</v>
      </c>
      <c r="K53">
        <f>(J53+'Nitrates Standart Curves'!$AC$3)/'Nitrates Standart Curves'!$AB$3</f>
        <v>0.71121531848378272</v>
      </c>
      <c r="L53">
        <v>8.0000000000000002E-3</v>
      </c>
      <c r="M53">
        <f>10/8</f>
        <v>1.25</v>
      </c>
      <c r="N53">
        <f>((((L53-'Phosphate Standart Curve'!$I$57)*M53)+'Phosphate Standart Curve'!$K$57)/'Phosphate Standart Curve'!$J$57)</f>
        <v>3.637226970560304E-2</v>
      </c>
      <c r="O53">
        <v>8.83</v>
      </c>
    </row>
    <row r="54" spans="1:15" x14ac:dyDescent="0.3">
      <c r="A54" t="s">
        <v>22</v>
      </c>
      <c r="B54" s="3">
        <v>44746</v>
      </c>
      <c r="C54">
        <f t="shared" si="0"/>
        <v>11</v>
      </c>
      <c r="D54" t="s">
        <v>23</v>
      </c>
      <c r="E54" t="s">
        <v>18</v>
      </c>
      <c r="F54" t="s">
        <v>14</v>
      </c>
      <c r="G54">
        <v>0.42399999999999999</v>
      </c>
      <c r="H54">
        <v>0.113</v>
      </c>
      <c r="I54">
        <v>1</v>
      </c>
      <c r="J54">
        <f t="shared" si="1"/>
        <v>0.19799999999999998</v>
      </c>
      <c r="K54">
        <f>(J54+'Nitrates Standart Curves'!$AC$3)/'Nitrates Standart Curves'!$AB$3</f>
        <v>0.7932786244626806</v>
      </c>
      <c r="L54">
        <v>6.0000000000000001E-3</v>
      </c>
      <c r="M54">
        <f>10/9</f>
        <v>1.1111111111111112</v>
      </c>
      <c r="N54">
        <f>((((L54-'Phosphate Standart Curve'!$I$57)*M54)+'Phosphate Standart Curve'!$K$57)/'Phosphate Standart Curve'!$J$57)</f>
        <v>3.0304948823467345E-2</v>
      </c>
      <c r="O54">
        <v>8.91</v>
      </c>
    </row>
    <row r="55" spans="1:15" x14ac:dyDescent="0.3">
      <c r="A55" t="s">
        <v>22</v>
      </c>
      <c r="B55" s="3">
        <v>44746</v>
      </c>
      <c r="C55">
        <f t="shared" si="0"/>
        <v>11</v>
      </c>
      <c r="D55" t="s">
        <v>23</v>
      </c>
      <c r="E55" t="s">
        <v>19</v>
      </c>
      <c r="F55" t="s">
        <v>11</v>
      </c>
      <c r="G55">
        <v>0.58299999999999996</v>
      </c>
      <c r="H55">
        <v>1.9E-2</v>
      </c>
      <c r="I55">
        <v>10</v>
      </c>
      <c r="J55">
        <f t="shared" si="1"/>
        <v>5.4499999999999993</v>
      </c>
      <c r="K55">
        <f>(J55+'Nitrates Standart Curves'!$AC$3)/'Nitrates Standart Curves'!$AB$3</f>
        <v>21.316920672137549</v>
      </c>
      <c r="L55">
        <v>0.312</v>
      </c>
      <c r="M55">
        <v>2</v>
      </c>
      <c r="N55">
        <f>((((L55-'Phosphate Standart Curve'!$I$57)*M55)+'Phosphate Standart Curve'!$K$57)/'Phosphate Standart Curve'!$J$57)</f>
        <v>1.2011396011396012</v>
      </c>
      <c r="O55">
        <v>8.08</v>
      </c>
    </row>
    <row r="56" spans="1:15" x14ac:dyDescent="0.3">
      <c r="A56" t="s">
        <v>22</v>
      </c>
      <c r="B56" s="3">
        <v>44746</v>
      </c>
      <c r="C56">
        <f t="shared" si="0"/>
        <v>11</v>
      </c>
      <c r="D56" t="s">
        <v>23</v>
      </c>
      <c r="E56" t="s">
        <v>19</v>
      </c>
      <c r="F56" t="s">
        <v>12</v>
      </c>
      <c r="G56">
        <v>0.56100000000000005</v>
      </c>
      <c r="H56">
        <v>1.6E-2</v>
      </c>
      <c r="I56">
        <v>10</v>
      </c>
      <c r="J56">
        <f t="shared" si="1"/>
        <v>5.29</v>
      </c>
      <c r="K56">
        <f>(J56+'Nitrates Standart Curves'!$AC$3)/'Nitrates Standart Curves'!$AB$3</f>
        <v>20.691676436107851</v>
      </c>
      <c r="L56">
        <v>0.28599999999999998</v>
      </c>
      <c r="M56">
        <v>2</v>
      </c>
      <c r="N56">
        <f>((((L56-'Phosphate Standart Curve'!$I$57)*M56)+'Phosphate Standart Curve'!$K$57)/'Phosphate Standart Curve'!$J$57)</f>
        <v>1.1023741690408355</v>
      </c>
      <c r="O56">
        <v>7.92</v>
      </c>
    </row>
    <row r="57" spans="1:15" x14ac:dyDescent="0.3">
      <c r="A57" t="s">
        <v>22</v>
      </c>
      <c r="B57" s="3">
        <v>44746</v>
      </c>
      <c r="C57">
        <f t="shared" si="0"/>
        <v>11</v>
      </c>
      <c r="D57" t="s">
        <v>23</v>
      </c>
      <c r="E57" t="s">
        <v>19</v>
      </c>
      <c r="F57" t="s">
        <v>13</v>
      </c>
      <c r="G57">
        <v>0.57399999999999995</v>
      </c>
      <c r="H57">
        <v>1.6E-2</v>
      </c>
      <c r="I57">
        <v>10</v>
      </c>
      <c r="J57">
        <f t="shared" si="1"/>
        <v>5.419999999999999</v>
      </c>
      <c r="K57">
        <f>(J57+'Nitrates Standart Curves'!$AC$3)/'Nitrates Standart Curves'!$AB$3</f>
        <v>21.199687377881979</v>
      </c>
      <c r="L57">
        <v>0.247</v>
      </c>
      <c r="M57">
        <v>2</v>
      </c>
      <c r="N57">
        <f>((((L57-'Phosphate Standart Curve'!$I$57)*M57)+'Phosphate Standart Curve'!$K$57)/'Phosphate Standart Curve'!$J$57)</f>
        <v>0.95422602089268749</v>
      </c>
      <c r="O57">
        <v>7.95</v>
      </c>
    </row>
    <row r="58" spans="1:15" x14ac:dyDescent="0.3">
      <c r="A58" t="s">
        <v>22</v>
      </c>
      <c r="B58" s="3">
        <v>44746</v>
      </c>
      <c r="C58">
        <f t="shared" si="0"/>
        <v>11</v>
      </c>
      <c r="D58" t="s">
        <v>23</v>
      </c>
      <c r="E58" t="s">
        <v>19</v>
      </c>
      <c r="F58" t="s">
        <v>14</v>
      </c>
      <c r="G58">
        <v>0.58199999999999996</v>
      </c>
      <c r="H58">
        <v>1.4999999999999999E-2</v>
      </c>
      <c r="I58">
        <v>10</v>
      </c>
      <c r="J58">
        <f t="shared" si="1"/>
        <v>5.52</v>
      </c>
      <c r="K58">
        <f>(J58+'Nitrates Standart Curves'!$AC$3)/'Nitrates Standart Curves'!$AB$3</f>
        <v>21.590465025400544</v>
      </c>
      <c r="L58">
        <v>0.32900000000000001</v>
      </c>
      <c r="M58">
        <v>2</v>
      </c>
      <c r="N58">
        <f>((((L58-'Phosphate Standart Curve'!$I$57)*M58)+'Phosphate Standart Curve'!$K$57)/'Phosphate Standart Curve'!$J$57)</f>
        <v>1.2657169990503325</v>
      </c>
      <c r="O58">
        <v>7.93</v>
      </c>
    </row>
    <row r="59" spans="1:15" x14ac:dyDescent="0.3">
      <c r="A59" t="s">
        <v>22</v>
      </c>
      <c r="B59" s="3">
        <v>44748</v>
      </c>
      <c r="C59">
        <f t="shared" si="0"/>
        <v>13</v>
      </c>
      <c r="D59" t="s">
        <v>23</v>
      </c>
      <c r="E59" t="s">
        <v>17</v>
      </c>
      <c r="F59" t="s">
        <v>11</v>
      </c>
      <c r="G59">
        <v>0.94399999999999995</v>
      </c>
      <c r="H59">
        <v>0.222</v>
      </c>
      <c r="I59">
        <v>1</v>
      </c>
      <c r="J59">
        <f t="shared" si="1"/>
        <v>0.49999999999999994</v>
      </c>
      <c r="K59">
        <f>(J59+'Nitrates Standart Curves'!$AC$3)/'Nitrates Standart Curves'!$AB$3</f>
        <v>1.9734271199687372</v>
      </c>
      <c r="L59">
        <v>7.0000000000000001E-3</v>
      </c>
      <c r="M59">
        <f>10/6</f>
        <v>1.6666666666666667</v>
      </c>
      <c r="N59">
        <f>((((L59-'Phosphate Standart Curve'!$I$75)*M59)+'Phosphate Standart Curve'!$K$75)/'Phosphate Standart Curve'!$J$75)</f>
        <v>3.5660941000746828E-2</v>
      </c>
      <c r="O59">
        <v>9.01</v>
      </c>
    </row>
    <row r="60" spans="1:15" x14ac:dyDescent="0.3">
      <c r="A60" t="s">
        <v>22</v>
      </c>
      <c r="B60" s="3">
        <v>44748</v>
      </c>
      <c r="C60">
        <f t="shared" si="0"/>
        <v>13</v>
      </c>
      <c r="D60" t="s">
        <v>23</v>
      </c>
      <c r="E60" t="s">
        <v>17</v>
      </c>
      <c r="F60" t="s">
        <v>12</v>
      </c>
      <c r="G60">
        <v>0.68100000000000005</v>
      </c>
      <c r="H60">
        <v>0.17699999999999999</v>
      </c>
      <c r="I60">
        <v>1</v>
      </c>
      <c r="J60">
        <f t="shared" si="1"/>
        <v>0.32700000000000007</v>
      </c>
      <c r="K60">
        <f>(J60+'Nitrates Standart Curves'!$AC$3)/'Nitrates Standart Curves'!$AB$3</f>
        <v>1.2973817897616258</v>
      </c>
      <c r="L60">
        <v>6.0000000000000001E-3</v>
      </c>
      <c r="M60">
        <f>10/7</f>
        <v>1.4285714285714286</v>
      </c>
      <c r="N60">
        <f>((((L60-'Phosphate Standart Curve'!$I$75)*M60)+'Phosphate Standart Curve'!$K$75)/'Phosphate Standart Curve'!$J$75)</f>
        <v>3.0326469646857996E-2</v>
      </c>
      <c r="O60">
        <v>9.3000000000000007</v>
      </c>
    </row>
    <row r="61" spans="1:15" x14ac:dyDescent="0.3">
      <c r="A61" t="s">
        <v>22</v>
      </c>
      <c r="B61" s="3">
        <v>44748</v>
      </c>
      <c r="C61">
        <f t="shared" si="0"/>
        <v>13</v>
      </c>
      <c r="D61" t="s">
        <v>23</v>
      </c>
      <c r="E61" t="s">
        <v>17</v>
      </c>
      <c r="F61" t="s">
        <v>13</v>
      </c>
      <c r="G61">
        <v>0.71299999999999997</v>
      </c>
      <c r="H61">
        <v>0.19400000000000001</v>
      </c>
      <c r="I61">
        <v>1</v>
      </c>
      <c r="J61">
        <f t="shared" si="1"/>
        <v>0.32499999999999996</v>
      </c>
      <c r="K61">
        <f>(J61+'Nitrates Standart Curves'!$AC$3)/'Nitrates Standart Curves'!$AB$3</f>
        <v>1.2895662368112542</v>
      </c>
      <c r="L61">
        <v>5.0000000000000001E-3</v>
      </c>
      <c r="M61">
        <f>10/6</f>
        <v>1.6666666666666667</v>
      </c>
      <c r="N61">
        <f>((((L61-'Phosphate Standart Curve'!$I$75)*M61)+'Phosphate Standart Curve'!$K$75)/'Phosphate Standart Curve'!$J$75)</f>
        <v>2.9437391087876529E-2</v>
      </c>
      <c r="O61">
        <v>9</v>
      </c>
    </row>
    <row r="62" spans="1:15" x14ac:dyDescent="0.3">
      <c r="A62" t="s">
        <v>22</v>
      </c>
      <c r="B62" s="3">
        <v>44748</v>
      </c>
      <c r="C62">
        <f t="shared" si="0"/>
        <v>13</v>
      </c>
      <c r="D62" t="s">
        <v>23</v>
      </c>
      <c r="E62" t="s">
        <v>17</v>
      </c>
      <c r="F62" t="s">
        <v>14</v>
      </c>
      <c r="G62">
        <v>0.57999999999999996</v>
      </c>
      <c r="H62">
        <v>0.17199999999999999</v>
      </c>
      <c r="I62">
        <v>1</v>
      </c>
      <c r="J62">
        <f t="shared" si="1"/>
        <v>0.23599999999999999</v>
      </c>
      <c r="K62">
        <f>(J62+'Nitrates Standart Curves'!$AC$3)/'Nitrates Standart Curves'!$AB$3</f>
        <v>0.94177413051973413</v>
      </c>
      <c r="L62">
        <v>6.0000000000000001E-3</v>
      </c>
      <c r="M62">
        <v>2</v>
      </c>
      <c r="N62">
        <f>((((L62-'Phosphate Standart Curve'!$I$75)*M62)+'Phosphate Standart Curve'!$K$75)/'Phosphate Standart Curve'!$J$75)</f>
        <v>3.5660941000746828E-2</v>
      </c>
      <c r="O62">
        <v>9.1199999999999992</v>
      </c>
    </row>
    <row r="63" spans="1:15" x14ac:dyDescent="0.3">
      <c r="A63" t="s">
        <v>22</v>
      </c>
      <c r="B63" s="3">
        <v>44748</v>
      </c>
      <c r="C63">
        <f t="shared" si="0"/>
        <v>13</v>
      </c>
      <c r="D63" t="s">
        <v>23</v>
      </c>
      <c r="E63" t="s">
        <v>91</v>
      </c>
      <c r="F63" t="s">
        <v>11</v>
      </c>
      <c r="G63">
        <v>0.38600000000000001</v>
      </c>
      <c r="H63">
        <v>9.8000000000000004E-2</v>
      </c>
      <c r="I63">
        <v>1</v>
      </c>
      <c r="J63">
        <f t="shared" si="1"/>
        <v>0.19</v>
      </c>
      <c r="K63">
        <f>(J63+'Nitrates Standart Curves'!$AC$3)/'Nitrates Standart Curves'!$AB$3</f>
        <v>0.7620164126611958</v>
      </c>
      <c r="L63">
        <v>4.0000000000000001E-3</v>
      </c>
      <c r="M63">
        <f>10/8</f>
        <v>1.25</v>
      </c>
      <c r="N63">
        <f>((((L63-'Phosphate Standart Curve'!$I$75)*M63)+'Phosphate Standart Curve'!$K$75)/'Phosphate Standart Curve'!$J$75)</f>
        <v>2.3991784914115015E-2</v>
      </c>
      <c r="O63">
        <v>9.32</v>
      </c>
    </row>
    <row r="64" spans="1:15" x14ac:dyDescent="0.3">
      <c r="A64" t="s">
        <v>22</v>
      </c>
      <c r="B64" s="3">
        <v>44748</v>
      </c>
      <c r="C64">
        <f t="shared" si="0"/>
        <v>13</v>
      </c>
      <c r="D64" t="s">
        <v>23</v>
      </c>
      <c r="E64" t="s">
        <v>91</v>
      </c>
      <c r="F64" t="s">
        <v>12</v>
      </c>
      <c r="G64">
        <v>0.52800000000000002</v>
      </c>
      <c r="H64">
        <v>0.14199999999999999</v>
      </c>
      <c r="I64">
        <v>1</v>
      </c>
      <c r="J64">
        <f t="shared" si="1"/>
        <v>0.24400000000000005</v>
      </c>
      <c r="K64">
        <f>(J64+'Nitrates Standart Curves'!$AC$3)/'Nitrates Standart Curves'!$AB$3</f>
        <v>0.97303634232121938</v>
      </c>
      <c r="L64">
        <v>5.0000000000000001E-3</v>
      </c>
      <c r="M64">
        <f>10/9</f>
        <v>1.1111111111111112</v>
      </c>
      <c r="N64">
        <f>((((L64-'Phosphate Standart Curve'!$I$75)*M64)+'Phosphate Standart Curve'!$K$75)/'Phosphate Standart Curve'!$J$75)</f>
        <v>2.5288357812629662E-2</v>
      </c>
      <c r="O64">
        <v>9.2799999999999994</v>
      </c>
    </row>
    <row r="65" spans="1:15" x14ac:dyDescent="0.3">
      <c r="A65" t="s">
        <v>22</v>
      </c>
      <c r="B65" s="3">
        <v>44748</v>
      </c>
      <c r="C65">
        <f t="shared" si="0"/>
        <v>13</v>
      </c>
      <c r="D65" t="s">
        <v>23</v>
      </c>
      <c r="E65" t="s">
        <v>91</v>
      </c>
      <c r="F65" t="s">
        <v>13</v>
      </c>
      <c r="G65">
        <v>0.40200000000000002</v>
      </c>
      <c r="H65">
        <v>0.11700000000000001</v>
      </c>
      <c r="I65">
        <v>1</v>
      </c>
      <c r="J65">
        <f t="shared" si="1"/>
        <v>0.16800000000000001</v>
      </c>
      <c r="K65">
        <f>(J65+'Nitrates Standart Curves'!$AC$3)/'Nitrates Standart Curves'!$AB$3</f>
        <v>0.67604533020711222</v>
      </c>
      <c r="L65">
        <v>6.0000000000000001E-3</v>
      </c>
      <c r="M65">
        <f>10/9</f>
        <v>1.1111111111111112</v>
      </c>
      <c r="N65">
        <f>((((L65-'Phosphate Standart Curve'!$I$75)*M65)+'Phosphate Standart Curve'!$K$75)/'Phosphate Standart Curve'!$J$75)</f>
        <v>2.7362874450253094E-2</v>
      </c>
      <c r="O65">
        <v>9.31</v>
      </c>
    </row>
    <row r="66" spans="1:15" x14ac:dyDescent="0.3">
      <c r="A66" t="s">
        <v>22</v>
      </c>
      <c r="B66" s="3">
        <v>44748</v>
      </c>
      <c r="C66">
        <f t="shared" si="0"/>
        <v>13</v>
      </c>
      <c r="D66" t="s">
        <v>23</v>
      </c>
      <c r="E66" t="s">
        <v>91</v>
      </c>
      <c r="F66" t="s">
        <v>14</v>
      </c>
      <c r="G66">
        <v>0.55500000000000005</v>
      </c>
      <c r="H66">
        <v>0.161</v>
      </c>
      <c r="I66">
        <v>1</v>
      </c>
      <c r="J66">
        <f t="shared" si="1"/>
        <v>0.23300000000000004</v>
      </c>
      <c r="K66">
        <f>(J66+'Nitrates Standart Curves'!$AC$3)/'Nitrates Standart Curves'!$AB$3</f>
        <v>0.93005080109417748</v>
      </c>
      <c r="L66">
        <v>5.0000000000000001E-3</v>
      </c>
      <c r="M66">
        <f>10/8</f>
        <v>1.25</v>
      </c>
      <c r="N66">
        <f>((((L66-'Phosphate Standart Curve'!$I$75)*M66)+'Phosphate Standart Curve'!$K$75)/'Phosphate Standart Curve'!$J$75)</f>
        <v>2.6325616131441378E-2</v>
      </c>
      <c r="O66">
        <v>9.33</v>
      </c>
    </row>
    <row r="67" spans="1:15" x14ac:dyDescent="0.3">
      <c r="A67" t="s">
        <v>22</v>
      </c>
      <c r="B67" s="3">
        <v>44748</v>
      </c>
      <c r="C67">
        <f t="shared" si="0"/>
        <v>13</v>
      </c>
      <c r="D67" t="s">
        <v>23</v>
      </c>
      <c r="E67" t="s">
        <v>18</v>
      </c>
      <c r="F67" t="s">
        <v>11</v>
      </c>
      <c r="G67">
        <v>0.39300000000000002</v>
      </c>
      <c r="H67">
        <v>9.2999999999999999E-2</v>
      </c>
      <c r="I67">
        <v>1</v>
      </c>
      <c r="J67">
        <f t="shared" si="1"/>
        <v>0.20700000000000002</v>
      </c>
      <c r="K67">
        <f>(J67+'Nitrates Standart Curves'!$AC$3)/'Nitrates Standart Curves'!$AB$3</f>
        <v>0.82844861273935133</v>
      </c>
      <c r="L67">
        <v>4.0000000000000001E-3</v>
      </c>
      <c r="M67">
        <f>10/8</f>
        <v>1.25</v>
      </c>
      <c r="N67">
        <f>((((L67-'Phosphate Standart Curve'!$I$75)*M67)+'Phosphate Standart Curve'!$K$75)/'Phosphate Standart Curve'!$J$75)</f>
        <v>2.3991784914115015E-2</v>
      </c>
      <c r="O67">
        <v>9.2200000000000006</v>
      </c>
    </row>
    <row r="68" spans="1:15" x14ac:dyDescent="0.3">
      <c r="A68" t="s">
        <v>22</v>
      </c>
      <c r="B68" s="3">
        <v>44748</v>
      </c>
      <c r="C68">
        <f t="shared" ref="C68:C106" si="3">B68-$B$3</f>
        <v>13</v>
      </c>
      <c r="D68" t="s">
        <v>23</v>
      </c>
      <c r="E68" t="s">
        <v>18</v>
      </c>
      <c r="F68" t="s">
        <v>12</v>
      </c>
      <c r="G68">
        <v>0.42299999999999999</v>
      </c>
      <c r="H68">
        <v>0.114</v>
      </c>
      <c r="I68">
        <v>1</v>
      </c>
      <c r="J68">
        <f t="shared" si="1"/>
        <v>0.19499999999999998</v>
      </c>
      <c r="K68">
        <f>(J68+'Nitrates Standart Curves'!$AC$3)/'Nitrates Standart Curves'!$AB$3</f>
        <v>0.78155529503712373</v>
      </c>
      <c r="L68">
        <v>5.0000000000000001E-3</v>
      </c>
      <c r="M68">
        <f>10/8</f>
        <v>1.25</v>
      </c>
      <c r="N68">
        <f>((((L68-'Phosphate Standart Curve'!$I$75)*M68)+'Phosphate Standart Curve'!$K$75)/'Phosphate Standart Curve'!$J$75)</f>
        <v>2.6325616131441378E-2</v>
      </c>
      <c r="O68">
        <v>9.1999999999999993</v>
      </c>
    </row>
    <row r="69" spans="1:15" x14ac:dyDescent="0.3">
      <c r="A69" t="s">
        <v>22</v>
      </c>
      <c r="B69" s="3">
        <v>44748</v>
      </c>
      <c r="C69">
        <f t="shared" si="3"/>
        <v>13</v>
      </c>
      <c r="D69" t="s">
        <v>23</v>
      </c>
      <c r="E69" t="s">
        <v>18</v>
      </c>
      <c r="F69" t="s">
        <v>13</v>
      </c>
      <c r="G69">
        <v>0.52</v>
      </c>
      <c r="H69">
        <v>0.122</v>
      </c>
      <c r="I69">
        <v>1</v>
      </c>
      <c r="J69">
        <f t="shared" si="1"/>
        <v>0.27600000000000002</v>
      </c>
      <c r="K69">
        <f>(J69+'Nitrates Standart Curves'!$AC$3)/'Nitrates Standart Curves'!$AB$3</f>
        <v>1.0980851895271591</v>
      </c>
      <c r="L69">
        <v>5.0000000000000001E-3</v>
      </c>
      <c r="M69">
        <f>10/8</f>
        <v>1.25</v>
      </c>
      <c r="N69">
        <f>((((L69-'Phosphate Standart Curve'!$I$75)*M69)+'Phosphate Standart Curve'!$K$75)/'Phosphate Standart Curve'!$J$75)</f>
        <v>2.6325616131441378E-2</v>
      </c>
      <c r="O69">
        <v>9.33</v>
      </c>
    </row>
    <row r="70" spans="1:15" x14ac:dyDescent="0.3">
      <c r="A70" t="s">
        <v>22</v>
      </c>
      <c r="B70" s="3">
        <v>44748</v>
      </c>
      <c r="C70">
        <f t="shared" si="3"/>
        <v>13</v>
      </c>
      <c r="D70" t="s">
        <v>23</v>
      </c>
      <c r="E70" t="s">
        <v>18</v>
      </c>
      <c r="F70" t="s">
        <v>14</v>
      </c>
      <c r="G70">
        <v>0.45500000000000002</v>
      </c>
      <c r="H70">
        <v>0.11899999999999999</v>
      </c>
      <c r="I70">
        <v>1</v>
      </c>
      <c r="J70">
        <f t="shared" si="1"/>
        <v>0.21700000000000003</v>
      </c>
      <c r="K70">
        <f>(J70+'Nitrates Standart Curves'!$AC$3)/'Nitrates Standart Curves'!$AB$3</f>
        <v>0.86752637749120753</v>
      </c>
      <c r="L70">
        <v>4.0000000000000001E-3</v>
      </c>
      <c r="M70">
        <f>10/8</f>
        <v>1.25</v>
      </c>
      <c r="N70">
        <f>((((L70-'Phosphate Standart Curve'!$I$75)*M70)+'Phosphate Standart Curve'!$K$75)/'Phosphate Standart Curve'!$J$75)</f>
        <v>2.3991784914115015E-2</v>
      </c>
      <c r="O70">
        <v>9.33</v>
      </c>
    </row>
    <row r="71" spans="1:15" x14ac:dyDescent="0.3">
      <c r="A71" t="s">
        <v>22</v>
      </c>
      <c r="B71" s="3">
        <v>44748</v>
      </c>
      <c r="C71">
        <f t="shared" si="3"/>
        <v>13</v>
      </c>
      <c r="D71" t="s">
        <v>23</v>
      </c>
      <c r="E71" t="s">
        <v>19</v>
      </c>
      <c r="F71" t="s">
        <v>11</v>
      </c>
      <c r="G71">
        <v>0.63900000000000001</v>
      </c>
      <c r="H71">
        <v>1.6E-2</v>
      </c>
      <c r="I71">
        <v>10</v>
      </c>
      <c r="J71">
        <f t="shared" si="1"/>
        <v>6.07</v>
      </c>
      <c r="K71">
        <f>(J71+'Nitrates Standart Curves'!$AC$3)/'Nitrates Standart Curves'!$AB$3</f>
        <v>23.739742086752639</v>
      </c>
      <c r="L71">
        <v>0.34100000000000003</v>
      </c>
      <c r="M71">
        <v>2</v>
      </c>
      <c r="N71">
        <f>((((L71-'Phosphate Standart Curve'!$I$75)*M71)+'Phosphate Standart Curve'!$K$75)/'Phosphate Standart Curve'!$J$75)</f>
        <v>1.2865944734876775</v>
      </c>
      <c r="O71">
        <v>8.08</v>
      </c>
    </row>
    <row r="72" spans="1:15" x14ac:dyDescent="0.3">
      <c r="A72" t="s">
        <v>22</v>
      </c>
      <c r="B72" s="3">
        <v>44748</v>
      </c>
      <c r="C72">
        <f t="shared" si="3"/>
        <v>13</v>
      </c>
      <c r="D72" t="s">
        <v>23</v>
      </c>
      <c r="E72" t="s">
        <v>19</v>
      </c>
      <c r="F72" t="s">
        <v>12</v>
      </c>
      <c r="G72">
        <v>0.60599999999999998</v>
      </c>
      <c r="H72">
        <v>1.2999999999999999E-2</v>
      </c>
      <c r="I72">
        <v>10</v>
      </c>
      <c r="J72">
        <f t="shared" ref="J72:J106" si="4">(G72-(2*H72))*I72</f>
        <v>5.8</v>
      </c>
      <c r="K72">
        <f>(J72+'Nitrates Standart Curves'!$AC$3)/'Nitrates Standart Curves'!$AB$3</f>
        <v>22.684642438452517</v>
      </c>
      <c r="L72">
        <v>0.32700000000000001</v>
      </c>
      <c r="M72">
        <v>2</v>
      </c>
      <c r="N72">
        <f>((((L72-'Phosphate Standart Curve'!$I$75)*M72)+'Phosphate Standart Curve'!$K$75)/'Phosphate Standart Curve'!$J$75)</f>
        <v>1.2343166542195669</v>
      </c>
      <c r="O72">
        <v>7.87</v>
      </c>
    </row>
    <row r="73" spans="1:15" x14ac:dyDescent="0.3">
      <c r="A73" t="s">
        <v>22</v>
      </c>
      <c r="B73" s="3">
        <v>44748</v>
      </c>
      <c r="C73">
        <f t="shared" si="3"/>
        <v>13</v>
      </c>
      <c r="D73" t="s">
        <v>23</v>
      </c>
      <c r="E73" t="s">
        <v>19</v>
      </c>
      <c r="F73" t="s">
        <v>13</v>
      </c>
      <c r="G73">
        <v>0.625</v>
      </c>
      <c r="H73">
        <v>1.2999999999999999E-2</v>
      </c>
      <c r="I73">
        <v>10</v>
      </c>
      <c r="J73">
        <f t="shared" si="4"/>
        <v>5.99</v>
      </c>
      <c r="K73">
        <f>(J73+'Nitrates Standart Curves'!$AC$3)/'Nitrates Standart Curves'!$AB$3</f>
        <v>23.427119968737788</v>
      </c>
      <c r="L73">
        <v>0.30499999999999999</v>
      </c>
      <c r="M73">
        <v>2</v>
      </c>
      <c r="N73">
        <f>((((L73-'Phosphate Standart Curve'!$I$75)*M73)+'Phosphate Standart Curve'!$K$75)/'Phosphate Standart Curve'!$J$75)</f>
        <v>1.1521657953696789</v>
      </c>
      <c r="O73">
        <v>7.74</v>
      </c>
    </row>
    <row r="74" spans="1:15" x14ac:dyDescent="0.3">
      <c r="A74" t="s">
        <v>22</v>
      </c>
      <c r="B74" s="3">
        <v>44748</v>
      </c>
      <c r="C74">
        <f t="shared" si="3"/>
        <v>13</v>
      </c>
      <c r="D74" t="s">
        <v>23</v>
      </c>
      <c r="E74" t="s">
        <v>19</v>
      </c>
      <c r="F74" t="s">
        <v>14</v>
      </c>
      <c r="G74">
        <v>0.56200000000000006</v>
      </c>
      <c r="H74">
        <v>1.4E-2</v>
      </c>
      <c r="I74">
        <v>10</v>
      </c>
      <c r="J74">
        <f t="shared" si="4"/>
        <v>5.34</v>
      </c>
      <c r="K74">
        <f>(J74+'Nitrates Standart Curves'!$AC$3)/'Nitrates Standart Curves'!$AB$3</f>
        <v>20.887065259867132</v>
      </c>
      <c r="L74">
        <v>0.34899999999999998</v>
      </c>
      <c r="M74">
        <v>2</v>
      </c>
      <c r="N74">
        <f>((((L74-'Phosphate Standart Curve'!$I$75)*M74)+'Phosphate Standart Curve'!$K$75)/'Phosphate Standart Curve'!$J$75)</f>
        <v>1.3164675130694548</v>
      </c>
      <c r="O74">
        <v>7.73</v>
      </c>
    </row>
    <row r="75" spans="1:15" x14ac:dyDescent="0.3">
      <c r="A75" t="s">
        <v>22</v>
      </c>
      <c r="B75" s="3">
        <v>44750</v>
      </c>
      <c r="C75">
        <f t="shared" si="3"/>
        <v>15</v>
      </c>
      <c r="D75" t="s">
        <v>23</v>
      </c>
      <c r="E75" t="s">
        <v>17</v>
      </c>
      <c r="F75" t="s">
        <v>11</v>
      </c>
      <c r="G75">
        <v>0.54600000000000004</v>
      </c>
      <c r="H75">
        <v>0.151</v>
      </c>
      <c r="I75">
        <v>1</v>
      </c>
      <c r="J75">
        <f t="shared" si="4"/>
        <v>0.24400000000000005</v>
      </c>
      <c r="K75">
        <f>(J75+'Nitrates Standart Curves'!$AC$3)/'Nitrates Standart Curves'!$AB$3</f>
        <v>0.97303634232121938</v>
      </c>
      <c r="L75">
        <v>8.0000000000000002E-3</v>
      </c>
      <c r="M75">
        <f>10/7</f>
        <v>1.4285714285714286</v>
      </c>
      <c r="N75">
        <f>((((L75-'Phosphate Standart Curve'!$I$93)*M75)+'Phosphate Standart Curve'!$K$93)/'Phosphate Standart Curve'!$J$93)</f>
        <v>2.2990586531498911E-2</v>
      </c>
      <c r="O75">
        <v>9.4499999999999993</v>
      </c>
    </row>
    <row r="76" spans="1:15" x14ac:dyDescent="0.3">
      <c r="A76" t="s">
        <v>22</v>
      </c>
      <c r="B76" s="3">
        <v>44750</v>
      </c>
      <c r="C76">
        <f t="shared" si="3"/>
        <v>15</v>
      </c>
      <c r="D76" t="s">
        <v>23</v>
      </c>
      <c r="E76" t="s">
        <v>17</v>
      </c>
      <c r="F76" t="s">
        <v>12</v>
      </c>
      <c r="G76">
        <v>0.56000000000000005</v>
      </c>
      <c r="H76">
        <v>0.183</v>
      </c>
      <c r="I76">
        <v>1</v>
      </c>
      <c r="J76">
        <f t="shared" si="4"/>
        <v>0.19400000000000006</v>
      </c>
      <c r="K76">
        <f>(J76+'Nitrates Standart Curves'!$AC$3)/'Nitrates Standart Curves'!$AB$3</f>
        <v>0.77764751856193848</v>
      </c>
      <c r="L76">
        <v>8.0000000000000002E-3</v>
      </c>
      <c r="M76">
        <f>10/7</f>
        <v>1.4285714285714286</v>
      </c>
      <c r="N76">
        <f>((((L76-'Phosphate Standart Curve'!$I$93)*M76)+'Phosphate Standart Curve'!$K$93)/'Phosphate Standart Curve'!$J$93)</f>
        <v>2.2990586531498911E-2</v>
      </c>
      <c r="O76">
        <v>9.23</v>
      </c>
    </row>
    <row r="77" spans="1:15" x14ac:dyDescent="0.3">
      <c r="A77" t="s">
        <v>22</v>
      </c>
      <c r="B77" s="3">
        <v>44750</v>
      </c>
      <c r="C77">
        <f t="shared" si="3"/>
        <v>15</v>
      </c>
      <c r="D77" t="s">
        <v>23</v>
      </c>
      <c r="E77" t="s">
        <v>17</v>
      </c>
      <c r="F77" t="s">
        <v>13</v>
      </c>
      <c r="G77">
        <v>0.57199999999999995</v>
      </c>
      <c r="H77">
        <v>0.17699999999999999</v>
      </c>
      <c r="I77">
        <v>1</v>
      </c>
      <c r="J77">
        <f t="shared" si="4"/>
        <v>0.21799999999999997</v>
      </c>
      <c r="K77">
        <f>(J77+'Nitrates Standart Curves'!$AC$3)/'Nitrates Standart Curves'!$AB$3</f>
        <v>0.87143415396639301</v>
      </c>
      <c r="L77">
        <v>6.0000000000000001E-3</v>
      </c>
      <c r="M77">
        <f>10/7</f>
        <v>1.4285714285714286</v>
      </c>
      <c r="N77">
        <f>((((L77-'Phosphate Standart Curve'!$I$93)*M77)+'Phosphate Standart Curve'!$K$93)/'Phosphate Standart Curve'!$J$93)</f>
        <v>1.7818351091341677E-2</v>
      </c>
      <c r="O77">
        <v>9.23</v>
      </c>
    </row>
    <row r="78" spans="1:15" x14ac:dyDescent="0.3">
      <c r="A78" t="s">
        <v>22</v>
      </c>
      <c r="B78" s="3">
        <v>44750</v>
      </c>
      <c r="C78">
        <f t="shared" si="3"/>
        <v>15</v>
      </c>
      <c r="D78" t="s">
        <v>23</v>
      </c>
      <c r="E78" t="s">
        <v>17</v>
      </c>
      <c r="F78" t="s">
        <v>14</v>
      </c>
      <c r="G78">
        <v>0.61299999999999999</v>
      </c>
      <c r="H78">
        <v>0.20699999999999999</v>
      </c>
      <c r="I78">
        <v>1</v>
      </c>
      <c r="J78">
        <f t="shared" si="4"/>
        <v>0.19900000000000001</v>
      </c>
      <c r="K78">
        <f>(J78+'Nitrates Standart Curves'!$AC$3)/'Nitrates Standart Curves'!$AB$3</f>
        <v>0.79718640093786641</v>
      </c>
      <c r="L78">
        <v>7.0000000000000001E-3</v>
      </c>
      <c r="M78">
        <f>11/6</f>
        <v>1.8333333333333333</v>
      </c>
      <c r="N78">
        <f>((((L78-'Phosphate Standart Curve'!$I$93)*M78)+'Phosphate Standart Curve'!$K$93)/'Phosphate Standart Curve'!$J$93)</f>
        <v>2.4800868935553947E-2</v>
      </c>
      <c r="O78">
        <v>9.08</v>
      </c>
    </row>
    <row r="79" spans="1:15" x14ac:dyDescent="0.3">
      <c r="A79" t="s">
        <v>22</v>
      </c>
      <c r="B79" s="3">
        <v>44750</v>
      </c>
      <c r="C79">
        <f t="shared" si="3"/>
        <v>15</v>
      </c>
      <c r="D79" t="s">
        <v>23</v>
      </c>
      <c r="E79" t="s">
        <v>91</v>
      </c>
      <c r="F79" t="s">
        <v>11</v>
      </c>
      <c r="G79">
        <v>0.33</v>
      </c>
      <c r="H79">
        <v>9.7000000000000003E-2</v>
      </c>
      <c r="I79">
        <v>1</v>
      </c>
      <c r="J79">
        <f t="shared" si="4"/>
        <v>0.13600000000000001</v>
      </c>
      <c r="K79">
        <f>(J79+'Nitrates Standart Curves'!$AC$3)/'Nitrates Standart Curves'!$AB$3</f>
        <v>0.55099648300117232</v>
      </c>
      <c r="L79">
        <v>6.0000000000000001E-3</v>
      </c>
      <c r="M79">
        <f t="shared" ref="M79:M84" si="5">10/8</f>
        <v>1.25</v>
      </c>
      <c r="N79">
        <f>((((L79-'Phosphate Standart Curve'!$I$93)*M79)+'Phosphate Standart Curve'!$K$93)/'Phosphate Standart Curve'!$J$93)</f>
        <v>1.6202027516292541E-2</v>
      </c>
      <c r="O79">
        <v>9.07</v>
      </c>
    </row>
    <row r="80" spans="1:15" x14ac:dyDescent="0.3">
      <c r="A80" t="s">
        <v>22</v>
      </c>
      <c r="B80" s="3">
        <v>44750</v>
      </c>
      <c r="C80">
        <f t="shared" si="3"/>
        <v>15</v>
      </c>
      <c r="D80" t="s">
        <v>23</v>
      </c>
      <c r="E80" t="s">
        <v>91</v>
      </c>
      <c r="F80" t="s">
        <v>12</v>
      </c>
      <c r="G80">
        <v>0.41899999999999998</v>
      </c>
      <c r="H80">
        <v>0.129</v>
      </c>
      <c r="I80">
        <v>1</v>
      </c>
      <c r="J80">
        <f t="shared" si="4"/>
        <v>0.16099999999999998</v>
      </c>
      <c r="K80">
        <f>(J80+'Nitrates Standart Curves'!$AC$3)/'Nitrates Standart Curves'!$AB$3</f>
        <v>0.64869089488081266</v>
      </c>
      <c r="L80">
        <v>6.0000000000000001E-3</v>
      </c>
      <c r="M80">
        <f t="shared" si="5"/>
        <v>1.25</v>
      </c>
      <c r="N80">
        <f>((((L80-'Phosphate Standart Curve'!$I$93)*M80)+'Phosphate Standart Curve'!$K$93)/'Phosphate Standart Curve'!$J$93)</f>
        <v>1.6202027516292541E-2</v>
      </c>
      <c r="O80">
        <v>9.17</v>
      </c>
    </row>
    <row r="81" spans="1:15" x14ac:dyDescent="0.3">
      <c r="A81" t="s">
        <v>22</v>
      </c>
      <c r="B81" s="3">
        <v>44750</v>
      </c>
      <c r="C81">
        <f t="shared" si="3"/>
        <v>15</v>
      </c>
      <c r="D81" t="s">
        <v>23</v>
      </c>
      <c r="E81" t="s">
        <v>91</v>
      </c>
      <c r="F81" t="s">
        <v>13</v>
      </c>
      <c r="G81">
        <v>0.35899999999999999</v>
      </c>
      <c r="H81">
        <v>0.10299999999999999</v>
      </c>
      <c r="I81">
        <v>1</v>
      </c>
      <c r="J81">
        <f t="shared" si="4"/>
        <v>0.153</v>
      </c>
      <c r="K81">
        <f>(J81+'Nitrates Standart Curves'!$AC$3)/'Nitrates Standart Curves'!$AB$3</f>
        <v>0.61742868307932786</v>
      </c>
      <c r="L81">
        <v>6.0000000000000001E-3</v>
      </c>
      <c r="M81">
        <f t="shared" si="5"/>
        <v>1.25</v>
      </c>
      <c r="N81">
        <f>((((L81-'Phosphate Standart Curve'!$I$93)*M81)+'Phosphate Standart Curve'!$K$93)/'Phosphate Standart Curve'!$J$93)</f>
        <v>1.6202027516292541E-2</v>
      </c>
      <c r="O81">
        <v>9.14</v>
      </c>
    </row>
    <row r="82" spans="1:15" x14ac:dyDescent="0.3">
      <c r="A82" t="s">
        <v>22</v>
      </c>
      <c r="B82" s="3">
        <v>44750</v>
      </c>
      <c r="C82">
        <f t="shared" si="3"/>
        <v>15</v>
      </c>
      <c r="D82" t="s">
        <v>23</v>
      </c>
      <c r="E82" t="s">
        <v>91</v>
      </c>
      <c r="F82" t="s">
        <v>14</v>
      </c>
      <c r="G82">
        <v>0.71899999999999997</v>
      </c>
      <c r="H82">
        <v>0.189</v>
      </c>
      <c r="I82">
        <v>1</v>
      </c>
      <c r="J82">
        <f t="shared" si="4"/>
        <v>0.34099999999999997</v>
      </c>
      <c r="K82">
        <f>(J82+'Nitrates Standart Curves'!$AC$3)/'Nitrates Standart Curves'!$AB$3</f>
        <v>1.3520906604142242</v>
      </c>
      <c r="L82">
        <v>6.0000000000000001E-3</v>
      </c>
      <c r="M82">
        <f t="shared" si="5"/>
        <v>1.25</v>
      </c>
      <c r="N82">
        <f>((((L82-'Phosphate Standart Curve'!$I$93)*M82)+'Phosphate Standart Curve'!$K$93)/'Phosphate Standart Curve'!$J$93)</f>
        <v>1.6202027516292541E-2</v>
      </c>
      <c r="O82">
        <v>9.2100000000000009</v>
      </c>
    </row>
    <row r="83" spans="1:15" x14ac:dyDescent="0.3">
      <c r="A83" t="s">
        <v>22</v>
      </c>
      <c r="B83" s="3">
        <v>44750</v>
      </c>
      <c r="C83">
        <f t="shared" si="3"/>
        <v>15</v>
      </c>
      <c r="D83" t="s">
        <v>23</v>
      </c>
      <c r="E83" t="s">
        <v>18</v>
      </c>
      <c r="F83" t="s">
        <v>11</v>
      </c>
      <c r="G83">
        <v>0.44400000000000001</v>
      </c>
      <c r="H83">
        <v>0.11600000000000001</v>
      </c>
      <c r="I83">
        <v>1</v>
      </c>
      <c r="J83">
        <f t="shared" si="4"/>
        <v>0.21199999999999999</v>
      </c>
      <c r="K83">
        <f>(J83+'Nitrates Standart Curves'!$AC$3)/'Nitrates Standart Curves'!$AB$3</f>
        <v>0.84798749511527938</v>
      </c>
      <c r="L83">
        <v>6.0000000000000001E-3</v>
      </c>
      <c r="M83">
        <f t="shared" si="5"/>
        <v>1.25</v>
      </c>
      <c r="N83">
        <f>((((L83-'Phosphate Standart Curve'!$I$93)*M83)+'Phosphate Standart Curve'!$K$93)/'Phosphate Standart Curve'!$J$93)</f>
        <v>1.6202027516292541E-2</v>
      </c>
      <c r="O83">
        <v>9.08</v>
      </c>
    </row>
    <row r="84" spans="1:15" x14ac:dyDescent="0.3">
      <c r="A84" t="s">
        <v>22</v>
      </c>
      <c r="B84" s="3">
        <v>44750</v>
      </c>
      <c r="C84">
        <f t="shared" si="3"/>
        <v>15</v>
      </c>
      <c r="D84" t="s">
        <v>23</v>
      </c>
      <c r="E84" t="s">
        <v>18</v>
      </c>
      <c r="F84" t="s">
        <v>12</v>
      </c>
      <c r="G84">
        <v>0.36199999999999999</v>
      </c>
      <c r="H84">
        <v>9.0999999999999998E-2</v>
      </c>
      <c r="I84">
        <v>1</v>
      </c>
      <c r="J84">
        <f t="shared" si="4"/>
        <v>0.18</v>
      </c>
      <c r="K84">
        <f>(J84+'Nitrates Standart Curves'!$AC$3)/'Nitrates Standart Curves'!$AB$3</f>
        <v>0.72293864790933948</v>
      </c>
      <c r="L84">
        <v>6.0000000000000001E-3</v>
      </c>
      <c r="M84">
        <f t="shared" si="5"/>
        <v>1.25</v>
      </c>
      <c r="N84">
        <f>((((L84-'Phosphate Standart Curve'!$I$93)*M84)+'Phosphate Standart Curve'!$K$93)/'Phosphate Standart Curve'!$J$93)</f>
        <v>1.6202027516292541E-2</v>
      </c>
      <c r="O84">
        <v>9.33</v>
      </c>
    </row>
    <row r="85" spans="1:15" x14ac:dyDescent="0.3">
      <c r="A85" t="s">
        <v>22</v>
      </c>
      <c r="B85" s="3">
        <v>44750</v>
      </c>
      <c r="C85">
        <f t="shared" si="3"/>
        <v>15</v>
      </c>
      <c r="D85" t="s">
        <v>23</v>
      </c>
      <c r="E85" t="s">
        <v>18</v>
      </c>
      <c r="F85" t="s">
        <v>13</v>
      </c>
      <c r="G85">
        <v>0.28999999999999998</v>
      </c>
      <c r="H85">
        <v>7.0999999999999994E-2</v>
      </c>
      <c r="I85">
        <v>1</v>
      </c>
      <c r="J85">
        <f t="shared" si="4"/>
        <v>0.14799999999999999</v>
      </c>
      <c r="K85">
        <f>(J85+'Nitrates Standart Curves'!$AC$3)/'Nitrates Standart Curves'!$AB$3</f>
        <v>0.5978898007033997</v>
      </c>
      <c r="L85">
        <v>5.0000000000000001E-3</v>
      </c>
      <c r="M85">
        <f>10/9</f>
        <v>1.1111111111111112</v>
      </c>
      <c r="N85">
        <f>((((L85-'Phosphate Standart Curve'!$I$93)*M85)+'Phosphate Standart Curve'!$K$93)/'Phosphate Standart Curve'!$J$93)</f>
        <v>1.2933462064526511E-2</v>
      </c>
      <c r="O85">
        <v>9.32</v>
      </c>
    </row>
    <row r="86" spans="1:15" x14ac:dyDescent="0.3">
      <c r="A86" t="s">
        <v>22</v>
      </c>
      <c r="B86" s="3">
        <v>44750</v>
      </c>
      <c r="C86">
        <f t="shared" si="3"/>
        <v>15</v>
      </c>
      <c r="D86" t="s">
        <v>23</v>
      </c>
      <c r="E86" t="s">
        <v>18</v>
      </c>
      <c r="F86" t="s">
        <v>14</v>
      </c>
      <c r="G86">
        <v>0.48499999999999999</v>
      </c>
      <c r="H86">
        <v>0.13800000000000001</v>
      </c>
      <c r="I86">
        <v>1</v>
      </c>
      <c r="J86">
        <f t="shared" si="4"/>
        <v>0.20899999999999996</v>
      </c>
      <c r="K86">
        <f>(J86+'Nitrates Standart Curves'!$AC$3)/'Nitrates Standart Curves'!$AB$3</f>
        <v>0.83626416568972239</v>
      </c>
      <c r="L86">
        <v>6.0000000000000001E-3</v>
      </c>
      <c r="M86" s="36">
        <f>10/9</f>
        <v>1.1111111111111112</v>
      </c>
      <c r="N86">
        <f>((((L86-'Phosphate Standart Curve'!$I$93)*M86)+'Phosphate Standart Curve'!$K$93)/'Phosphate Standart Curve'!$J$93)</f>
        <v>1.4944886957920992E-2</v>
      </c>
      <c r="O86">
        <v>9.19</v>
      </c>
    </row>
    <row r="87" spans="1:15" x14ac:dyDescent="0.3">
      <c r="A87" t="s">
        <v>22</v>
      </c>
      <c r="B87" s="3">
        <v>44750</v>
      </c>
      <c r="C87">
        <f t="shared" si="3"/>
        <v>15</v>
      </c>
      <c r="D87" t="s">
        <v>23</v>
      </c>
      <c r="E87" t="s">
        <v>19</v>
      </c>
      <c r="F87" t="s">
        <v>11</v>
      </c>
      <c r="G87">
        <v>0.57899999999999996</v>
      </c>
      <c r="H87">
        <v>1.7000000000000001E-2</v>
      </c>
      <c r="I87">
        <v>10</v>
      </c>
      <c r="J87">
        <f t="shared" si="4"/>
        <v>5.4499999999999993</v>
      </c>
      <c r="K87">
        <f>(J87+'Nitrates Standart Curves'!$AC$3)/'Nitrates Standart Curves'!$AB$3</f>
        <v>21.316920672137549</v>
      </c>
      <c r="L87">
        <v>0.32200000000000001</v>
      </c>
      <c r="M87">
        <v>2</v>
      </c>
      <c r="N87">
        <f>((((L87-'Phosphate Standart Curve'!$I$93)*M87)+'Phosphate Standart Curve'!$K$93)/'Phosphate Standart Curve'!$J$93)</f>
        <v>1.1670890658942796</v>
      </c>
      <c r="O87">
        <v>7.93</v>
      </c>
    </row>
    <row r="88" spans="1:15" x14ac:dyDescent="0.3">
      <c r="A88" t="s">
        <v>22</v>
      </c>
      <c r="B88" s="3">
        <v>44750</v>
      </c>
      <c r="C88">
        <f t="shared" si="3"/>
        <v>15</v>
      </c>
      <c r="D88" t="s">
        <v>23</v>
      </c>
      <c r="E88" t="s">
        <v>19</v>
      </c>
      <c r="F88" t="s">
        <v>12</v>
      </c>
      <c r="G88">
        <v>0.58199999999999996</v>
      </c>
      <c r="H88">
        <v>1.4999999999999999E-2</v>
      </c>
      <c r="I88">
        <v>10</v>
      </c>
      <c r="J88">
        <f t="shared" si="4"/>
        <v>5.52</v>
      </c>
      <c r="K88">
        <f>(J88+'Nitrates Standart Curves'!$AC$3)/'Nitrates Standart Curves'!$AB$3</f>
        <v>21.590465025400544</v>
      </c>
      <c r="L88">
        <v>0.318</v>
      </c>
      <c r="M88">
        <v>2</v>
      </c>
      <c r="N88">
        <f>((((L88-'Phosphate Standart Curve'!$I$93)*M88)+'Phosphate Standart Curve'!$K$93)/'Phosphate Standart Curve'!$J$93)</f>
        <v>1.1526068066618393</v>
      </c>
      <c r="O88">
        <v>7.73</v>
      </c>
    </row>
    <row r="89" spans="1:15" x14ac:dyDescent="0.3">
      <c r="A89" t="s">
        <v>22</v>
      </c>
      <c r="B89" s="3">
        <v>44750</v>
      </c>
      <c r="C89">
        <f t="shared" si="3"/>
        <v>15</v>
      </c>
      <c r="D89" t="s">
        <v>23</v>
      </c>
      <c r="E89" t="s">
        <v>19</v>
      </c>
      <c r="F89" t="s">
        <v>13</v>
      </c>
      <c r="G89">
        <v>0.59499999999999997</v>
      </c>
      <c r="H89">
        <v>1.4E-2</v>
      </c>
      <c r="I89">
        <v>10</v>
      </c>
      <c r="J89">
        <f t="shared" si="4"/>
        <v>5.67</v>
      </c>
      <c r="K89">
        <f>(J89+'Nitrates Standart Curves'!$AC$3)/'Nitrates Standart Curves'!$AB$3</f>
        <v>22.17663149667839</v>
      </c>
      <c r="L89">
        <v>0.27200000000000002</v>
      </c>
      <c r="M89">
        <v>2</v>
      </c>
      <c r="N89">
        <f>((((L89-'Phosphate Standart Curve'!$I$93)*M89)+'Phosphate Standart Curve'!$K$93)/'Phosphate Standart Curve'!$J$93)</f>
        <v>0.98606082548877638</v>
      </c>
      <c r="O89">
        <v>7.72</v>
      </c>
    </row>
    <row r="90" spans="1:15" x14ac:dyDescent="0.3">
      <c r="A90" t="s">
        <v>22</v>
      </c>
      <c r="B90" s="3">
        <v>44750</v>
      </c>
      <c r="C90">
        <f t="shared" si="3"/>
        <v>15</v>
      </c>
      <c r="D90" t="s">
        <v>23</v>
      </c>
      <c r="E90" t="s">
        <v>19</v>
      </c>
      <c r="F90" t="s">
        <v>14</v>
      </c>
      <c r="G90">
        <v>0.59899999999999998</v>
      </c>
      <c r="H90">
        <v>1.6E-2</v>
      </c>
      <c r="I90">
        <v>10</v>
      </c>
      <c r="J90">
        <f t="shared" si="4"/>
        <v>5.67</v>
      </c>
      <c r="K90">
        <f>(J90+'Nitrates Standart Curves'!$AC$3)/'Nitrates Standart Curves'!$AB$3</f>
        <v>22.17663149667839</v>
      </c>
      <c r="L90">
        <v>0.34300000000000003</v>
      </c>
      <c r="M90">
        <v>2</v>
      </c>
      <c r="N90">
        <f>((((L90-'Phosphate Standart Curve'!$I$93)*M90)+'Phosphate Standart Curve'!$K$93)/'Phosphate Standart Curve'!$J$93)</f>
        <v>1.2431209268645911</v>
      </c>
      <c r="O90">
        <v>7.71</v>
      </c>
    </row>
    <row r="91" spans="1:15" x14ac:dyDescent="0.3">
      <c r="A91" t="s">
        <v>22</v>
      </c>
      <c r="B91" s="3">
        <v>44753</v>
      </c>
      <c r="C91">
        <f t="shared" si="3"/>
        <v>18</v>
      </c>
      <c r="D91" t="s">
        <v>23</v>
      </c>
      <c r="E91" t="s">
        <v>17</v>
      </c>
      <c r="F91" t="s">
        <v>11</v>
      </c>
      <c r="G91">
        <v>0.64100000000000001</v>
      </c>
      <c r="H91">
        <v>0.20499999999999999</v>
      </c>
      <c r="I91">
        <v>1</v>
      </c>
      <c r="J91">
        <f t="shared" si="4"/>
        <v>0.23100000000000004</v>
      </c>
      <c r="K91">
        <f>(J91+'Nitrates Standart Curves'!$AC$3)/'Nitrates Standart Curves'!$AB$3</f>
        <v>0.92223524814380631</v>
      </c>
      <c r="L91">
        <v>4.0000000000000001E-3</v>
      </c>
      <c r="M91">
        <f>10/6</f>
        <v>1.6666666666666667</v>
      </c>
      <c r="N91">
        <f>((((L91-'Phosphate Standart Curve'!$I$111)*M91)+'Phosphate Standart Curve'!$K$111)/'Phosphate Standart Curve'!$J$111)</f>
        <v>1.7564028868876539E-2</v>
      </c>
      <c r="O91">
        <v>9.24</v>
      </c>
    </row>
    <row r="92" spans="1:15" x14ac:dyDescent="0.3">
      <c r="A92" t="s">
        <v>22</v>
      </c>
      <c r="B92" s="3">
        <v>44753</v>
      </c>
      <c r="C92">
        <f t="shared" si="3"/>
        <v>18</v>
      </c>
      <c r="D92" t="s">
        <v>23</v>
      </c>
      <c r="E92" t="s">
        <v>17</v>
      </c>
      <c r="F92" t="s">
        <v>12</v>
      </c>
      <c r="G92">
        <v>0.438</v>
      </c>
      <c r="H92">
        <v>0.14899999999999999</v>
      </c>
      <c r="I92">
        <v>1</v>
      </c>
      <c r="J92">
        <f t="shared" si="4"/>
        <v>0.14000000000000001</v>
      </c>
      <c r="K92">
        <f>(J92+'Nitrates Standart Curves'!$AC$3)/'Nitrates Standart Curves'!$AB$3</f>
        <v>0.56662758890191489</v>
      </c>
      <c r="L92">
        <v>4.0000000000000001E-3</v>
      </c>
      <c r="M92">
        <f>10/7</f>
        <v>1.4285714285714286</v>
      </c>
      <c r="N92">
        <f>((((L92-'Phosphate Standart Curve'!$I$111)*M92)+'Phosphate Standart Curve'!$K$111)/'Phosphate Standart Curve'!$J$111)</f>
        <v>1.5739194700681573E-2</v>
      </c>
      <c r="O92">
        <v>9.34</v>
      </c>
    </row>
    <row r="93" spans="1:15" x14ac:dyDescent="0.3">
      <c r="A93" t="s">
        <v>22</v>
      </c>
      <c r="B93" s="3">
        <v>44753</v>
      </c>
      <c r="C93">
        <f t="shared" si="3"/>
        <v>18</v>
      </c>
      <c r="D93" t="s">
        <v>23</v>
      </c>
      <c r="E93" t="s">
        <v>17</v>
      </c>
      <c r="F93" t="s">
        <v>13</v>
      </c>
      <c r="G93">
        <v>0.46</v>
      </c>
      <c r="H93">
        <v>0.15</v>
      </c>
      <c r="I93">
        <v>1</v>
      </c>
      <c r="J93">
        <f t="shared" si="4"/>
        <v>0.16000000000000003</v>
      </c>
      <c r="K93">
        <f>(J93+'Nitrates Standart Curves'!$AC$3)/'Nitrates Standart Curves'!$AB$3</f>
        <v>0.6447831184056273</v>
      </c>
      <c r="L93">
        <v>4.0000000000000001E-3</v>
      </c>
      <c r="M93">
        <f>10/7</f>
        <v>1.4285714285714286</v>
      </c>
      <c r="N93">
        <f>((((L93-'Phosphate Standart Curve'!$I$111)*M93)+'Phosphate Standart Curve'!$K$111)/'Phosphate Standart Curve'!$J$111)</f>
        <v>1.5739194700681573E-2</v>
      </c>
      <c r="O93">
        <v>9.25</v>
      </c>
    </row>
    <row r="94" spans="1:15" x14ac:dyDescent="0.3">
      <c r="A94" t="s">
        <v>22</v>
      </c>
      <c r="B94" s="3">
        <v>44753</v>
      </c>
      <c r="C94">
        <f t="shared" si="3"/>
        <v>18</v>
      </c>
      <c r="D94" t="s">
        <v>23</v>
      </c>
      <c r="E94" t="s">
        <v>17</v>
      </c>
      <c r="F94" t="s">
        <v>14</v>
      </c>
      <c r="G94">
        <v>0.50700000000000001</v>
      </c>
      <c r="H94">
        <v>0.158</v>
      </c>
      <c r="I94">
        <v>1</v>
      </c>
      <c r="J94">
        <f t="shared" si="4"/>
        <v>0.191</v>
      </c>
      <c r="K94">
        <f>(J94+'Nitrates Standart Curves'!$AC$3)/'Nitrates Standart Curves'!$AB$3</f>
        <v>0.76592418913638138</v>
      </c>
      <c r="L94">
        <v>3.0000000000000001E-3</v>
      </c>
      <c r="M94">
        <f>10/6</f>
        <v>1.6666666666666667</v>
      </c>
      <c r="N94">
        <f>((((L94-'Phosphate Standart Curve'!$I$111)*M94)+'Phosphate Standart Curve'!$K$111)/'Phosphate Standart Curve'!$J$111)</f>
        <v>1.437056907453535E-2</v>
      </c>
      <c r="O94">
        <v>9.4499999999999993</v>
      </c>
    </row>
    <row r="95" spans="1:15" x14ac:dyDescent="0.3">
      <c r="A95" t="s">
        <v>22</v>
      </c>
      <c r="B95" s="3">
        <v>44753</v>
      </c>
      <c r="C95">
        <f t="shared" si="3"/>
        <v>18</v>
      </c>
      <c r="D95" t="s">
        <v>23</v>
      </c>
      <c r="E95" t="s">
        <v>91</v>
      </c>
      <c r="F95" t="s">
        <v>11</v>
      </c>
      <c r="G95">
        <v>0.499</v>
      </c>
      <c r="H95">
        <v>0.16300000000000001</v>
      </c>
      <c r="I95">
        <v>1</v>
      </c>
      <c r="J95">
        <f t="shared" si="4"/>
        <v>0.17299999999999999</v>
      </c>
      <c r="K95">
        <f>(J95+'Nitrates Standart Curves'!$AC$3)/'Nitrates Standart Curves'!$AB$3</f>
        <v>0.69558421258304015</v>
      </c>
      <c r="L95">
        <v>5.0000000000000001E-3</v>
      </c>
      <c r="M95">
        <f>10/7</f>
        <v>1.4285714285714286</v>
      </c>
      <c r="N95">
        <f>((((L95-'Phosphate Standart Curve'!$I$111)*M95)+'Phosphate Standart Curve'!$K$111)/'Phosphate Standart Curve'!$J$111)</f>
        <v>1.8476445952974024E-2</v>
      </c>
      <c r="O95">
        <v>9.31</v>
      </c>
    </row>
    <row r="96" spans="1:15" x14ac:dyDescent="0.3">
      <c r="A96" t="s">
        <v>22</v>
      </c>
      <c r="B96" s="3">
        <v>44753</v>
      </c>
      <c r="C96">
        <f t="shared" si="3"/>
        <v>18</v>
      </c>
      <c r="D96" t="s">
        <v>23</v>
      </c>
      <c r="E96" t="s">
        <v>91</v>
      </c>
      <c r="F96" t="s">
        <v>12</v>
      </c>
      <c r="G96">
        <v>0.628</v>
      </c>
      <c r="H96">
        <v>0.216</v>
      </c>
      <c r="I96">
        <v>1</v>
      </c>
      <c r="J96">
        <f t="shared" si="4"/>
        <v>0.19600000000000001</v>
      </c>
      <c r="K96">
        <f>(J96+'Nitrates Standart Curves'!$AC$3)/'Nitrates Standart Curves'!$AB$3</f>
        <v>0.78546307151230954</v>
      </c>
      <c r="L96">
        <v>4.0000000000000001E-3</v>
      </c>
      <c r="M96">
        <f>10/8</f>
        <v>1.25</v>
      </c>
      <c r="N96">
        <f>((((L96-'Phosphate Standart Curve'!$I$111)*M96)+'Phosphate Standart Curve'!$K$111)/'Phosphate Standart Curve'!$J$111)</f>
        <v>1.437056907453535E-2</v>
      </c>
      <c r="O96">
        <v>9.35</v>
      </c>
    </row>
    <row r="97" spans="1:15" x14ac:dyDescent="0.3">
      <c r="A97" t="s">
        <v>22</v>
      </c>
      <c r="B97" s="3">
        <v>44753</v>
      </c>
      <c r="C97">
        <f t="shared" si="3"/>
        <v>18</v>
      </c>
      <c r="D97" t="s">
        <v>23</v>
      </c>
      <c r="E97" t="s">
        <v>91</v>
      </c>
      <c r="F97" t="s">
        <v>13</v>
      </c>
      <c r="G97">
        <v>0.64500000000000002</v>
      </c>
      <c r="H97">
        <v>0.19600000000000001</v>
      </c>
      <c r="I97">
        <v>1</v>
      </c>
      <c r="J97">
        <f t="shared" si="4"/>
        <v>0.253</v>
      </c>
      <c r="K97">
        <f>(J97+'Nitrates Standart Curves'!$AC$3)/'Nitrates Standart Curves'!$AB$3</f>
        <v>1.0082063305978897</v>
      </c>
      <c r="L97">
        <v>3.0000000000000001E-3</v>
      </c>
      <c r="M97">
        <f>10/7</f>
        <v>1.4285714285714286</v>
      </c>
      <c r="N97">
        <f>((((L97-'Phosphate Standart Curve'!$I$111)*M97)+'Phosphate Standart Curve'!$K$111)/'Phosphate Standart Curve'!$J$111)</f>
        <v>1.3001943448389126E-2</v>
      </c>
      <c r="O97">
        <v>9.35</v>
      </c>
    </row>
    <row r="98" spans="1:15" x14ac:dyDescent="0.3">
      <c r="A98" t="s">
        <v>22</v>
      </c>
      <c r="B98" s="3">
        <v>44753</v>
      </c>
      <c r="C98">
        <f t="shared" si="3"/>
        <v>18</v>
      </c>
      <c r="D98" t="s">
        <v>23</v>
      </c>
      <c r="E98" t="s">
        <v>91</v>
      </c>
      <c r="F98" t="s">
        <v>14</v>
      </c>
      <c r="G98">
        <v>0.43099999999999999</v>
      </c>
      <c r="H98">
        <v>0.157</v>
      </c>
      <c r="I98">
        <v>1</v>
      </c>
      <c r="J98">
        <f t="shared" si="4"/>
        <v>0.11699999999999999</v>
      </c>
      <c r="K98">
        <f>(J98+'Nitrates Standart Curves'!$AC$3)/'Nitrates Standart Curves'!$AB$3</f>
        <v>0.4767487299726455</v>
      </c>
      <c r="L98">
        <v>4.0000000000000001E-3</v>
      </c>
      <c r="M98">
        <f>10/8</f>
        <v>1.25</v>
      </c>
      <c r="N98">
        <f>((((L98-'Phosphate Standart Curve'!$I$111)*M98)+'Phosphate Standart Curve'!$K$111)/'Phosphate Standart Curve'!$J$111)</f>
        <v>1.437056907453535E-2</v>
      </c>
      <c r="O98">
        <v>9.5</v>
      </c>
    </row>
    <row r="99" spans="1:15" x14ac:dyDescent="0.3">
      <c r="A99" t="s">
        <v>22</v>
      </c>
      <c r="B99" s="3">
        <v>44753</v>
      </c>
      <c r="C99">
        <f t="shared" si="3"/>
        <v>18</v>
      </c>
      <c r="D99" t="s">
        <v>23</v>
      </c>
      <c r="E99" t="s">
        <v>18</v>
      </c>
      <c r="F99" t="s">
        <v>11</v>
      </c>
      <c r="G99">
        <v>0.47799999999999998</v>
      </c>
      <c r="H99">
        <v>0.14599999999999999</v>
      </c>
      <c r="I99">
        <v>1</v>
      </c>
      <c r="J99">
        <f t="shared" si="4"/>
        <v>0.186</v>
      </c>
      <c r="K99">
        <f>(J99+'Nitrates Standart Curves'!$AC$3)/'Nitrates Standart Curves'!$AB$3</f>
        <v>0.74638530676045323</v>
      </c>
      <c r="L99">
        <v>3.0000000000000001E-3</v>
      </c>
      <c r="M99">
        <f>10/8</f>
        <v>1.25</v>
      </c>
      <c r="N99">
        <f>((((L99-'Phosphate Standart Curve'!$I$111)*M99)+'Phosphate Standart Curve'!$K$111)/'Phosphate Standart Curve'!$J$111)</f>
        <v>1.197547422877946E-2</v>
      </c>
      <c r="O99">
        <v>9.3800000000000008</v>
      </c>
    </row>
    <row r="100" spans="1:15" x14ac:dyDescent="0.3">
      <c r="A100" t="s">
        <v>22</v>
      </c>
      <c r="B100" s="3">
        <v>44753</v>
      </c>
      <c r="C100">
        <f t="shared" si="3"/>
        <v>18</v>
      </c>
      <c r="D100" t="s">
        <v>23</v>
      </c>
      <c r="E100" t="s">
        <v>18</v>
      </c>
      <c r="F100" t="s">
        <v>12</v>
      </c>
      <c r="G100">
        <v>0.52100000000000002</v>
      </c>
      <c r="H100">
        <v>0.14099999999999999</v>
      </c>
      <c r="I100">
        <v>1</v>
      </c>
      <c r="J100">
        <f t="shared" si="4"/>
        <v>0.23900000000000005</v>
      </c>
      <c r="K100">
        <f>(J100+'Nitrates Standart Curves'!$AC$3)/'Nitrates Standart Curves'!$AB$3</f>
        <v>0.95349745994529123</v>
      </c>
      <c r="L100">
        <v>4.0000000000000001E-3</v>
      </c>
      <c r="M100">
        <f>10/8</f>
        <v>1.25</v>
      </c>
      <c r="N100">
        <f>((((L100-'Phosphate Standart Curve'!$I$111)*M100)+'Phosphate Standart Curve'!$K$111)/'Phosphate Standart Curve'!$J$111)</f>
        <v>1.437056907453535E-2</v>
      </c>
      <c r="O100">
        <v>9.3800000000000008</v>
      </c>
    </row>
    <row r="101" spans="1:15" x14ac:dyDescent="0.3">
      <c r="A101" t="s">
        <v>22</v>
      </c>
      <c r="B101" s="3">
        <v>44753</v>
      </c>
      <c r="C101">
        <f t="shared" si="3"/>
        <v>18</v>
      </c>
      <c r="D101" t="s">
        <v>23</v>
      </c>
      <c r="E101" t="s">
        <v>18</v>
      </c>
      <c r="F101" t="s">
        <v>13</v>
      </c>
      <c r="G101">
        <v>0.49</v>
      </c>
      <c r="H101">
        <v>0.155</v>
      </c>
      <c r="I101">
        <v>1</v>
      </c>
      <c r="J101">
        <f t="shared" si="4"/>
        <v>0.18</v>
      </c>
      <c r="K101">
        <f>(J101+'Nitrates Standart Curves'!$AC$3)/'Nitrates Standart Curves'!$AB$3</f>
        <v>0.72293864790933948</v>
      </c>
      <c r="L101">
        <v>4.0000000000000001E-3</v>
      </c>
      <c r="M101">
        <f>10/7</f>
        <v>1.4285714285714286</v>
      </c>
      <c r="N101">
        <f>((((L101-'Phosphate Standart Curve'!$I$111)*M101)+'Phosphate Standart Curve'!$K$111)/'Phosphate Standart Curve'!$J$111)</f>
        <v>1.5739194700681573E-2</v>
      </c>
      <c r="O101">
        <v>9.3000000000000007</v>
      </c>
    </row>
    <row r="102" spans="1:15" x14ac:dyDescent="0.3">
      <c r="A102" t="s">
        <v>22</v>
      </c>
      <c r="B102" s="3">
        <v>44753</v>
      </c>
      <c r="C102">
        <f t="shared" si="3"/>
        <v>18</v>
      </c>
      <c r="D102" t="s">
        <v>23</v>
      </c>
      <c r="E102" t="s">
        <v>18</v>
      </c>
      <c r="F102" t="s">
        <v>14</v>
      </c>
      <c r="G102">
        <v>0.45400000000000001</v>
      </c>
      <c r="H102">
        <v>0.13600000000000001</v>
      </c>
      <c r="I102">
        <v>1</v>
      </c>
      <c r="J102">
        <f t="shared" si="4"/>
        <v>0.182</v>
      </c>
      <c r="K102">
        <f>(J102+'Nitrates Standart Curves'!$AC$3)/'Nitrates Standart Curves'!$AB$3</f>
        <v>0.73075420085971077</v>
      </c>
      <c r="L102">
        <v>3.0000000000000001E-3</v>
      </c>
      <c r="M102">
        <f>10/7</f>
        <v>1.4285714285714286</v>
      </c>
      <c r="N102">
        <f>((((L102-'Phosphate Standart Curve'!$I$111)*M102)+'Phosphate Standart Curve'!$K$111)/'Phosphate Standart Curve'!$J$111)</f>
        <v>1.3001943448389126E-2</v>
      </c>
      <c r="O102">
        <v>9.36</v>
      </c>
    </row>
    <row r="103" spans="1:15" x14ac:dyDescent="0.3">
      <c r="A103" t="s">
        <v>22</v>
      </c>
      <c r="B103" s="3">
        <v>44753</v>
      </c>
      <c r="C103">
        <f t="shared" si="3"/>
        <v>18</v>
      </c>
      <c r="D103" t="s">
        <v>23</v>
      </c>
      <c r="E103" t="s">
        <v>19</v>
      </c>
      <c r="F103" t="s">
        <v>11</v>
      </c>
      <c r="G103">
        <v>0.46899999999999997</v>
      </c>
      <c r="H103">
        <v>1.0999999999999999E-2</v>
      </c>
      <c r="I103">
        <v>10</v>
      </c>
      <c r="J103">
        <f t="shared" si="4"/>
        <v>4.47</v>
      </c>
      <c r="K103">
        <f>(J103+'Nitrates Standart Curves'!$AC$3)/'Nitrates Standart Curves'!$AB$3</f>
        <v>17.487299726455642</v>
      </c>
      <c r="L103">
        <v>0.28999999999999998</v>
      </c>
      <c r="M103">
        <v>2</v>
      </c>
      <c r="N103">
        <f>((((L103-'Phosphate Standart Curve'!$I$111)*M103)+'Phosphate Standart Curve'!$K$111)/'Phosphate Standart Curve'!$J$111)</f>
        <v>1.1161141981222453</v>
      </c>
      <c r="O103">
        <v>7.81</v>
      </c>
    </row>
    <row r="104" spans="1:15" x14ac:dyDescent="0.3">
      <c r="A104" t="s">
        <v>22</v>
      </c>
      <c r="B104" s="3">
        <v>44753</v>
      </c>
      <c r="C104">
        <f t="shared" si="3"/>
        <v>18</v>
      </c>
      <c r="D104" t="s">
        <v>23</v>
      </c>
      <c r="E104" t="s">
        <v>19</v>
      </c>
      <c r="F104" t="s">
        <v>12</v>
      </c>
      <c r="G104">
        <v>0.57299999999999995</v>
      </c>
      <c r="H104">
        <v>1.2999999999999999E-2</v>
      </c>
      <c r="I104">
        <v>10</v>
      </c>
      <c r="J104">
        <f t="shared" si="4"/>
        <v>5.4699999999999989</v>
      </c>
      <c r="K104">
        <f>(J104+'Nitrates Standart Curves'!$AC$3)/'Nitrates Standart Curves'!$AB$3</f>
        <v>21.39507620164126</v>
      </c>
      <c r="L104">
        <v>0.316</v>
      </c>
      <c r="M104">
        <v>2</v>
      </c>
      <c r="N104">
        <f>((((L104-'Phosphate Standart Curve'!$I$111)*M104)+'Phosphate Standart Curve'!$K$111)/'Phosphate Standart Curve'!$J$111)</f>
        <v>1.2157501437056906</v>
      </c>
      <c r="O104">
        <v>7.95</v>
      </c>
    </row>
    <row r="105" spans="1:15" x14ac:dyDescent="0.3">
      <c r="A105" t="s">
        <v>22</v>
      </c>
      <c r="B105" s="3">
        <v>44753</v>
      </c>
      <c r="C105">
        <f t="shared" si="3"/>
        <v>18</v>
      </c>
      <c r="D105" t="s">
        <v>23</v>
      </c>
      <c r="E105" t="s">
        <v>19</v>
      </c>
      <c r="F105" t="s">
        <v>13</v>
      </c>
      <c r="G105">
        <v>0.58699999999999997</v>
      </c>
      <c r="H105">
        <v>1.4E-2</v>
      </c>
      <c r="I105">
        <v>10</v>
      </c>
      <c r="J105">
        <f t="shared" si="4"/>
        <v>5.59</v>
      </c>
      <c r="K105">
        <f>(J105+'Nitrates Standart Curves'!$AC$3)/'Nitrates Standart Curves'!$AB$3</f>
        <v>21.864009378663539</v>
      </c>
      <c r="L105">
        <v>0.28100000000000003</v>
      </c>
      <c r="M105">
        <v>2</v>
      </c>
      <c r="N105">
        <f>((((L105-'Phosphate Standart Curve'!$I$111)*M105)+'Phosphate Standart Curve'!$K$111)/'Phosphate Standart Curve'!$J$111)</f>
        <v>1.0816248323433608</v>
      </c>
      <c r="O105">
        <v>7.78</v>
      </c>
    </row>
    <row r="106" spans="1:15" x14ac:dyDescent="0.3">
      <c r="A106" t="s">
        <v>22</v>
      </c>
      <c r="B106" s="3">
        <v>44753</v>
      </c>
      <c r="C106">
        <f t="shared" si="3"/>
        <v>18</v>
      </c>
      <c r="D106" t="s">
        <v>23</v>
      </c>
      <c r="E106" t="s">
        <v>19</v>
      </c>
      <c r="F106" t="s">
        <v>14</v>
      </c>
      <c r="G106">
        <v>0.59899999999999998</v>
      </c>
      <c r="H106">
        <v>1.2E-2</v>
      </c>
      <c r="I106">
        <v>10</v>
      </c>
      <c r="J106">
        <f t="shared" si="4"/>
        <v>5.75</v>
      </c>
      <c r="K106">
        <f>(J106+'Nitrates Standart Curves'!$AC$3)/'Nitrates Standart Curves'!$AB$3</f>
        <v>22.489253614693236</v>
      </c>
      <c r="L106">
        <v>0.32400000000000001</v>
      </c>
      <c r="M106">
        <v>2</v>
      </c>
      <c r="N106">
        <f>((((L106-'Phosphate Standart Curve'!$I$111)*M106)+'Phosphate Standart Curve'!$K$111)/'Phosphate Standart Curve'!$J$111)</f>
        <v>1.2464073577313661</v>
      </c>
      <c r="O106">
        <v>7.8</v>
      </c>
    </row>
  </sheetData>
  <mergeCells count="1">
    <mergeCell ref="G1:K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DC05-8592-4D80-B058-80EEE5FFFCAC}">
  <dimension ref="A1:K28"/>
  <sheetViews>
    <sheetView topLeftCell="B22" workbookViewId="0">
      <selection activeCell="F4" sqref="F4"/>
    </sheetView>
  </sheetViews>
  <sheetFormatPr defaultColWidth="11.5546875" defaultRowHeight="14.4" x14ac:dyDescent="0.3"/>
  <sheetData>
    <row r="1" spans="1:11" x14ac:dyDescent="0.3">
      <c r="A1" s="25" t="s">
        <v>21</v>
      </c>
      <c r="B1" s="25" t="s">
        <v>0</v>
      </c>
      <c r="C1" s="25" t="s">
        <v>1</v>
      </c>
      <c r="D1" s="25" t="s">
        <v>9</v>
      </c>
      <c r="E1" s="25" t="s">
        <v>2</v>
      </c>
      <c r="F1" s="49" t="s">
        <v>40</v>
      </c>
      <c r="G1" s="49"/>
      <c r="H1" s="49" t="s">
        <v>41</v>
      </c>
      <c r="I1" s="49"/>
      <c r="J1" s="49" t="s">
        <v>42</v>
      </c>
      <c r="K1" s="49"/>
    </row>
    <row r="2" spans="1:11" x14ac:dyDescent="0.3">
      <c r="F2" s="24" t="s">
        <v>60</v>
      </c>
      <c r="G2" s="24" t="s">
        <v>63</v>
      </c>
      <c r="H2" s="24" t="s">
        <v>60</v>
      </c>
      <c r="I2" s="24" t="s">
        <v>63</v>
      </c>
      <c r="J2" s="24" t="s">
        <v>60</v>
      </c>
      <c r="K2" s="24" t="s">
        <v>63</v>
      </c>
    </row>
    <row r="3" spans="1:11" x14ac:dyDescent="0.3">
      <c r="A3" t="str">
        <f>Nutrients!A3</f>
        <v>UQLight04</v>
      </c>
      <c r="B3" s="3">
        <f>Nutrients!B3</f>
        <v>44735</v>
      </c>
      <c r="C3">
        <f>Nutrients!C3</f>
        <v>0</v>
      </c>
      <c r="D3" t="str">
        <f>Nutrients!D3</f>
        <v>Acclimatisation 1</v>
      </c>
      <c r="E3" t="str">
        <f>Nutrients!E3</f>
        <v>-</v>
      </c>
      <c r="F3">
        <f>AVERAGE(Nutrients!K3:K6)</f>
        <v>20</v>
      </c>
      <c r="G3">
        <f>STDEV(Nutrients!K3:K6)</f>
        <v>0</v>
      </c>
      <c r="H3">
        <f>AVERAGE(Nutrients!N3:N6)</f>
        <v>1</v>
      </c>
      <c r="I3">
        <f>STDEV(Nutrients!N3:N6)</f>
        <v>0</v>
      </c>
      <c r="J3">
        <f>AVERAGE(Nutrients!O3:O6)</f>
        <v>8</v>
      </c>
      <c r="K3">
        <f>STDEV(Nutrients!O3:O6)</f>
        <v>0</v>
      </c>
    </row>
    <row r="4" spans="1:11" x14ac:dyDescent="0.3">
      <c r="A4" t="str">
        <f>Nutrients!A7</f>
        <v>UQLight04</v>
      </c>
      <c r="B4" s="3">
        <f>Nutrients!B7</f>
        <v>44739</v>
      </c>
      <c r="C4">
        <f>Nutrients!C7</f>
        <v>4</v>
      </c>
      <c r="D4" t="str">
        <f>Nutrients!D7</f>
        <v>Acclimatisation 2</v>
      </c>
      <c r="E4" t="str">
        <f>Nutrients!E7</f>
        <v>-</v>
      </c>
      <c r="F4">
        <f>AVERAGE(Nutrients!K7:K10)</f>
        <v>1.602188354826104</v>
      </c>
      <c r="G4">
        <f>STDEV(Nutrients!K7:K10)</f>
        <v>0.99539691583470946</v>
      </c>
      <c r="H4">
        <f>AVERAGE(Nutrients!N7:N10)</f>
        <v>0.18565949022519179</v>
      </c>
      <c r="I4">
        <f>STDEV(Nutrients!N7:N10)</f>
        <v>9.2710095347481453E-2</v>
      </c>
      <c r="J4">
        <f>AVERAGE(Nutrients!O7:O10)</f>
        <v>9.3724999999999987</v>
      </c>
      <c r="K4">
        <f>STDEV(Nutrients!O7:O10)</f>
        <v>4.1932485418030331E-2</v>
      </c>
    </row>
    <row r="5" spans="1:11" x14ac:dyDescent="0.3">
      <c r="A5" t="str">
        <f>Nutrients!A11</f>
        <v>UQLight04</v>
      </c>
      <c r="B5" s="3">
        <f>Nutrients!B11</f>
        <v>44741</v>
      </c>
      <c r="C5">
        <f>Nutrients!C11</f>
        <v>6</v>
      </c>
      <c r="D5" t="str">
        <f>Nutrients!D11</f>
        <v>Colonisation</v>
      </c>
      <c r="E5" t="str">
        <f>Nutrients!E11</f>
        <v>High Light</v>
      </c>
      <c r="F5">
        <f>AVERAGE(Nutrients!K11:K14)</f>
        <v>0.83528722157092616</v>
      </c>
      <c r="G5">
        <f>STDEV(Nutrients!K11:K14)</f>
        <v>0.52595414774788851</v>
      </c>
      <c r="H5">
        <f>AVERAGE(Nutrients!N11:N14)</f>
        <v>3.2575185604630678E-2</v>
      </c>
      <c r="I5">
        <f>STDEV(Nutrients!N11:N14)</f>
        <v>2.3593808984522465E-3</v>
      </c>
      <c r="J5">
        <f>AVERAGE(Nutrients!O11:O14)</f>
        <v>9.4375</v>
      </c>
      <c r="K5">
        <f>STDEV(Nutrients!O11:O14)</f>
        <v>8.0570879768479306E-2</v>
      </c>
    </row>
    <row r="6" spans="1:11" x14ac:dyDescent="0.3">
      <c r="A6" t="str">
        <f>Nutrients!A15</f>
        <v>UQLight04</v>
      </c>
      <c r="B6" s="3">
        <f>Nutrients!B15</f>
        <v>44741</v>
      </c>
      <c r="C6">
        <f>Nutrients!C15</f>
        <v>6</v>
      </c>
      <c r="D6" t="str">
        <f>Nutrients!D15</f>
        <v>Colonisation</v>
      </c>
      <c r="E6" t="str">
        <f>Nutrients!E15</f>
        <v>Medium Light</v>
      </c>
      <c r="F6">
        <f>AVERAGE(Nutrients!K15:K18)</f>
        <v>0.63794450957405235</v>
      </c>
      <c r="G6">
        <f>STDEV(Nutrients!K15:K18)</f>
        <v>0.14188242547582727</v>
      </c>
      <c r="H6">
        <f>AVERAGE(Nutrients!N15:N18)</f>
        <v>3.2181955454888639E-2</v>
      </c>
      <c r="I6">
        <f>STDEV(Nutrients!N15:N18)</f>
        <v>1.5729205989681652E-3</v>
      </c>
      <c r="J6">
        <f>AVERAGE(Nutrients!O15:O18)</f>
        <v>9.245000000000001</v>
      </c>
      <c r="K6">
        <f>STDEV(Nutrients!O15:O18)</f>
        <v>0.12503332889007349</v>
      </c>
    </row>
    <row r="7" spans="1:11" x14ac:dyDescent="0.3">
      <c r="A7" t="str">
        <f>Nutrients!A19</f>
        <v>UQLight04</v>
      </c>
      <c r="B7" s="3">
        <f>Nutrients!B19</f>
        <v>44741</v>
      </c>
      <c r="C7">
        <f>Nutrients!C19</f>
        <v>6</v>
      </c>
      <c r="D7" t="str">
        <f>Nutrients!D19</f>
        <v>Colonisation</v>
      </c>
      <c r="E7" t="str">
        <f>Nutrients!E19</f>
        <v>Low Light</v>
      </c>
      <c r="F7">
        <f>AVERAGE(Nutrients!K19:K22)</f>
        <v>0.70339976553341155</v>
      </c>
      <c r="G7">
        <f>STDEV(Nutrients!K19:K22)</f>
        <v>0.32471404421121702</v>
      </c>
      <c r="H7">
        <f>AVERAGE(Nutrients!N19:N22)</f>
        <v>3.4934566503082923E-2</v>
      </c>
      <c r="I7">
        <f>STDEV(Nutrients!N19:N22)</f>
        <v>3.4877245857058412E-3</v>
      </c>
      <c r="J7">
        <f>AVERAGE(Nutrients!O19:O22)</f>
        <v>9.245000000000001</v>
      </c>
      <c r="K7">
        <f>STDEV(Nutrients!O19:O22)</f>
        <v>0.11210114480533499</v>
      </c>
    </row>
    <row r="8" spans="1:11" x14ac:dyDescent="0.3">
      <c r="A8" t="str">
        <f>Nutrients!A23</f>
        <v>UQLight04</v>
      </c>
      <c r="B8" s="3">
        <f>Nutrients!B23</f>
        <v>44741</v>
      </c>
      <c r="C8">
        <f>Nutrients!C23</f>
        <v>6</v>
      </c>
      <c r="D8" t="str">
        <f>Nutrients!D23</f>
        <v>Colonisation</v>
      </c>
      <c r="E8" t="str">
        <f>Nutrients!E23</f>
        <v>Darkness</v>
      </c>
      <c r="F8">
        <f>AVERAGE(Nutrients!K23:K26)</f>
        <v>4.5884134427510741</v>
      </c>
      <c r="G8">
        <f>STDEV(Nutrients!K23:K26)</f>
        <v>2.6704992366368221</v>
      </c>
      <c r="H8">
        <f>AVERAGE(Nutrients!N23:N26)</f>
        <v>0.12183842959607399</v>
      </c>
      <c r="I8">
        <f>STDEV(Nutrients!N23:N26)</f>
        <v>0.11619401986575173</v>
      </c>
      <c r="J8">
        <f>AVERAGE(Nutrients!O23:O26)</f>
        <v>8.1024999999999991</v>
      </c>
      <c r="K8">
        <f>STDEV(Nutrients!O23:O26)</f>
        <v>4.9244289008980917E-2</v>
      </c>
    </row>
    <row r="9" spans="1:11" x14ac:dyDescent="0.3">
      <c r="A9" t="str">
        <f>Nutrients!A27</f>
        <v>UQLight04</v>
      </c>
      <c r="B9" s="3">
        <f>Nutrients!B27</f>
        <v>44743</v>
      </c>
      <c r="C9">
        <f>Nutrients!C27</f>
        <v>8</v>
      </c>
      <c r="D9" t="str">
        <f>Nutrients!D27</f>
        <v>Growth</v>
      </c>
      <c r="E9" t="str">
        <f>Nutrients!E27</f>
        <v>High Light</v>
      </c>
      <c r="F9">
        <f>AVERAGE(Nutrients!K27:K30)</f>
        <v>0.92321219226260265</v>
      </c>
      <c r="G9">
        <f>STDEV(Nutrients!K27:K30)</f>
        <v>1.0533342444728322</v>
      </c>
      <c r="H9">
        <f>AVERAGE(Nutrients!N27:N30)</f>
        <v>4.3904958677685957E-2</v>
      </c>
      <c r="I9">
        <f>STDEV(Nutrients!N27:N30)</f>
        <v>1.0585692940040893E-2</v>
      </c>
      <c r="J9">
        <f>AVERAGE(Nutrients!O27:O30)</f>
        <v>9.36</v>
      </c>
      <c r="K9">
        <f>STDEV(Nutrients!O27:O30)</f>
        <v>9.6953597148326659E-2</v>
      </c>
    </row>
    <row r="10" spans="1:11" x14ac:dyDescent="0.3">
      <c r="A10" t="str">
        <f>Nutrients!A31</f>
        <v>UQLight04</v>
      </c>
      <c r="B10" s="3">
        <f>Nutrients!B31</f>
        <v>44743</v>
      </c>
      <c r="C10">
        <f>Nutrients!C31</f>
        <v>8</v>
      </c>
      <c r="D10" t="str">
        <f>Nutrients!D31</f>
        <v>Growth</v>
      </c>
      <c r="E10" t="str">
        <f>Nutrients!E31</f>
        <v>Medium Light</v>
      </c>
      <c r="F10">
        <f>AVERAGE(Nutrients!K31:K34)</f>
        <v>3.1946072684642433</v>
      </c>
      <c r="G10">
        <f>STDEV(Nutrients!K31:K34)</f>
        <v>2.7660920965978786</v>
      </c>
      <c r="H10">
        <f>AVERAGE(Nutrients!N31:N34)</f>
        <v>8.9876033057851246E-2</v>
      </c>
      <c r="I10">
        <f>STDEV(Nutrients!N31:N34)</f>
        <v>4.6720414892965939E-2</v>
      </c>
      <c r="J10">
        <f>AVERAGE(Nutrients!O31:O34)</f>
        <v>9.182500000000001</v>
      </c>
      <c r="K10">
        <f>STDEV(Nutrients!O31:O34)</f>
        <v>9.9456858318904787E-2</v>
      </c>
    </row>
    <row r="11" spans="1:11" x14ac:dyDescent="0.3">
      <c r="A11" t="str">
        <f>Nutrients!A35</f>
        <v>UQLight04</v>
      </c>
      <c r="B11" s="3">
        <f>Nutrients!B35</f>
        <v>44743</v>
      </c>
      <c r="C11">
        <f>Nutrients!C35</f>
        <v>8</v>
      </c>
      <c r="D11" t="str">
        <f>Nutrients!D35</f>
        <v>Growth</v>
      </c>
      <c r="E11" t="str">
        <f>Nutrients!E35</f>
        <v>Low Light</v>
      </c>
      <c r="F11">
        <f>AVERAGE(Nutrients!K35:K38)</f>
        <v>4.660023446658851</v>
      </c>
      <c r="G11">
        <f>STDEV(Nutrients!K35:K38)</f>
        <v>2.7545666627338177</v>
      </c>
      <c r="H11">
        <f>AVERAGE(Nutrients!N35:N38)</f>
        <v>0.121900826446281</v>
      </c>
      <c r="I11">
        <f>STDEV(Nutrients!N35:N38)</f>
        <v>2.643228796473205E-2</v>
      </c>
      <c r="J11">
        <f>AVERAGE(Nutrients!O35:O38)</f>
        <v>8.9949999999999992</v>
      </c>
      <c r="K11">
        <f>STDEV(Nutrients!O35:O38)</f>
        <v>0.18645821694595979</v>
      </c>
    </row>
    <row r="12" spans="1:11" x14ac:dyDescent="0.3">
      <c r="A12" t="str">
        <f>Nutrients!A39</f>
        <v>UQLight04</v>
      </c>
      <c r="B12" s="3">
        <f>Nutrients!B39</f>
        <v>44743</v>
      </c>
      <c r="C12">
        <f>Nutrients!C39</f>
        <v>8</v>
      </c>
      <c r="D12" t="str">
        <f>Nutrients!D39</f>
        <v>Growth</v>
      </c>
      <c r="E12" t="str">
        <f>Nutrients!E39</f>
        <v>Darkness</v>
      </c>
      <c r="F12">
        <f>AVERAGE(Nutrients!K39:K42)</f>
        <v>19.509574052364204</v>
      </c>
      <c r="G12">
        <f>STDEV(Nutrients!K39:K42)</f>
        <v>1.791656207304797</v>
      </c>
      <c r="H12">
        <f>AVERAGE(Nutrients!N39:N42)</f>
        <v>1.0423553719008263</v>
      </c>
      <c r="I12">
        <f>STDEV(Nutrients!N39:N42)</f>
        <v>0.14876989562148016</v>
      </c>
      <c r="J12">
        <f>AVERAGE(Nutrients!O39:O42)</f>
        <v>7.66</v>
      </c>
      <c r="K12">
        <f>STDEV(Nutrients!O39:O42)</f>
        <v>0.16990193249832891</v>
      </c>
    </row>
    <row r="13" spans="1:11" x14ac:dyDescent="0.3">
      <c r="A13" t="str">
        <f>Nutrients!A43</f>
        <v>UQLight04</v>
      </c>
      <c r="B13" s="3">
        <f>Nutrients!B43</f>
        <v>44746</v>
      </c>
      <c r="C13">
        <f>Nutrients!C43</f>
        <v>11</v>
      </c>
      <c r="D13" t="str">
        <f>Nutrients!D43</f>
        <v>Growth</v>
      </c>
      <c r="E13" t="str">
        <f>Nutrients!E43</f>
        <v>High Light</v>
      </c>
      <c r="F13">
        <f>AVERAGE(Nutrients!K43:K46)</f>
        <v>0.91051191871824932</v>
      </c>
      <c r="G13">
        <f>STDEV(Nutrients!K43:K46)</f>
        <v>7.6376788924158112E-2</v>
      </c>
      <c r="H13">
        <f>AVERAGE(Nutrients!N43:N46)</f>
        <v>3.6881020214353549E-2</v>
      </c>
      <c r="I13">
        <f>STDEV(Nutrients!N43:N46)</f>
        <v>2.3086620830124987E-3</v>
      </c>
      <c r="J13">
        <f>AVERAGE(Nutrients!O43:O46)</f>
        <v>8.7974999999999994</v>
      </c>
      <c r="K13">
        <f>STDEV(Nutrients!O43:O46)</f>
        <v>0.11176612486199307</v>
      </c>
    </row>
    <row r="14" spans="1:11" x14ac:dyDescent="0.3">
      <c r="A14" t="str">
        <f>Nutrients!A47</f>
        <v>UQLight04</v>
      </c>
      <c r="B14" s="3">
        <f>Nutrients!B47</f>
        <v>44746</v>
      </c>
      <c r="C14">
        <f>Nutrients!C47</f>
        <v>11</v>
      </c>
      <c r="D14" t="str">
        <f>Nutrients!D47</f>
        <v>Growth</v>
      </c>
      <c r="E14" t="str">
        <f>Nutrients!E47</f>
        <v>Medium Light</v>
      </c>
      <c r="F14">
        <f>AVERAGE(Nutrients!K47:K50)</f>
        <v>0.88608831574833924</v>
      </c>
      <c r="G14">
        <f>STDEV(Nutrients!K47:K50)</f>
        <v>0.228493564012031</v>
      </c>
      <c r="H14">
        <f>AVERAGE(Nutrients!N47:N50)</f>
        <v>3.4657592064999472E-2</v>
      </c>
      <c r="I14">
        <f>STDEV(Nutrients!N47:N50)</f>
        <v>3.6073637045418746E-3</v>
      </c>
      <c r="J14">
        <f>AVERAGE(Nutrients!O47:O50)</f>
        <v>8.9150000000000009</v>
      </c>
      <c r="K14">
        <f>STDEV(Nutrients!O47:O50)</f>
        <v>0.10754843869934447</v>
      </c>
    </row>
    <row r="15" spans="1:11" x14ac:dyDescent="0.3">
      <c r="A15" t="str">
        <f>Nutrients!A51</f>
        <v>UQLight04</v>
      </c>
      <c r="B15" s="3">
        <f>Nutrients!B51</f>
        <v>44746</v>
      </c>
      <c r="C15">
        <f>Nutrients!C51</f>
        <v>11</v>
      </c>
      <c r="D15" t="str">
        <f>Nutrients!D51</f>
        <v>Growth</v>
      </c>
      <c r="E15" t="str">
        <f>Nutrients!E51</f>
        <v>Low Light</v>
      </c>
      <c r="F15">
        <f>AVERAGE(Nutrients!K51:K54)</f>
        <v>0.87241109808518946</v>
      </c>
      <c r="G15">
        <f>STDEV(Nutrients!K51:K54)</f>
        <v>0.2597103855085009</v>
      </c>
      <c r="H15">
        <f>AVERAGE(Nutrients!N51:N54)</f>
        <v>3.453511509067065E-2</v>
      </c>
      <c r="I15">
        <f>STDEV(Nutrients!N51:N54)</f>
        <v>5.055289228337586E-3</v>
      </c>
      <c r="J15">
        <f>AVERAGE(Nutrients!O51:O54)</f>
        <v>8.9400000000000013</v>
      </c>
      <c r="K15">
        <f>STDEV(Nutrients!O51:O54)</f>
        <v>8.7177978870813314E-2</v>
      </c>
    </row>
    <row r="16" spans="1:11" x14ac:dyDescent="0.3">
      <c r="A16" t="str">
        <f>Nutrients!A55</f>
        <v>UQLight04</v>
      </c>
      <c r="B16" s="3">
        <f>Nutrients!B55</f>
        <v>44746</v>
      </c>
      <c r="C16">
        <f>Nutrients!C55</f>
        <v>11</v>
      </c>
      <c r="D16" t="str">
        <f>Nutrients!D55</f>
        <v>Growth</v>
      </c>
      <c r="E16" t="str">
        <f>Nutrients!E55</f>
        <v>Darkness</v>
      </c>
      <c r="F16">
        <f>AVERAGE(Nutrients!K55:K58)</f>
        <v>21.199687377881979</v>
      </c>
      <c r="G16">
        <f>STDEV(Nutrients!K55:K58)</f>
        <v>0.37617634696349217</v>
      </c>
      <c r="H16">
        <f>AVERAGE(Nutrients!N55:N58)</f>
        <v>1.130864197530864</v>
      </c>
      <c r="I16">
        <f>STDEV(Nutrients!N55:N58)</f>
        <v>0.13556872500622999</v>
      </c>
      <c r="J16">
        <f>AVERAGE(Nutrients!O55:O58)</f>
        <v>7.97</v>
      </c>
      <c r="K16">
        <f>STDEV(Nutrients!O55:O58)</f>
        <v>7.4386378681404755E-2</v>
      </c>
    </row>
    <row r="17" spans="1:11" x14ac:dyDescent="0.3">
      <c r="A17" t="str">
        <f>Nutrients!A59</f>
        <v>UQLight04</v>
      </c>
      <c r="B17" s="3">
        <f>Nutrients!B59</f>
        <v>44748</v>
      </c>
      <c r="C17">
        <f>Nutrients!C59</f>
        <v>13</v>
      </c>
      <c r="D17" t="str">
        <f>Nutrients!D59</f>
        <v>Growth</v>
      </c>
      <c r="E17" t="str">
        <f>Nutrients!E59</f>
        <v>High Light</v>
      </c>
      <c r="F17">
        <f>AVERAGE(Nutrients!K59:K62)</f>
        <v>1.3755373192653377</v>
      </c>
      <c r="G17">
        <f>STDEV(Nutrients!K59:K62)</f>
        <v>0.43171056334317209</v>
      </c>
      <c r="H17">
        <f>AVERAGE(Nutrients!N59:N62)</f>
        <v>3.2771435684057049E-2</v>
      </c>
      <c r="I17">
        <f>STDEV(Nutrients!N59:N62)</f>
        <v>3.3561979601296052E-3</v>
      </c>
      <c r="J17">
        <f>AVERAGE(Nutrients!O59:O62)</f>
        <v>9.1074999999999999</v>
      </c>
      <c r="K17">
        <f>STDEV(Nutrients!O59:O62)</f>
        <v>0.13937359864766388</v>
      </c>
    </row>
    <row r="18" spans="1:11" x14ac:dyDescent="0.3">
      <c r="A18" t="str">
        <f>Nutrients!A63</f>
        <v>UQLight04</v>
      </c>
      <c r="B18" s="3">
        <f>Nutrients!B63</f>
        <v>44748</v>
      </c>
      <c r="C18">
        <f>Nutrients!C63</f>
        <v>13</v>
      </c>
      <c r="D18" t="str">
        <f>Nutrients!D63</f>
        <v>Growth</v>
      </c>
      <c r="E18" t="str">
        <f>Nutrients!E63</f>
        <v>Medium Light</v>
      </c>
      <c r="F18">
        <f>AVERAGE(Nutrients!K63:K66)</f>
        <v>0.83528722157092616</v>
      </c>
      <c r="G18">
        <f>STDEV(Nutrients!K63:K66)</f>
        <v>0.13985891423734775</v>
      </c>
      <c r="H18">
        <f>AVERAGE(Nutrients!N63:N66)</f>
        <v>2.5742158327109788E-2</v>
      </c>
      <c r="I18">
        <f>STDEV(Nutrients!N63:N66)</f>
        <v>1.4418605749879222E-3</v>
      </c>
      <c r="J18">
        <f>AVERAGE(Nutrients!O63:O66)</f>
        <v>9.31</v>
      </c>
      <c r="K18">
        <f>STDEV(Nutrients!O63:O66)</f>
        <v>2.160246899469323E-2</v>
      </c>
    </row>
    <row r="19" spans="1:11" x14ac:dyDescent="0.3">
      <c r="A19" t="str">
        <f>Nutrients!A67</f>
        <v>UQLight04</v>
      </c>
      <c r="B19" s="3">
        <f>Nutrients!B67</f>
        <v>44748</v>
      </c>
      <c r="C19">
        <f>Nutrients!C67</f>
        <v>13</v>
      </c>
      <c r="D19" t="str">
        <f>Nutrients!D67</f>
        <v>Growth</v>
      </c>
      <c r="E19" t="str">
        <f>Nutrients!E67</f>
        <v>Low Light</v>
      </c>
      <c r="F19">
        <f>AVERAGE(Nutrients!K67:K70)</f>
        <v>0.89390386869871041</v>
      </c>
      <c r="G19">
        <f>STDEV(Nutrients!K67:K70)</f>
        <v>0.14058494034349214</v>
      </c>
      <c r="H19">
        <f>AVERAGE(Nutrients!N67:N70)</f>
        <v>2.5158700522778195E-2</v>
      </c>
      <c r="I19">
        <f>STDEV(Nutrients!N67:N70)</f>
        <v>1.3474380815665277E-3</v>
      </c>
      <c r="J19">
        <f>AVERAGE(Nutrients!O67:O70)</f>
        <v>9.27</v>
      </c>
      <c r="K19">
        <f>STDEV(Nutrients!O67:O70)</f>
        <v>6.9761498454854617E-2</v>
      </c>
    </row>
    <row r="20" spans="1:11" x14ac:dyDescent="0.3">
      <c r="A20" t="str">
        <f>Nutrients!A71</f>
        <v>UQLight04</v>
      </c>
      <c r="B20" s="3">
        <f>Nutrients!B71</f>
        <v>44748</v>
      </c>
      <c r="C20">
        <f>Nutrients!C71</f>
        <v>13</v>
      </c>
      <c r="D20" t="str">
        <f>Nutrients!D71</f>
        <v>Growth</v>
      </c>
      <c r="E20" t="str">
        <f>Nutrients!E71</f>
        <v>Darkness</v>
      </c>
      <c r="F20">
        <f>AVERAGE(Nutrients!K71:K74)</f>
        <v>22.684642438452517</v>
      </c>
      <c r="G20">
        <f>STDEV(Nutrients!K71:K74)</f>
        <v>1.2774703993690746</v>
      </c>
      <c r="H20">
        <f>AVERAGE(Nutrients!N71:N74)</f>
        <v>1.2473861090365945</v>
      </c>
      <c r="I20">
        <f>STDEV(Nutrients!N71:N74)</f>
        <v>7.1989015389202146E-2</v>
      </c>
      <c r="J20">
        <f>AVERAGE(Nutrients!O71:O74)</f>
        <v>7.8549999999999995</v>
      </c>
      <c r="K20">
        <f>STDEV(Nutrients!O71:O74)</f>
        <v>0.16299284237863523</v>
      </c>
    </row>
    <row r="21" spans="1:11" x14ac:dyDescent="0.3">
      <c r="A21" t="str">
        <f>Nutrients!A75</f>
        <v>UQLight04</v>
      </c>
      <c r="B21" s="3">
        <f>Nutrients!B75</f>
        <v>44750</v>
      </c>
      <c r="C21">
        <f>Nutrients!C75</f>
        <v>15</v>
      </c>
      <c r="D21" t="str">
        <f>Nutrients!D75</f>
        <v>Growth</v>
      </c>
      <c r="E21" t="str">
        <f>Nutrients!E75</f>
        <v>High Light</v>
      </c>
      <c r="F21">
        <f>AVERAGE(Nutrients!K75:K78)</f>
        <v>0.85482610394685432</v>
      </c>
      <c r="G21">
        <f>STDEV(Nutrients!K75:K78)</f>
        <v>8.8559503888547123E-2</v>
      </c>
      <c r="H21">
        <f>AVERAGE(Nutrients!N75:N78)</f>
        <v>2.215009827247336E-2</v>
      </c>
      <c r="I21">
        <f>STDEV(Nutrients!N75:N78)</f>
        <v>3.0112821066012496E-3</v>
      </c>
      <c r="J21">
        <f>AVERAGE(Nutrients!O75:O78)</f>
        <v>9.2475000000000005</v>
      </c>
      <c r="K21">
        <f>STDEV(Nutrients!O75:O78)</f>
        <v>0.15239750654128131</v>
      </c>
    </row>
    <row r="22" spans="1:11" x14ac:dyDescent="0.3">
      <c r="A22" t="str">
        <f>Nutrients!A79</f>
        <v>UQLight04</v>
      </c>
      <c r="B22" s="3">
        <f>Nutrients!B79</f>
        <v>44750</v>
      </c>
      <c r="C22">
        <f>Nutrients!C79</f>
        <v>15</v>
      </c>
      <c r="D22" t="str">
        <f>Nutrients!D79</f>
        <v>Growth</v>
      </c>
      <c r="E22" t="str">
        <f>Nutrients!E79</f>
        <v>Medium Light</v>
      </c>
      <c r="F22">
        <f>AVERAGE(Nutrients!K79:K82)</f>
        <v>0.79230168034388426</v>
      </c>
      <c r="G22">
        <f>STDEV(Nutrients!K79:K82)</f>
        <v>0.37540934251667502</v>
      </c>
      <c r="H22">
        <f>AVERAGE(Nutrients!N79:N82)</f>
        <v>1.6202027516292541E-2</v>
      </c>
      <c r="I22">
        <f>STDEV(Nutrients!N79:N82)</f>
        <v>0</v>
      </c>
      <c r="J22">
        <f>AVERAGE(Nutrients!O79:O82)</f>
        <v>9.1475000000000009</v>
      </c>
      <c r="K22">
        <f>STDEV(Nutrients!O79:O82)</f>
        <v>5.9090326337452932E-2</v>
      </c>
    </row>
    <row r="23" spans="1:11" x14ac:dyDescent="0.3">
      <c r="A23" t="str">
        <f>Nutrients!A83</f>
        <v>UQLight04</v>
      </c>
      <c r="B23" s="3">
        <f>Nutrients!B83</f>
        <v>44750</v>
      </c>
      <c r="C23">
        <f>Nutrients!C83</f>
        <v>15</v>
      </c>
      <c r="D23" t="str">
        <f>Nutrients!D83</f>
        <v>Growth</v>
      </c>
      <c r="E23" t="str">
        <f>Nutrients!E83</f>
        <v>Low Light</v>
      </c>
      <c r="F23">
        <f>AVERAGE(Nutrients!K83:K86)</f>
        <v>0.75127002735443527</v>
      </c>
      <c r="G23">
        <f>STDEV(Nutrients!K83:K86)</f>
        <v>0.11677104822431106</v>
      </c>
      <c r="H23">
        <f>AVERAGE(Nutrients!N83:N86)</f>
        <v>1.5070601013758145E-2</v>
      </c>
      <c r="I23">
        <f>STDEV(Nutrients!N83:N86)</f>
        <v>1.5430941614639456E-3</v>
      </c>
      <c r="J23">
        <f>AVERAGE(Nutrients!O83:O86)</f>
        <v>9.23</v>
      </c>
      <c r="K23">
        <f>STDEV(Nutrients!O83:O86)</f>
        <v>0.11860297916438142</v>
      </c>
    </row>
    <row r="24" spans="1:11" x14ac:dyDescent="0.3">
      <c r="A24" t="str">
        <f>Nutrients!A87</f>
        <v>UQLight04</v>
      </c>
      <c r="B24" s="3">
        <f>Nutrients!B87</f>
        <v>44750</v>
      </c>
      <c r="C24">
        <f>Nutrients!C87</f>
        <v>15</v>
      </c>
      <c r="D24" t="str">
        <f>Nutrients!D87</f>
        <v>Growth</v>
      </c>
      <c r="E24" t="str">
        <f>Nutrients!E87</f>
        <v>Darkness</v>
      </c>
      <c r="F24">
        <f>AVERAGE(Nutrients!K87:K90)</f>
        <v>21.815162172723717</v>
      </c>
      <c r="G24">
        <f>STDEV(Nutrients!K87:K90)</f>
        <v>0.43207003492567586</v>
      </c>
      <c r="H24">
        <f>AVERAGE(Nutrients!N87:N90)</f>
        <v>1.1372194062273717</v>
      </c>
      <c r="I24">
        <f>STDEV(Nutrients!N87:N90)</f>
        <v>0.10830976758804566</v>
      </c>
      <c r="J24">
        <f>AVERAGE(Nutrients!O87:O90)</f>
        <v>7.7725</v>
      </c>
      <c r="K24">
        <f>STDEV(Nutrients!O87:O90)</f>
        <v>0.10531698185319703</v>
      </c>
    </row>
    <row r="25" spans="1:11" x14ac:dyDescent="0.3">
      <c r="A25" t="str">
        <f>Nutrients!A91</f>
        <v>UQLight04</v>
      </c>
      <c r="B25" s="3">
        <f>Nutrients!B91</f>
        <v>44753</v>
      </c>
      <c r="C25">
        <f>Nutrients!C91</f>
        <v>18</v>
      </c>
      <c r="D25" t="str">
        <f>Nutrients!D91</f>
        <v>Growth</v>
      </c>
      <c r="E25" t="str">
        <f>Nutrients!E91</f>
        <v>High Light</v>
      </c>
      <c r="F25">
        <f>AVERAGE(Nutrients!K91:K94)</f>
        <v>0.7248925361469325</v>
      </c>
      <c r="G25">
        <f>STDEV(Nutrients!K91:K94)</f>
        <v>0.15501941261515886</v>
      </c>
      <c r="H25">
        <f>AVERAGE(Nutrients!N91:N94)</f>
        <v>1.5853246836193761E-2</v>
      </c>
      <c r="I25">
        <f>STDEV(Nutrients!N91:N94)</f>
        <v>1.3103592748423866E-3</v>
      </c>
      <c r="J25">
        <f>AVERAGE(Nutrients!O91:O94)</f>
        <v>9.32</v>
      </c>
      <c r="K25">
        <f>STDEV(Nutrients!O91:O94)</f>
        <v>9.7638790105845016E-2</v>
      </c>
    </row>
    <row r="26" spans="1:11" x14ac:dyDescent="0.3">
      <c r="A26" t="str">
        <f>Nutrients!A95</f>
        <v>UQLight04</v>
      </c>
      <c r="B26" s="3">
        <f>Nutrients!B95</f>
        <v>44753</v>
      </c>
      <c r="C26">
        <f>Nutrients!C95</f>
        <v>18</v>
      </c>
      <c r="D26" t="str">
        <f>Nutrients!D95</f>
        <v>Growth</v>
      </c>
      <c r="E26" t="str">
        <f>Nutrients!E95</f>
        <v>Medium Light</v>
      </c>
      <c r="F26">
        <f>AVERAGE(Nutrients!K95:K98)</f>
        <v>0.74150058616647119</v>
      </c>
      <c r="G26">
        <f>STDEV(Nutrients!K95:K98)</f>
        <v>0.22005038283056111</v>
      </c>
      <c r="H26">
        <f>AVERAGE(Nutrients!N95:N98)</f>
        <v>1.5054881887608463E-2</v>
      </c>
      <c r="I26">
        <f>STDEV(Nutrients!N95:N98)</f>
        <v>2.3705291210260287E-3</v>
      </c>
      <c r="J26">
        <f>AVERAGE(Nutrients!O95:O98)</f>
        <v>9.3774999999999995</v>
      </c>
      <c r="K26">
        <f>STDEV(Nutrients!O95:O98)</f>
        <v>8.3815273071200999E-2</v>
      </c>
    </row>
    <row r="27" spans="1:11" x14ac:dyDescent="0.3">
      <c r="A27" t="str">
        <f>Nutrients!A99</f>
        <v>UQLight04</v>
      </c>
      <c r="B27" s="3">
        <f>Nutrients!B99</f>
        <v>44753</v>
      </c>
      <c r="C27">
        <f>Nutrients!C99</f>
        <v>18</v>
      </c>
      <c r="D27" t="str">
        <f>Nutrients!D99</f>
        <v>Growth</v>
      </c>
      <c r="E27" t="str">
        <f>Nutrients!E99</f>
        <v>Low Light</v>
      </c>
      <c r="F27">
        <f>AVERAGE(Nutrients!K99:K102)</f>
        <v>0.78839390386869868</v>
      </c>
      <c r="G27">
        <f>STDEV(Nutrients!K99:K102)</f>
        <v>0.11049982255763914</v>
      </c>
      <c r="H27">
        <f>AVERAGE(Nutrients!N99:N102)</f>
        <v>1.3771795363096377E-2</v>
      </c>
      <c r="I27">
        <f>STDEV(Nutrients!N99:N102)</f>
        <v>1.6379490935529819E-3</v>
      </c>
      <c r="J27">
        <f>AVERAGE(Nutrients!O99:O102)</f>
        <v>9.3550000000000004</v>
      </c>
      <c r="K27">
        <f>STDEV(Nutrients!O99:O102)</f>
        <v>3.7859388972001799E-2</v>
      </c>
    </row>
    <row r="28" spans="1:11" x14ac:dyDescent="0.3">
      <c r="A28" t="str">
        <f>Nutrients!A103</f>
        <v>UQLight04</v>
      </c>
      <c r="B28" s="3">
        <f>Nutrients!B103</f>
        <v>44753</v>
      </c>
      <c r="C28">
        <f>Nutrients!C103</f>
        <v>18</v>
      </c>
      <c r="D28" t="str">
        <f>Nutrients!D103</f>
        <v>Growth</v>
      </c>
      <c r="E28" t="str">
        <f>Nutrients!E103</f>
        <v>Darkness</v>
      </c>
      <c r="F28">
        <f>AVERAGE(Nutrients!K103:K106)</f>
        <v>20.808909730363421</v>
      </c>
      <c r="G28">
        <f>STDEV(Nutrients!K103:K106)</f>
        <v>2.2593122100584941</v>
      </c>
      <c r="H28">
        <f>AVERAGE(Nutrients!N103:N106)</f>
        <v>1.1649741329756658</v>
      </c>
      <c r="I28">
        <f>STDEV(Nutrients!N103:N106)</f>
        <v>7.8621397658955511E-2</v>
      </c>
      <c r="J28">
        <f>AVERAGE(Nutrients!O103:O106)</f>
        <v>7.835</v>
      </c>
      <c r="K28">
        <f>STDEV(Nutrients!O103:O106)</f>
        <v>7.7674534651540394E-2</v>
      </c>
    </row>
  </sheetData>
  <autoFilter ref="A1:K28" xr:uid="{6B72DC05-8592-4D80-B058-80EEE5FFFCAC}">
    <filterColumn colId="5" showButton="0"/>
    <filterColumn colId="7" showButton="0"/>
    <filterColumn colId="9" showButton="0"/>
  </autoFilter>
  <mergeCells count="3"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B121-0333-49F0-9384-6B469B822C1C}">
  <dimension ref="A1:H62"/>
  <sheetViews>
    <sheetView topLeftCell="A10" zoomScale="70" zoomScaleNormal="70" workbookViewId="0">
      <selection activeCell="W58" sqref="W58"/>
    </sheetView>
  </sheetViews>
  <sheetFormatPr defaultColWidth="11.5546875" defaultRowHeight="14.4" x14ac:dyDescent="0.3"/>
  <sheetData>
    <row r="1" spans="1:8" x14ac:dyDescent="0.3">
      <c r="B1" s="4" t="s">
        <v>1</v>
      </c>
      <c r="C1" s="4" t="s">
        <v>65</v>
      </c>
    </row>
    <row r="2" spans="1:8" x14ac:dyDescent="0.3">
      <c r="A2" s="40" t="s">
        <v>15</v>
      </c>
      <c r="B2">
        <v>4</v>
      </c>
      <c r="C2">
        <v>0</v>
      </c>
    </row>
    <row r="3" spans="1:8" x14ac:dyDescent="0.3">
      <c r="A3" s="40"/>
      <c r="B3">
        <v>4</v>
      </c>
      <c r="C3">
        <v>100000000</v>
      </c>
    </row>
    <row r="4" spans="1:8" x14ac:dyDescent="0.3">
      <c r="A4" s="40" t="s">
        <v>16</v>
      </c>
      <c r="B4">
        <v>6</v>
      </c>
      <c r="C4">
        <v>0</v>
      </c>
    </row>
    <row r="5" spans="1:8" x14ac:dyDescent="0.3">
      <c r="A5" s="40"/>
      <c r="B5">
        <v>6</v>
      </c>
      <c r="C5">
        <v>100000000</v>
      </c>
    </row>
    <row r="6" spans="1:8" x14ac:dyDescent="0.3">
      <c r="A6" s="40" t="s">
        <v>20</v>
      </c>
      <c r="B6">
        <v>8</v>
      </c>
      <c r="C6">
        <v>0</v>
      </c>
    </row>
    <row r="7" spans="1:8" x14ac:dyDescent="0.3">
      <c r="A7" s="40"/>
      <c r="B7">
        <v>8</v>
      </c>
      <c r="C7">
        <v>100000000</v>
      </c>
    </row>
    <row r="8" spans="1:8" x14ac:dyDescent="0.3">
      <c r="A8" s="40" t="s">
        <v>64</v>
      </c>
      <c r="B8">
        <v>18</v>
      </c>
      <c r="C8">
        <v>0</v>
      </c>
    </row>
    <row r="9" spans="1:8" x14ac:dyDescent="0.3">
      <c r="A9" s="40"/>
      <c r="B9">
        <v>18</v>
      </c>
      <c r="C9">
        <v>100000000</v>
      </c>
    </row>
    <row r="12" spans="1:8" x14ac:dyDescent="0.3">
      <c r="A12" s="4" t="s">
        <v>17</v>
      </c>
    </row>
    <row r="13" spans="1:8" ht="14.85" customHeight="1" x14ac:dyDescent="0.3">
      <c r="A13" s="25" t="s">
        <v>0</v>
      </c>
      <c r="B13" s="25" t="s">
        <v>1</v>
      </c>
      <c r="C13" s="49" t="s">
        <v>68</v>
      </c>
      <c r="D13" s="49"/>
      <c r="E13" s="49" t="s">
        <v>69</v>
      </c>
      <c r="F13" s="49"/>
      <c r="G13" s="49" t="s">
        <v>42</v>
      </c>
      <c r="H13" s="49"/>
    </row>
    <row r="14" spans="1:8" x14ac:dyDescent="0.3">
      <c r="C14" s="2" t="s">
        <v>60</v>
      </c>
      <c r="D14" s="2" t="s">
        <v>63</v>
      </c>
      <c r="E14" s="2" t="s">
        <v>60</v>
      </c>
      <c r="F14" s="2" t="s">
        <v>63</v>
      </c>
      <c r="G14" s="2" t="s">
        <v>60</v>
      </c>
      <c r="H14" s="2" t="s">
        <v>63</v>
      </c>
    </row>
    <row r="15" spans="1:8" x14ac:dyDescent="0.3">
      <c r="A15" s="3">
        <f>'Nutrients average'!B3</f>
        <v>44735</v>
      </c>
      <c r="B15" s="28">
        <f>'Nutrients average'!C3</f>
        <v>0</v>
      </c>
      <c r="C15">
        <f>'Nutrients average'!F3</f>
        <v>20</v>
      </c>
      <c r="D15">
        <f>'Nutrients average'!G3</f>
        <v>0</v>
      </c>
      <c r="E15">
        <f>'Nutrients average'!H3</f>
        <v>1</v>
      </c>
      <c r="F15">
        <f>'Nutrients average'!I3</f>
        <v>0</v>
      </c>
      <c r="G15">
        <f>'Nutrients average'!J3</f>
        <v>8</v>
      </c>
      <c r="H15">
        <f>'Nutrients average'!K3</f>
        <v>0</v>
      </c>
    </row>
    <row r="16" spans="1:8" x14ac:dyDescent="0.3">
      <c r="A16" s="3">
        <f>'Nutrients average'!B4</f>
        <v>44739</v>
      </c>
      <c r="B16" s="28">
        <f>'Nutrients average'!C4</f>
        <v>4</v>
      </c>
      <c r="C16">
        <f>'Nutrients average'!F4</f>
        <v>1.602188354826104</v>
      </c>
      <c r="D16">
        <f>'Nutrients average'!G4</f>
        <v>0.99539691583470946</v>
      </c>
      <c r="E16">
        <f>'Nutrients average'!H4</f>
        <v>0.18565949022519179</v>
      </c>
      <c r="F16">
        <f>'Nutrients average'!I4</f>
        <v>9.2710095347481453E-2</v>
      </c>
      <c r="G16">
        <f>'Nutrients average'!J4</f>
        <v>9.3724999999999987</v>
      </c>
      <c r="H16">
        <f>'Nutrients average'!K4</f>
        <v>4.1932485418030331E-2</v>
      </c>
    </row>
    <row r="17" spans="1:8" x14ac:dyDescent="0.3">
      <c r="A17" s="3">
        <f>'Nutrients average'!B5</f>
        <v>44741</v>
      </c>
      <c r="B17" s="28">
        <f>'Nutrients average'!C5</f>
        <v>6</v>
      </c>
      <c r="C17">
        <f>'Nutrients average'!F5</f>
        <v>0.83528722157092616</v>
      </c>
      <c r="D17">
        <f>'Nutrients average'!G5</f>
        <v>0.52595414774788851</v>
      </c>
      <c r="E17">
        <f>'Nutrients average'!H5</f>
        <v>3.2575185604630678E-2</v>
      </c>
      <c r="F17">
        <f>'Nutrients average'!I5</f>
        <v>2.3593808984522465E-3</v>
      </c>
      <c r="G17">
        <f>'Nutrients average'!J5</f>
        <v>9.4375</v>
      </c>
      <c r="H17">
        <f>'Nutrients average'!K5</f>
        <v>8.0570879768479306E-2</v>
      </c>
    </row>
    <row r="18" spans="1:8" x14ac:dyDescent="0.3">
      <c r="A18" s="3">
        <v>44741</v>
      </c>
      <c r="B18" s="31">
        <v>6.5</v>
      </c>
      <c r="C18">
        <v>22</v>
      </c>
      <c r="D18">
        <v>0</v>
      </c>
      <c r="E18">
        <v>1.4</v>
      </c>
      <c r="F18">
        <v>0</v>
      </c>
      <c r="G18">
        <v>8</v>
      </c>
      <c r="H18">
        <v>0</v>
      </c>
    </row>
    <row r="19" spans="1:8" x14ac:dyDescent="0.3">
      <c r="A19" s="3">
        <f>'Nutrients average'!B9</f>
        <v>44743</v>
      </c>
      <c r="B19" s="28">
        <f>'Nutrients average'!C9</f>
        <v>8</v>
      </c>
      <c r="C19">
        <f>'Nutrients average'!F9</f>
        <v>0.92321219226260265</v>
      </c>
      <c r="D19">
        <f>'Nutrients average'!G9</f>
        <v>1.0533342444728322</v>
      </c>
      <c r="E19">
        <f>'Nutrients average'!H9</f>
        <v>4.3904958677685957E-2</v>
      </c>
      <c r="F19">
        <f>'Nutrients average'!I9</f>
        <v>1.0585692940040893E-2</v>
      </c>
      <c r="G19">
        <f>'Nutrients average'!J9</f>
        <v>9.36</v>
      </c>
      <c r="H19">
        <f>'Nutrients average'!K9</f>
        <v>9.6953597148326659E-2</v>
      </c>
    </row>
    <row r="20" spans="1:8" x14ac:dyDescent="0.3">
      <c r="A20" s="3">
        <f>'Nutrients average'!B13</f>
        <v>44746</v>
      </c>
      <c r="B20" s="28">
        <f>'Nutrients average'!C13</f>
        <v>11</v>
      </c>
      <c r="C20">
        <f>'Nutrients average'!F13</f>
        <v>0.91051191871824932</v>
      </c>
      <c r="D20">
        <f>'Nutrients average'!G13</f>
        <v>7.6376788924158112E-2</v>
      </c>
      <c r="E20">
        <f>'Nutrients average'!H13</f>
        <v>3.6881020214353549E-2</v>
      </c>
      <c r="F20">
        <f>'Nutrients average'!I13</f>
        <v>2.3086620830124987E-3</v>
      </c>
      <c r="G20">
        <f>'Nutrients average'!J13</f>
        <v>8.7974999999999994</v>
      </c>
      <c r="H20">
        <f>'Nutrients average'!K13</f>
        <v>0.11176612486199307</v>
      </c>
    </row>
    <row r="21" spans="1:8" x14ac:dyDescent="0.3">
      <c r="A21" s="3">
        <f>'Nutrients average'!B17</f>
        <v>44748</v>
      </c>
      <c r="B21" s="28">
        <f>'Nutrients average'!C17</f>
        <v>13</v>
      </c>
      <c r="C21">
        <f>'Nutrients average'!F17</f>
        <v>1.3755373192653377</v>
      </c>
      <c r="D21">
        <f>'Nutrients average'!G17</f>
        <v>0.43171056334317209</v>
      </c>
      <c r="E21">
        <f>'Nutrients average'!H17</f>
        <v>3.2771435684057049E-2</v>
      </c>
      <c r="F21">
        <f>'Nutrients average'!I17</f>
        <v>3.3561979601296052E-3</v>
      </c>
      <c r="G21">
        <f>'Nutrients average'!J17</f>
        <v>9.1074999999999999</v>
      </c>
      <c r="H21">
        <f>'Nutrients average'!K17</f>
        <v>0.13937359864766388</v>
      </c>
    </row>
    <row r="22" spans="1:8" x14ac:dyDescent="0.3">
      <c r="A22" s="3">
        <f>'Nutrients average'!B21</f>
        <v>44750</v>
      </c>
      <c r="B22" s="28">
        <f>'Nutrients average'!C21</f>
        <v>15</v>
      </c>
      <c r="C22">
        <f>'Nutrients average'!F21</f>
        <v>0.85482610394685432</v>
      </c>
      <c r="D22">
        <f>'Nutrients average'!G21</f>
        <v>8.8559503888547123E-2</v>
      </c>
      <c r="E22">
        <f>'Nutrients average'!H21</f>
        <v>2.215009827247336E-2</v>
      </c>
      <c r="F22">
        <f>'Nutrients average'!I21</f>
        <v>3.0112821066012496E-3</v>
      </c>
      <c r="G22">
        <f>'Nutrients average'!J21</f>
        <v>9.2475000000000005</v>
      </c>
      <c r="H22">
        <f>'Nutrients average'!K21</f>
        <v>0.15239750654128131</v>
      </c>
    </row>
    <row r="23" spans="1:8" x14ac:dyDescent="0.3">
      <c r="A23" s="3">
        <f>'Nutrients average'!B25</f>
        <v>44753</v>
      </c>
      <c r="B23" s="28">
        <f>'Nutrients average'!C25</f>
        <v>18</v>
      </c>
      <c r="C23">
        <f>'Nutrients average'!F25</f>
        <v>0.7248925361469325</v>
      </c>
      <c r="D23">
        <f>'Nutrients average'!G25</f>
        <v>0.15501941261515886</v>
      </c>
      <c r="E23">
        <f>'Nutrients average'!H25</f>
        <v>1.5853246836193761E-2</v>
      </c>
      <c r="F23">
        <f>'Nutrients average'!I25</f>
        <v>1.3103592748423866E-3</v>
      </c>
      <c r="G23">
        <f>'Nutrients average'!J25</f>
        <v>9.32</v>
      </c>
      <c r="H23">
        <f>'Nutrients average'!K25</f>
        <v>9.7638790105845016E-2</v>
      </c>
    </row>
    <row r="25" spans="1:8" x14ac:dyDescent="0.3">
      <c r="A25" s="4" t="s">
        <v>91</v>
      </c>
    </row>
    <row r="26" spans="1:8" ht="14.85" customHeight="1" x14ac:dyDescent="0.3">
      <c r="A26" s="25" t="s">
        <v>0</v>
      </c>
      <c r="B26" s="25" t="s">
        <v>1</v>
      </c>
      <c r="C26" s="49" t="s">
        <v>68</v>
      </c>
      <c r="D26" s="49"/>
      <c r="E26" s="49" t="s">
        <v>69</v>
      </c>
      <c r="F26" s="49"/>
      <c r="G26" s="49" t="s">
        <v>42</v>
      </c>
      <c r="H26" s="49"/>
    </row>
    <row r="27" spans="1:8" x14ac:dyDescent="0.3">
      <c r="C27" s="2" t="s">
        <v>60</v>
      </c>
      <c r="D27" s="2" t="s">
        <v>63</v>
      </c>
      <c r="E27" s="2" t="s">
        <v>60</v>
      </c>
      <c r="F27" s="2" t="s">
        <v>63</v>
      </c>
      <c r="G27" s="2" t="s">
        <v>60</v>
      </c>
      <c r="H27" s="2" t="s">
        <v>63</v>
      </c>
    </row>
    <row r="28" spans="1:8" x14ac:dyDescent="0.3">
      <c r="A28" s="3">
        <f>'Nutrients average'!B3</f>
        <v>44735</v>
      </c>
      <c r="B28" s="28">
        <f>'Nutrients average'!C3</f>
        <v>0</v>
      </c>
      <c r="C28">
        <f>'Nutrients average'!F3</f>
        <v>20</v>
      </c>
      <c r="D28">
        <f>'Nutrients average'!G3</f>
        <v>0</v>
      </c>
      <c r="E28">
        <f>'Nutrients average'!H3</f>
        <v>1</v>
      </c>
      <c r="F28">
        <f>'Nutrients average'!I3</f>
        <v>0</v>
      </c>
      <c r="G28">
        <f>'Nutrients average'!J3</f>
        <v>8</v>
      </c>
      <c r="H28">
        <f>'Nutrients average'!K3</f>
        <v>0</v>
      </c>
    </row>
    <row r="29" spans="1:8" x14ac:dyDescent="0.3">
      <c r="A29" s="3">
        <f>'Nutrients average'!B4</f>
        <v>44739</v>
      </c>
      <c r="B29" s="28">
        <f>'Nutrients average'!C4</f>
        <v>4</v>
      </c>
      <c r="C29">
        <f>'Nutrients average'!F4</f>
        <v>1.602188354826104</v>
      </c>
      <c r="D29">
        <f>'Nutrients average'!G4</f>
        <v>0.99539691583470946</v>
      </c>
      <c r="E29">
        <f>'Nutrients average'!H4</f>
        <v>0.18565949022519179</v>
      </c>
      <c r="F29">
        <f>'Nutrients average'!I4</f>
        <v>9.2710095347481453E-2</v>
      </c>
      <c r="G29">
        <f>'Nutrients average'!J4</f>
        <v>9.3724999999999987</v>
      </c>
      <c r="H29">
        <f>'Nutrients average'!K4</f>
        <v>4.1932485418030331E-2</v>
      </c>
    </row>
    <row r="30" spans="1:8" x14ac:dyDescent="0.3">
      <c r="A30" s="3">
        <f>'Nutrients average'!B6</f>
        <v>44741</v>
      </c>
      <c r="B30" s="28">
        <f>'Nutrients average'!C6</f>
        <v>6</v>
      </c>
      <c r="C30">
        <f>'Nutrients average'!F6</f>
        <v>0.63794450957405235</v>
      </c>
      <c r="D30">
        <f>'Nutrients average'!G6</f>
        <v>0.14188242547582727</v>
      </c>
      <c r="E30">
        <f>'Nutrients average'!H6</f>
        <v>3.2181955454888639E-2</v>
      </c>
      <c r="F30">
        <f>'Nutrients average'!I6</f>
        <v>1.5729205989681652E-3</v>
      </c>
      <c r="G30">
        <f>'Nutrients average'!J6</f>
        <v>9.245000000000001</v>
      </c>
      <c r="H30">
        <f>'Nutrients average'!K6</f>
        <v>0.12503332889007349</v>
      </c>
    </row>
    <row r="31" spans="1:8" x14ac:dyDescent="0.3">
      <c r="A31" s="3">
        <v>44741</v>
      </c>
      <c r="B31" s="31">
        <v>6.5</v>
      </c>
      <c r="C31">
        <v>22</v>
      </c>
      <c r="D31">
        <v>0</v>
      </c>
      <c r="E31">
        <v>1.4</v>
      </c>
      <c r="F31">
        <v>0</v>
      </c>
      <c r="G31">
        <v>8</v>
      </c>
      <c r="H31">
        <v>0</v>
      </c>
    </row>
    <row r="32" spans="1:8" x14ac:dyDescent="0.3">
      <c r="A32" s="3">
        <f>'Nutrients average'!B10</f>
        <v>44743</v>
      </c>
      <c r="B32" s="28">
        <f>'Nutrients average'!C10</f>
        <v>8</v>
      </c>
      <c r="C32">
        <f>'Nutrients average'!F10</f>
        <v>3.1946072684642433</v>
      </c>
      <c r="D32">
        <f>'Nutrients average'!G10</f>
        <v>2.7660920965978786</v>
      </c>
      <c r="E32">
        <f>'Nutrients average'!H10</f>
        <v>8.9876033057851246E-2</v>
      </c>
      <c r="F32">
        <f>'Nutrients average'!I10</f>
        <v>4.6720414892965939E-2</v>
      </c>
      <c r="G32">
        <f>'Nutrients average'!J10</f>
        <v>9.182500000000001</v>
      </c>
      <c r="H32">
        <f>'Nutrients average'!K10</f>
        <v>9.9456858318904787E-2</v>
      </c>
    </row>
    <row r="33" spans="1:8" x14ac:dyDescent="0.3">
      <c r="A33" s="3">
        <f>'Nutrients average'!B14</f>
        <v>44746</v>
      </c>
      <c r="B33" s="28">
        <f>'Nutrients average'!C14</f>
        <v>11</v>
      </c>
      <c r="C33">
        <f>'Nutrients average'!F14</f>
        <v>0.88608831574833924</v>
      </c>
      <c r="D33">
        <f>'Nutrients average'!G14</f>
        <v>0.228493564012031</v>
      </c>
      <c r="E33">
        <f>'Nutrients average'!H14</f>
        <v>3.4657592064999472E-2</v>
      </c>
      <c r="F33">
        <f>'Nutrients average'!I14</f>
        <v>3.6073637045418746E-3</v>
      </c>
      <c r="G33">
        <f>'Nutrients average'!J14</f>
        <v>8.9150000000000009</v>
      </c>
      <c r="H33">
        <f>'Nutrients average'!K14</f>
        <v>0.10754843869934447</v>
      </c>
    </row>
    <row r="34" spans="1:8" x14ac:dyDescent="0.3">
      <c r="A34" s="3">
        <f>'Nutrients average'!B18</f>
        <v>44748</v>
      </c>
      <c r="B34" s="28">
        <f>'Nutrients average'!C18</f>
        <v>13</v>
      </c>
      <c r="C34">
        <f>'Nutrients average'!F18</f>
        <v>0.83528722157092616</v>
      </c>
      <c r="D34">
        <f>'Nutrients average'!G18</f>
        <v>0.13985891423734775</v>
      </c>
      <c r="E34">
        <f>'Nutrients average'!H18</f>
        <v>2.5742158327109788E-2</v>
      </c>
      <c r="F34">
        <f>'Nutrients average'!I18</f>
        <v>1.4418605749879222E-3</v>
      </c>
      <c r="G34">
        <f>'Nutrients average'!J18</f>
        <v>9.31</v>
      </c>
      <c r="H34">
        <f>'Nutrients average'!K18</f>
        <v>2.160246899469323E-2</v>
      </c>
    </row>
    <row r="35" spans="1:8" x14ac:dyDescent="0.3">
      <c r="A35" s="3">
        <f>'Nutrients average'!B22</f>
        <v>44750</v>
      </c>
      <c r="B35" s="28">
        <f>'Nutrients average'!C22</f>
        <v>15</v>
      </c>
      <c r="C35">
        <f>'Nutrients average'!F22</f>
        <v>0.79230168034388426</v>
      </c>
      <c r="D35">
        <f>'Nutrients average'!G22</f>
        <v>0.37540934251667502</v>
      </c>
      <c r="E35">
        <f>'Nutrients average'!H22</f>
        <v>1.6202027516292541E-2</v>
      </c>
      <c r="F35">
        <f>'Nutrients average'!I22</f>
        <v>0</v>
      </c>
      <c r="G35">
        <f>'Nutrients average'!J22</f>
        <v>9.1475000000000009</v>
      </c>
      <c r="H35">
        <f>'Nutrients average'!K22</f>
        <v>5.9090326337452932E-2</v>
      </c>
    </row>
    <row r="36" spans="1:8" x14ac:dyDescent="0.3">
      <c r="A36" s="3">
        <f>'Nutrients average'!B26</f>
        <v>44753</v>
      </c>
      <c r="B36" s="28">
        <f>'Nutrients average'!C26</f>
        <v>18</v>
      </c>
      <c r="C36">
        <f>'Nutrients average'!F26</f>
        <v>0.74150058616647119</v>
      </c>
      <c r="D36">
        <f>'Nutrients average'!G26</f>
        <v>0.22005038283056111</v>
      </c>
      <c r="E36">
        <f>'Nutrients average'!H26</f>
        <v>1.5054881887608463E-2</v>
      </c>
      <c r="F36">
        <f>'Nutrients average'!I26</f>
        <v>2.3705291210260287E-3</v>
      </c>
      <c r="G36">
        <f>'Nutrients average'!J26</f>
        <v>9.3774999999999995</v>
      </c>
      <c r="H36">
        <f>'Nutrients average'!K26</f>
        <v>8.3815273071200999E-2</v>
      </c>
    </row>
    <row r="38" spans="1:8" x14ac:dyDescent="0.3">
      <c r="A38" s="4" t="s">
        <v>18</v>
      </c>
    </row>
    <row r="39" spans="1:8" ht="14.85" customHeight="1" x14ac:dyDescent="0.3">
      <c r="A39" s="25" t="s">
        <v>0</v>
      </c>
      <c r="B39" s="25" t="s">
        <v>1</v>
      </c>
      <c r="C39" s="49" t="s">
        <v>68</v>
      </c>
      <c r="D39" s="49"/>
      <c r="E39" s="49" t="s">
        <v>69</v>
      </c>
      <c r="F39" s="49"/>
      <c r="G39" s="49" t="s">
        <v>42</v>
      </c>
      <c r="H39" s="49"/>
    </row>
    <row r="40" spans="1:8" x14ac:dyDescent="0.3">
      <c r="C40" s="2" t="s">
        <v>60</v>
      </c>
      <c r="D40" s="2" t="s">
        <v>63</v>
      </c>
      <c r="E40" s="2" t="s">
        <v>60</v>
      </c>
      <c r="F40" s="2" t="s">
        <v>63</v>
      </c>
      <c r="G40" s="2" t="s">
        <v>60</v>
      </c>
      <c r="H40" s="2" t="s">
        <v>63</v>
      </c>
    </row>
    <row r="41" spans="1:8" x14ac:dyDescent="0.3">
      <c r="A41" s="3">
        <f>'Nutrients average'!B3</f>
        <v>44735</v>
      </c>
      <c r="B41" s="28">
        <f>'Nutrients average'!C3</f>
        <v>0</v>
      </c>
      <c r="C41">
        <f>'Nutrients average'!F3</f>
        <v>20</v>
      </c>
      <c r="D41">
        <f>'Nutrients average'!G3</f>
        <v>0</v>
      </c>
      <c r="E41">
        <f>'Nutrients average'!H3</f>
        <v>1</v>
      </c>
      <c r="F41">
        <f>'Nutrients average'!I3</f>
        <v>0</v>
      </c>
      <c r="G41">
        <f>'Nutrients average'!J3</f>
        <v>8</v>
      </c>
      <c r="H41">
        <f>'Nutrients average'!K3</f>
        <v>0</v>
      </c>
    </row>
    <row r="42" spans="1:8" x14ac:dyDescent="0.3">
      <c r="A42" s="3">
        <f>'Nutrients average'!B4</f>
        <v>44739</v>
      </c>
      <c r="B42" s="28">
        <f>'Nutrients average'!C4</f>
        <v>4</v>
      </c>
      <c r="C42">
        <f>'Nutrients average'!F4</f>
        <v>1.602188354826104</v>
      </c>
      <c r="D42">
        <f>'Nutrients average'!G4</f>
        <v>0.99539691583470946</v>
      </c>
      <c r="E42">
        <f>'Nutrients average'!H4</f>
        <v>0.18565949022519179</v>
      </c>
      <c r="F42">
        <f>'Nutrients average'!I4</f>
        <v>9.2710095347481453E-2</v>
      </c>
      <c r="G42">
        <f>'Nutrients average'!J4</f>
        <v>9.3724999999999987</v>
      </c>
      <c r="H42">
        <f>'Nutrients average'!K4</f>
        <v>4.1932485418030331E-2</v>
      </c>
    </row>
    <row r="43" spans="1:8" x14ac:dyDescent="0.3">
      <c r="A43" s="3">
        <f>'Nutrients average'!B7</f>
        <v>44741</v>
      </c>
      <c r="B43" s="28">
        <f>'Nutrients average'!C7</f>
        <v>6</v>
      </c>
      <c r="C43">
        <f>'Nutrients average'!F7</f>
        <v>0.70339976553341155</v>
      </c>
      <c r="D43">
        <f>'Nutrients average'!G7</f>
        <v>0.32471404421121702</v>
      </c>
      <c r="E43">
        <f>'Nutrients average'!H7</f>
        <v>3.4934566503082923E-2</v>
      </c>
      <c r="F43">
        <f>'Nutrients average'!I7</f>
        <v>3.4877245857058412E-3</v>
      </c>
      <c r="G43">
        <f>'Nutrients average'!J7</f>
        <v>9.245000000000001</v>
      </c>
      <c r="H43">
        <f>'Nutrients average'!K7</f>
        <v>0.11210114480533499</v>
      </c>
    </row>
    <row r="44" spans="1:8" x14ac:dyDescent="0.3">
      <c r="A44" s="3">
        <v>44741</v>
      </c>
      <c r="B44" s="31">
        <v>6.5</v>
      </c>
      <c r="C44">
        <v>22</v>
      </c>
      <c r="D44">
        <v>0</v>
      </c>
      <c r="E44">
        <v>1.4</v>
      </c>
      <c r="F44">
        <v>0</v>
      </c>
      <c r="G44">
        <v>8</v>
      </c>
      <c r="H44">
        <v>0</v>
      </c>
    </row>
    <row r="45" spans="1:8" x14ac:dyDescent="0.3">
      <c r="A45" s="3">
        <f>'Nutrients average'!B11</f>
        <v>44743</v>
      </c>
      <c r="B45" s="28">
        <f>'Nutrients average'!C11</f>
        <v>8</v>
      </c>
      <c r="C45">
        <f>'Nutrients average'!F11</f>
        <v>4.660023446658851</v>
      </c>
      <c r="D45">
        <f>'Nutrients average'!G11</f>
        <v>2.7545666627338177</v>
      </c>
      <c r="E45">
        <f>'Nutrients average'!H11</f>
        <v>0.121900826446281</v>
      </c>
      <c r="F45">
        <f>'Nutrients average'!I11</f>
        <v>2.643228796473205E-2</v>
      </c>
      <c r="G45">
        <f>'Nutrients average'!J11</f>
        <v>8.9949999999999992</v>
      </c>
      <c r="H45">
        <f>'Nutrients average'!K11</f>
        <v>0.18645821694595979</v>
      </c>
    </row>
    <row r="46" spans="1:8" x14ac:dyDescent="0.3">
      <c r="A46" s="3">
        <f>'Nutrients average'!B15</f>
        <v>44746</v>
      </c>
      <c r="B46" s="28">
        <f>'Nutrients average'!C15</f>
        <v>11</v>
      </c>
      <c r="C46">
        <f>'Nutrients average'!F15</f>
        <v>0.87241109808518946</v>
      </c>
      <c r="D46">
        <f>'Nutrients average'!G15</f>
        <v>0.2597103855085009</v>
      </c>
      <c r="E46">
        <f>'Nutrients average'!H15</f>
        <v>3.453511509067065E-2</v>
      </c>
      <c r="F46">
        <f>'Nutrients average'!I15</f>
        <v>5.055289228337586E-3</v>
      </c>
      <c r="G46">
        <f>'Nutrients average'!J15</f>
        <v>8.9400000000000013</v>
      </c>
      <c r="H46">
        <f>'Nutrients average'!K15</f>
        <v>8.7177978870813314E-2</v>
      </c>
    </row>
    <row r="47" spans="1:8" x14ac:dyDescent="0.3">
      <c r="A47" s="3">
        <f>'Nutrients average'!B19</f>
        <v>44748</v>
      </c>
      <c r="B47" s="28">
        <f>'Nutrients average'!C19</f>
        <v>13</v>
      </c>
      <c r="C47">
        <f>'Nutrients average'!F19</f>
        <v>0.89390386869871041</v>
      </c>
      <c r="D47">
        <f>'Nutrients average'!G19</f>
        <v>0.14058494034349214</v>
      </c>
      <c r="E47">
        <f>'Nutrients average'!H19</f>
        <v>2.5158700522778195E-2</v>
      </c>
      <c r="F47">
        <f>'Nutrients average'!I19</f>
        <v>1.3474380815665277E-3</v>
      </c>
      <c r="G47">
        <f>'Nutrients average'!J19</f>
        <v>9.27</v>
      </c>
      <c r="H47">
        <f>'Nutrients average'!K19</f>
        <v>6.9761498454854617E-2</v>
      </c>
    </row>
    <row r="48" spans="1:8" x14ac:dyDescent="0.3">
      <c r="A48" s="3">
        <f>'Nutrients average'!B23</f>
        <v>44750</v>
      </c>
      <c r="B48" s="28">
        <f>'Nutrients average'!C23</f>
        <v>15</v>
      </c>
      <c r="C48">
        <f>'Nutrients average'!F23</f>
        <v>0.75127002735443527</v>
      </c>
      <c r="D48">
        <f>'Nutrients average'!G23</f>
        <v>0.11677104822431106</v>
      </c>
      <c r="E48">
        <f>'Nutrients average'!H23</f>
        <v>1.5070601013758145E-2</v>
      </c>
      <c r="F48">
        <f>'Nutrients average'!I23</f>
        <v>1.5430941614639456E-3</v>
      </c>
      <c r="G48">
        <f>'Nutrients average'!J23</f>
        <v>9.23</v>
      </c>
      <c r="H48">
        <f>'Nutrients average'!K23</f>
        <v>0.11860297916438142</v>
      </c>
    </row>
    <row r="49" spans="1:8" x14ac:dyDescent="0.3">
      <c r="A49" s="3">
        <f>'Nutrients average'!B27</f>
        <v>44753</v>
      </c>
      <c r="B49" s="28">
        <f>'Nutrients average'!C27</f>
        <v>18</v>
      </c>
      <c r="C49">
        <f>'Nutrients average'!F27</f>
        <v>0.78839390386869868</v>
      </c>
      <c r="D49">
        <f>'Nutrients average'!G27</f>
        <v>0.11049982255763914</v>
      </c>
      <c r="E49">
        <f>'Nutrients average'!H27</f>
        <v>1.3771795363096377E-2</v>
      </c>
      <c r="F49">
        <f>'Nutrients average'!I27</f>
        <v>1.6379490935529819E-3</v>
      </c>
      <c r="G49">
        <f>'Nutrients average'!J27</f>
        <v>9.3550000000000004</v>
      </c>
      <c r="H49">
        <f>'Nutrients average'!K27</f>
        <v>3.7859388972001799E-2</v>
      </c>
    </row>
    <row r="50" spans="1:8" x14ac:dyDescent="0.3">
      <c r="A50" s="3"/>
      <c r="B50" s="28"/>
    </row>
    <row r="51" spans="1:8" x14ac:dyDescent="0.3">
      <c r="A51" s="4" t="s">
        <v>19</v>
      </c>
    </row>
    <row r="52" spans="1:8" ht="14.85" customHeight="1" x14ac:dyDescent="0.3">
      <c r="A52" s="25" t="s">
        <v>0</v>
      </c>
      <c r="B52" s="25" t="s">
        <v>1</v>
      </c>
      <c r="C52" s="49" t="s">
        <v>68</v>
      </c>
      <c r="D52" s="49"/>
      <c r="E52" s="49" t="s">
        <v>69</v>
      </c>
      <c r="F52" s="49"/>
      <c r="G52" s="49" t="s">
        <v>42</v>
      </c>
      <c r="H52" s="49"/>
    </row>
    <row r="53" spans="1:8" x14ac:dyDescent="0.3">
      <c r="C53" s="2" t="s">
        <v>60</v>
      </c>
      <c r="D53" s="2" t="s">
        <v>63</v>
      </c>
      <c r="E53" s="2" t="s">
        <v>60</v>
      </c>
      <c r="F53" s="2" t="s">
        <v>63</v>
      </c>
      <c r="G53" s="2" t="s">
        <v>60</v>
      </c>
      <c r="H53" s="2" t="s">
        <v>63</v>
      </c>
    </row>
    <row r="54" spans="1:8" x14ac:dyDescent="0.3">
      <c r="A54" s="3">
        <f>'Nutrients average'!B3</f>
        <v>44735</v>
      </c>
      <c r="B54" s="28">
        <f>'Nutrients average'!C3</f>
        <v>0</v>
      </c>
      <c r="C54">
        <f>'Nutrients average'!F3</f>
        <v>20</v>
      </c>
      <c r="D54">
        <f>'Nutrients average'!G3</f>
        <v>0</v>
      </c>
      <c r="E54">
        <f>'Nutrients average'!H3</f>
        <v>1</v>
      </c>
      <c r="F54">
        <f>'Nutrients average'!I3</f>
        <v>0</v>
      </c>
      <c r="G54">
        <f>'Nutrients average'!J3</f>
        <v>8</v>
      </c>
      <c r="H54">
        <f>'Nutrients average'!K3</f>
        <v>0</v>
      </c>
    </row>
    <row r="55" spans="1:8" x14ac:dyDescent="0.3">
      <c r="A55" s="3">
        <f>'Nutrients average'!B4</f>
        <v>44739</v>
      </c>
      <c r="B55" s="28">
        <f>'Nutrients average'!C4</f>
        <v>4</v>
      </c>
      <c r="C55">
        <f>'Nutrients average'!F4</f>
        <v>1.602188354826104</v>
      </c>
      <c r="D55">
        <f>'Nutrients average'!G4</f>
        <v>0.99539691583470946</v>
      </c>
      <c r="E55">
        <f>'Nutrients average'!H4</f>
        <v>0.18565949022519179</v>
      </c>
      <c r="F55">
        <f>'Nutrients average'!I4</f>
        <v>9.2710095347481453E-2</v>
      </c>
      <c r="G55">
        <f>'Nutrients average'!J4</f>
        <v>9.3724999999999987</v>
      </c>
      <c r="H55">
        <f>'Nutrients average'!K4</f>
        <v>4.1932485418030331E-2</v>
      </c>
    </row>
    <row r="56" spans="1:8" x14ac:dyDescent="0.3">
      <c r="A56" s="3">
        <f>'Nutrients average'!B8</f>
        <v>44741</v>
      </c>
      <c r="B56" s="28">
        <f>'Nutrients average'!C8</f>
        <v>6</v>
      </c>
      <c r="C56">
        <f>'Nutrients average'!F8</f>
        <v>4.5884134427510741</v>
      </c>
      <c r="D56">
        <f>'Nutrients average'!G8</f>
        <v>2.6704992366368221</v>
      </c>
      <c r="E56">
        <f>'Nutrients average'!H8</f>
        <v>0.12183842959607399</v>
      </c>
      <c r="F56">
        <f>'Nutrients average'!I8</f>
        <v>0.11619401986575173</v>
      </c>
      <c r="G56">
        <f>'Nutrients average'!J8</f>
        <v>8.1024999999999991</v>
      </c>
      <c r="H56">
        <f>'Nutrients average'!K8</f>
        <v>4.9244289008980917E-2</v>
      </c>
    </row>
    <row r="57" spans="1:8" x14ac:dyDescent="0.3">
      <c r="A57" s="3">
        <v>44741</v>
      </c>
      <c r="B57" s="31">
        <v>6.5</v>
      </c>
      <c r="C57">
        <v>22</v>
      </c>
      <c r="D57">
        <v>0</v>
      </c>
      <c r="E57">
        <v>1.4</v>
      </c>
      <c r="F57">
        <v>0</v>
      </c>
      <c r="G57">
        <v>8</v>
      </c>
      <c r="H57">
        <v>0</v>
      </c>
    </row>
    <row r="58" spans="1:8" x14ac:dyDescent="0.3">
      <c r="A58" s="3">
        <f>'Nutrients average'!B12</f>
        <v>44743</v>
      </c>
      <c r="B58" s="28">
        <f>'Nutrients average'!C12</f>
        <v>8</v>
      </c>
      <c r="C58">
        <f>'Nutrients average'!F12</f>
        <v>19.509574052364204</v>
      </c>
      <c r="D58">
        <f>'Nutrients average'!G12</f>
        <v>1.791656207304797</v>
      </c>
      <c r="E58">
        <f>'Nutrients average'!H12</f>
        <v>1.0423553719008263</v>
      </c>
      <c r="F58">
        <f>'Nutrients average'!I12</f>
        <v>0.14876989562148016</v>
      </c>
      <c r="G58">
        <f>'Nutrients average'!J12</f>
        <v>7.66</v>
      </c>
      <c r="H58">
        <f>'Nutrients average'!K12</f>
        <v>0.16990193249832891</v>
      </c>
    </row>
    <row r="59" spans="1:8" x14ac:dyDescent="0.3">
      <c r="A59" s="3">
        <f>'Nutrients average'!B16</f>
        <v>44746</v>
      </c>
      <c r="B59" s="28">
        <f>'Nutrients average'!C16</f>
        <v>11</v>
      </c>
      <c r="C59">
        <f>'Nutrients average'!F16</f>
        <v>21.199687377881979</v>
      </c>
      <c r="D59">
        <f>'Nutrients average'!G16</f>
        <v>0.37617634696349217</v>
      </c>
      <c r="E59">
        <f>'Nutrients average'!H16</f>
        <v>1.130864197530864</v>
      </c>
      <c r="F59">
        <f>'Nutrients average'!I16</f>
        <v>0.13556872500622999</v>
      </c>
      <c r="G59">
        <f>'Nutrients average'!J16</f>
        <v>7.97</v>
      </c>
      <c r="H59">
        <f>'Nutrients average'!K16</f>
        <v>7.4386378681404755E-2</v>
      </c>
    </row>
    <row r="60" spans="1:8" x14ac:dyDescent="0.3">
      <c r="A60" s="3">
        <f>'Nutrients average'!B20</f>
        <v>44748</v>
      </c>
      <c r="B60" s="28">
        <f>'Nutrients average'!C20</f>
        <v>13</v>
      </c>
      <c r="C60">
        <f>'Nutrients average'!F20</f>
        <v>22.684642438452517</v>
      </c>
      <c r="D60">
        <f>'Nutrients average'!G20</f>
        <v>1.2774703993690746</v>
      </c>
      <c r="E60">
        <f>'Nutrients average'!H20</f>
        <v>1.2473861090365945</v>
      </c>
      <c r="F60">
        <f>'Nutrients average'!I20</f>
        <v>7.1989015389202146E-2</v>
      </c>
      <c r="G60">
        <f>'Nutrients average'!J20</f>
        <v>7.8549999999999995</v>
      </c>
      <c r="H60">
        <f>'Nutrients average'!K20</f>
        <v>0.16299284237863523</v>
      </c>
    </row>
    <row r="61" spans="1:8" x14ac:dyDescent="0.3">
      <c r="A61" s="3">
        <f>'Nutrients average'!B24</f>
        <v>44750</v>
      </c>
      <c r="B61" s="28">
        <f>'Nutrients average'!C24</f>
        <v>15</v>
      </c>
      <c r="C61">
        <f>'Nutrients average'!F24</f>
        <v>21.815162172723717</v>
      </c>
      <c r="D61">
        <f>'Nutrients average'!G24</f>
        <v>0.43207003492567586</v>
      </c>
      <c r="E61">
        <f>'Nutrients average'!H24</f>
        <v>1.1372194062273717</v>
      </c>
      <c r="F61">
        <f>'Nutrients average'!I24</f>
        <v>0.10830976758804566</v>
      </c>
      <c r="G61">
        <f>'Nutrients average'!J24</f>
        <v>7.7725</v>
      </c>
      <c r="H61">
        <f>'Nutrients average'!K24</f>
        <v>0.10531698185319703</v>
      </c>
    </row>
    <row r="62" spans="1:8" x14ac:dyDescent="0.3">
      <c r="A62" s="3">
        <f>'Nutrients average'!B28</f>
        <v>44753</v>
      </c>
      <c r="B62" s="28">
        <f>'Nutrients average'!C28</f>
        <v>18</v>
      </c>
      <c r="C62">
        <f>'Nutrients average'!F28</f>
        <v>20.808909730363421</v>
      </c>
      <c r="D62">
        <f>'Nutrients average'!G28</f>
        <v>2.2593122100584941</v>
      </c>
      <c r="E62">
        <f>'Nutrients average'!H28</f>
        <v>1.1649741329756658</v>
      </c>
      <c r="F62">
        <f>'Nutrients average'!I28</f>
        <v>7.8621397658955511E-2</v>
      </c>
      <c r="G62">
        <f>'Nutrients average'!J28</f>
        <v>7.835</v>
      </c>
      <c r="H62">
        <f>'Nutrients average'!K28</f>
        <v>7.7674534651540394E-2</v>
      </c>
    </row>
  </sheetData>
  <mergeCells count="16">
    <mergeCell ref="E13:F13"/>
    <mergeCell ref="G13:H13"/>
    <mergeCell ref="C26:D26"/>
    <mergeCell ref="E26:F26"/>
    <mergeCell ref="G26:H26"/>
    <mergeCell ref="E39:F39"/>
    <mergeCell ref="G39:H39"/>
    <mergeCell ref="C52:D52"/>
    <mergeCell ref="E52:F52"/>
    <mergeCell ref="G52:H52"/>
    <mergeCell ref="A2:A3"/>
    <mergeCell ref="A4:A5"/>
    <mergeCell ref="A6:A7"/>
    <mergeCell ref="A8:A9"/>
    <mergeCell ref="C39:D39"/>
    <mergeCell ref="C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Growth Parameters</vt:lpstr>
      <vt:lpstr>Growth Parameter average</vt:lpstr>
      <vt:lpstr>Growth Parameter graphs</vt:lpstr>
      <vt:lpstr>Plate Plating</vt:lpstr>
      <vt:lpstr>Plate Plating average</vt:lpstr>
      <vt:lpstr>Plate Plating graphs</vt:lpstr>
      <vt:lpstr>Nutrients</vt:lpstr>
      <vt:lpstr>Nutrients average</vt:lpstr>
      <vt:lpstr>Nutrients graphs</vt:lpstr>
      <vt:lpstr>Nitrates Standart Curves</vt:lpstr>
      <vt:lpstr>Phosphate Standart Curve</vt:lpstr>
      <vt:lpstr>All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Del Olmo Berenguer</dc:creator>
  <cp:lastModifiedBy>Juliana</cp:lastModifiedBy>
  <cp:lastPrinted>2022-07-07T09:36:55Z</cp:lastPrinted>
  <dcterms:created xsi:type="dcterms:W3CDTF">2015-06-05T18:19:34Z</dcterms:created>
  <dcterms:modified xsi:type="dcterms:W3CDTF">2022-10-29T18:12:41Z</dcterms:modified>
</cp:coreProperties>
</file>