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nasdpla\Rio\Share\Portfolio\Update_2018\Incoming-MassBalanceSpreadsheets\Regional_Imports_Exports-Update2018\"/>
    </mc:Choice>
  </mc:AlternateContent>
  <bookViews>
    <workbookView xWindow="0" yWindow="30" windowWidth="8060" windowHeight="8060" tabRatio="599"/>
  </bookViews>
  <sheets>
    <sheet name="statewide" sheetId="1" r:id="rId1"/>
    <sheet name="mountain counties" sheetId="2" r:id="rId2"/>
    <sheet name="SWP" sheetId="3" r:id="rId3"/>
    <sheet name="outflow to NV" sheetId="4" r:id="rId4"/>
    <sheet name="2010, 2015 Outflow to Ocean" sheetId="5" r:id="rId5"/>
    <sheet name="CDEC Downloads" sheetId="6" r:id="rId6"/>
    <sheet name="USGS Data" sheetId="7" r:id="rId7"/>
  </sheets>
  <definedNames>
    <definedName name="_xlnm.Print_Area" localSheetId="3">'outflow to NV'!$A$2:$T$98</definedName>
  </definedNames>
  <calcPr calcId="171027"/>
</workbook>
</file>

<file path=xl/calcChain.xml><?xml version="1.0" encoding="utf-8"?>
<calcChain xmlns="http://schemas.openxmlformats.org/spreadsheetml/2006/main">
  <c r="G69" i="1" l="1"/>
  <c r="X13" i="1" l="1"/>
  <c r="W13" i="1"/>
  <c r="V13" i="1"/>
  <c r="U13" i="1"/>
  <c r="Y4" i="1" l="1"/>
  <c r="X4" i="1"/>
  <c r="W4" i="1"/>
  <c r="V4" i="1"/>
  <c r="U4" i="1"/>
  <c r="M74" i="7"/>
  <c r="M73" i="7"/>
  <c r="M72" i="7"/>
  <c r="M71" i="7"/>
  <c r="M70" i="7"/>
  <c r="M69" i="7"/>
  <c r="M68" i="7"/>
  <c r="M67" i="7"/>
  <c r="M66" i="7"/>
  <c r="M65" i="7"/>
  <c r="M64" i="7"/>
  <c r="M63" i="7"/>
  <c r="N74" i="7" s="1"/>
  <c r="M62" i="7"/>
  <c r="M61" i="7"/>
  <c r="M60" i="7"/>
  <c r="M59" i="7"/>
  <c r="M58" i="7"/>
  <c r="M57" i="7"/>
  <c r="M56" i="7"/>
  <c r="M55" i="7"/>
  <c r="M54" i="7"/>
  <c r="M53" i="7"/>
  <c r="M52" i="7"/>
  <c r="M51" i="7"/>
  <c r="N62" i="7" s="1"/>
  <c r="M50" i="7"/>
  <c r="M49" i="7"/>
  <c r="M48" i="7"/>
  <c r="M47" i="7"/>
  <c r="M46" i="7"/>
  <c r="M45" i="7"/>
  <c r="M44" i="7"/>
  <c r="M43" i="7"/>
  <c r="M42" i="7"/>
  <c r="M41" i="7"/>
  <c r="M40" i="7"/>
  <c r="N50" i="7" s="1"/>
  <c r="M39" i="7"/>
  <c r="M38" i="7"/>
  <c r="M37" i="7"/>
  <c r="M36" i="7"/>
  <c r="M35" i="7"/>
  <c r="M34" i="7"/>
  <c r="M33" i="7"/>
  <c r="M32" i="7"/>
  <c r="M31" i="7"/>
  <c r="M30" i="7"/>
  <c r="M29" i="7"/>
  <c r="M28" i="7"/>
  <c r="N38" i="7" s="1"/>
  <c r="M27" i="7"/>
  <c r="M26" i="7"/>
  <c r="M25" i="7"/>
  <c r="M24" i="7"/>
  <c r="M23" i="7"/>
  <c r="M22" i="7"/>
  <c r="M21" i="7"/>
  <c r="M20" i="7"/>
  <c r="M19" i="7"/>
  <c r="M18" i="7"/>
  <c r="M17" i="7"/>
  <c r="M16" i="7"/>
  <c r="M15" i="7"/>
  <c r="N26" i="7" s="1"/>
  <c r="H74" i="7" l="1"/>
  <c r="H73" i="7"/>
  <c r="H72" i="7"/>
  <c r="H71" i="7"/>
  <c r="H70" i="7"/>
  <c r="H69" i="7"/>
  <c r="H68" i="7"/>
  <c r="H67" i="7"/>
  <c r="H66" i="7"/>
  <c r="H65" i="7"/>
  <c r="H64" i="7"/>
  <c r="H63" i="7"/>
  <c r="H62" i="7"/>
  <c r="H61" i="7"/>
  <c r="H60" i="7"/>
  <c r="H59" i="7"/>
  <c r="H58" i="7"/>
  <c r="H57" i="7"/>
  <c r="H56" i="7"/>
  <c r="H55" i="7"/>
  <c r="H54" i="7"/>
  <c r="H53" i="7"/>
  <c r="H52"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51" i="7"/>
  <c r="I62" i="7" s="1"/>
  <c r="X14" i="1" s="1"/>
  <c r="C51" i="7"/>
  <c r="I74" i="7" l="1"/>
  <c r="Y14" i="1" s="1"/>
  <c r="I50" i="7"/>
  <c r="W14" i="1" s="1"/>
  <c r="I26" i="7"/>
  <c r="U14" i="1" s="1"/>
  <c r="I38" i="7"/>
  <c r="V14" i="1" s="1"/>
  <c r="Y20" i="1"/>
  <c r="V8" i="3"/>
  <c r="V6" i="3"/>
  <c r="D50" i="7" l="1"/>
  <c r="W9" i="1" s="1"/>
  <c r="D38" i="7"/>
  <c r="V9" i="1" s="1"/>
  <c r="D26" i="7"/>
  <c r="U9" i="1" s="1"/>
  <c r="C74" i="7"/>
  <c r="C73" i="7"/>
  <c r="C72" i="7"/>
  <c r="C71" i="7"/>
  <c r="C70" i="7"/>
  <c r="C69" i="7"/>
  <c r="C68" i="7"/>
  <c r="C67" i="7"/>
  <c r="C66" i="7"/>
  <c r="C65" i="7"/>
  <c r="C64" i="7"/>
  <c r="C63" i="7"/>
  <c r="C62" i="7"/>
  <c r="C61" i="7"/>
  <c r="C60" i="7"/>
  <c r="C59" i="7"/>
  <c r="C58" i="7"/>
  <c r="C57" i="7"/>
  <c r="C56" i="7"/>
  <c r="C55" i="7"/>
  <c r="C54" i="7"/>
  <c r="C53" i="7"/>
  <c r="C52" i="7"/>
  <c r="D62" i="7" l="1"/>
  <c r="X9" i="1" s="1"/>
  <c r="D74" i="7"/>
  <c r="Y9" i="1" s="1"/>
  <c r="Y60" i="1" s="1"/>
  <c r="D14" i="7"/>
  <c r="T9" i="1" s="1"/>
  <c r="Y119" i="1"/>
  <c r="X119" i="1"/>
  <c r="W119" i="1"/>
  <c r="V119" i="1"/>
  <c r="U119" i="1"/>
  <c r="Y118" i="1"/>
  <c r="X118" i="1"/>
  <c r="W118" i="1"/>
  <c r="V118" i="1"/>
  <c r="U118" i="1"/>
  <c r="Y117" i="1"/>
  <c r="X117" i="1"/>
  <c r="W117" i="1"/>
  <c r="V117" i="1"/>
  <c r="U117" i="1"/>
  <c r="Y112" i="1"/>
  <c r="X112" i="1"/>
  <c r="W112" i="1"/>
  <c r="V112" i="1"/>
  <c r="U112" i="1"/>
  <c r="Y110" i="1"/>
  <c r="X110" i="1"/>
  <c r="W110" i="1"/>
  <c r="V110" i="1"/>
  <c r="U110" i="1"/>
  <c r="Y102" i="1"/>
  <c r="X102" i="1"/>
  <c r="W102" i="1"/>
  <c r="V102" i="1"/>
  <c r="U102" i="1"/>
  <c r="Y101" i="1"/>
  <c r="X101" i="1"/>
  <c r="W101" i="1"/>
  <c r="V101" i="1"/>
  <c r="U101" i="1"/>
  <c r="Y100" i="1"/>
  <c r="X100" i="1"/>
  <c r="W100" i="1"/>
  <c r="V100" i="1"/>
  <c r="U100" i="1"/>
  <c r="Y98" i="1"/>
  <c r="X98" i="1"/>
  <c r="W98" i="1"/>
  <c r="V98" i="1"/>
  <c r="U98" i="1"/>
  <c r="Y95" i="1"/>
  <c r="X95" i="1"/>
  <c r="W95" i="1"/>
  <c r="V95" i="1"/>
  <c r="U95" i="1"/>
  <c r="Y89" i="1"/>
  <c r="X89" i="1"/>
  <c r="W89" i="1"/>
  <c r="V89" i="1"/>
  <c r="U89" i="1"/>
  <c r="X86" i="1"/>
  <c r="W86" i="1"/>
  <c r="Y83" i="1"/>
  <c r="X83" i="1"/>
  <c r="W83" i="1"/>
  <c r="V83" i="1"/>
  <c r="U83" i="1"/>
  <c r="Y82" i="1"/>
  <c r="X82" i="1"/>
  <c r="W82" i="1"/>
  <c r="V82" i="1"/>
  <c r="U82" i="1"/>
  <c r="W79" i="1"/>
  <c r="Y78" i="1"/>
  <c r="X78" i="1"/>
  <c r="W78" i="1"/>
  <c r="V78" i="1"/>
  <c r="U78" i="1"/>
  <c r="Y76" i="1"/>
  <c r="X76" i="1"/>
  <c r="W76" i="1"/>
  <c r="V76" i="1"/>
  <c r="U76" i="1"/>
  <c r="Y75" i="1"/>
  <c r="X75" i="1"/>
  <c r="W75" i="1"/>
  <c r="V75" i="1"/>
  <c r="U75" i="1"/>
  <c r="Y71" i="1"/>
  <c r="X71" i="1"/>
  <c r="W71" i="1"/>
  <c r="V71" i="1"/>
  <c r="U71" i="1"/>
  <c r="Y69" i="1"/>
  <c r="X69" i="1"/>
  <c r="W69" i="1"/>
  <c r="V69" i="1"/>
  <c r="U69" i="1"/>
  <c r="Y65" i="1"/>
  <c r="X65" i="1"/>
  <c r="W65" i="1"/>
  <c r="V65" i="1"/>
  <c r="U65" i="1"/>
  <c r="Y64" i="1"/>
  <c r="X64" i="1"/>
  <c r="W64" i="1"/>
  <c r="V64" i="1"/>
  <c r="U64" i="1"/>
  <c r="Y63" i="1"/>
  <c r="X63" i="1"/>
  <c r="W63" i="1"/>
  <c r="V63" i="1"/>
  <c r="U63" i="1"/>
  <c r="X60" i="1"/>
  <c r="W60" i="1"/>
  <c r="V60" i="1"/>
  <c r="U60" i="1"/>
  <c r="Y59" i="1"/>
  <c r="X59" i="1"/>
  <c r="W59" i="1"/>
  <c r="V59" i="1"/>
  <c r="U59" i="1"/>
  <c r="Y56" i="1"/>
  <c r="X56" i="1"/>
  <c r="W56" i="1"/>
  <c r="V56" i="1"/>
  <c r="U56" i="1"/>
  <c r="Y55" i="1"/>
  <c r="X55" i="1"/>
  <c r="W55" i="1"/>
  <c r="V55" i="1"/>
  <c r="U55" i="1"/>
  <c r="Y54" i="1"/>
  <c r="X54" i="1"/>
  <c r="X57" i="1" s="1"/>
  <c r="W54" i="1"/>
  <c r="V54" i="1"/>
  <c r="U54" i="1"/>
  <c r="L206" i="6"/>
  <c r="L194" i="6"/>
  <c r="L182" i="6"/>
  <c r="L170" i="6"/>
  <c r="L158" i="6"/>
  <c r="L146" i="6"/>
  <c r="L134" i="6"/>
  <c r="L122" i="6"/>
  <c r="L110" i="6"/>
  <c r="L98" i="6"/>
  <c r="L86" i="6"/>
  <c r="L74" i="6"/>
  <c r="L62" i="6"/>
  <c r="L50" i="6"/>
  <c r="L38" i="6"/>
  <c r="L26" i="6"/>
  <c r="L14" i="6"/>
  <c r="Y19" i="1"/>
  <c r="V19" i="1"/>
  <c r="U19" i="1"/>
  <c r="R19" i="1"/>
  <c r="Q19" i="1"/>
  <c r="H122" i="6"/>
  <c r="H110" i="6"/>
  <c r="X19" i="1" s="1"/>
  <c r="H98" i="6"/>
  <c r="W19" i="1" s="1"/>
  <c r="W92" i="1" s="1"/>
  <c r="H86" i="6"/>
  <c r="H74" i="6"/>
  <c r="H62" i="6"/>
  <c r="T19" i="1" s="1"/>
  <c r="H50" i="6"/>
  <c r="S19" i="1" s="1"/>
  <c r="H38" i="6"/>
  <c r="H26" i="6"/>
  <c r="H14" i="6"/>
  <c r="P19" i="1" s="1"/>
  <c r="Y45" i="1"/>
  <c r="Y108" i="1" s="1"/>
  <c r="V45" i="1"/>
  <c r="V108" i="1" s="1"/>
  <c r="U45" i="1"/>
  <c r="U108" i="1" s="1"/>
  <c r="R45" i="1"/>
  <c r="Q45" i="1"/>
  <c r="N45" i="1"/>
  <c r="M45" i="1"/>
  <c r="D170" i="6"/>
  <c r="D158" i="6"/>
  <c r="X45" i="1" s="1"/>
  <c r="X108" i="1" s="1"/>
  <c r="D146" i="6"/>
  <c r="W45" i="1" s="1"/>
  <c r="W108" i="1" s="1"/>
  <c r="D134" i="6"/>
  <c r="D122" i="6"/>
  <c r="D110" i="6"/>
  <c r="T45" i="1" s="1"/>
  <c r="D98" i="6"/>
  <c r="S45" i="1" s="1"/>
  <c r="D86" i="6"/>
  <c r="D74" i="6"/>
  <c r="D62" i="6"/>
  <c r="P45" i="1" s="1"/>
  <c r="D50" i="6"/>
  <c r="O45" i="1" s="1"/>
  <c r="D38" i="6"/>
  <c r="D26" i="6"/>
  <c r="D14" i="6"/>
  <c r="L45" i="1" s="1"/>
  <c r="Y31" i="1"/>
  <c r="Y79" i="1" s="1"/>
  <c r="X31" i="1"/>
  <c r="X79" i="1" s="1"/>
  <c r="W31" i="1"/>
  <c r="V31" i="1"/>
  <c r="V79" i="1" s="1"/>
  <c r="U31" i="1"/>
  <c r="U79" i="1" s="1"/>
  <c r="Y38" i="1"/>
  <c r="Y87" i="1" s="1"/>
  <c r="X38" i="1"/>
  <c r="X87" i="1" s="1"/>
  <c r="W38" i="1"/>
  <c r="W87" i="1" s="1"/>
  <c r="V38" i="1"/>
  <c r="V87" i="1" s="1"/>
  <c r="U38" i="1"/>
  <c r="U87" i="1" s="1"/>
  <c r="Y86" i="1"/>
  <c r="X18" i="1"/>
  <c r="W18" i="1"/>
  <c r="V86" i="1"/>
  <c r="U18" i="1"/>
  <c r="U86" i="1" s="1"/>
  <c r="T18" i="1"/>
  <c r="S18" i="1"/>
  <c r="R18" i="1"/>
  <c r="Q18" i="1"/>
  <c r="P18" i="1"/>
  <c r="O18" i="1"/>
  <c r="N18" i="1"/>
  <c r="M18" i="1"/>
  <c r="L18" i="1"/>
  <c r="K18" i="1"/>
  <c r="J18" i="1"/>
  <c r="I18" i="1"/>
  <c r="H18" i="1"/>
  <c r="X20" i="1"/>
  <c r="W20" i="1"/>
  <c r="V20" i="1"/>
  <c r="U20" i="1"/>
  <c r="W57" i="1" l="1"/>
  <c r="X92" i="1"/>
  <c r="U92" i="1"/>
  <c r="V92" i="1"/>
  <c r="U120" i="1"/>
  <c r="Y120" i="1"/>
  <c r="U90" i="1"/>
  <c r="V120" i="1"/>
  <c r="Y92" i="1"/>
  <c r="Y90" i="1"/>
  <c r="V84" i="1"/>
  <c r="V90" i="1"/>
  <c r="W90" i="1"/>
  <c r="W84" i="1"/>
  <c r="U57" i="1"/>
  <c r="Y57" i="1"/>
  <c r="V67" i="1"/>
  <c r="X84" i="1"/>
  <c r="W120" i="1"/>
  <c r="X90" i="1"/>
  <c r="V57" i="1"/>
  <c r="U84" i="1"/>
  <c r="Y84" i="1"/>
  <c r="X120" i="1"/>
  <c r="Y67" i="1"/>
  <c r="X67" i="1"/>
  <c r="W67" i="1"/>
  <c r="U67" i="1"/>
  <c r="T170" i="4"/>
  <c r="T182" i="4"/>
  <c r="V182" i="4" s="1"/>
  <c r="T194" i="4"/>
  <c r="V194" i="4" s="1"/>
  <c r="T206" i="4"/>
  <c r="V206" i="4" s="1"/>
  <c r="T218" i="4"/>
  <c r="P218" i="4"/>
  <c r="Y42" i="1" s="1"/>
  <c r="Y104" i="1" s="1"/>
  <c r="P206" i="4"/>
  <c r="X42" i="1" s="1"/>
  <c r="X104" i="1" s="1"/>
  <c r="P194" i="4"/>
  <c r="W42" i="1" s="1"/>
  <c r="W104" i="1" s="1"/>
  <c r="P182" i="4"/>
  <c r="V42" i="1" s="1"/>
  <c r="V104" i="1" s="1"/>
  <c r="P170" i="4"/>
  <c r="U42" i="1" s="1"/>
  <c r="U104" i="1" s="1"/>
  <c r="L218" i="4"/>
  <c r="Y43" i="1" s="1"/>
  <c r="Y105" i="1" s="1"/>
  <c r="L206" i="4"/>
  <c r="X43" i="1" s="1"/>
  <c r="X105" i="1" s="1"/>
  <c r="L194" i="4"/>
  <c r="L182" i="4"/>
  <c r="V43" i="1" s="1"/>
  <c r="V105" i="1" s="1"/>
  <c r="L170" i="4"/>
  <c r="U43" i="1" s="1"/>
  <c r="U105" i="1" s="1"/>
  <c r="H170" i="4"/>
  <c r="H182" i="4"/>
  <c r="H194" i="4"/>
  <c r="H206" i="4"/>
  <c r="H218" i="4"/>
  <c r="D218" i="4"/>
  <c r="D206" i="4"/>
  <c r="D194" i="4"/>
  <c r="W41" i="1" s="1"/>
  <c r="W103" i="1" s="1"/>
  <c r="D182" i="4"/>
  <c r="V41" i="1" s="1"/>
  <c r="V103" i="1" s="1"/>
  <c r="V106" i="1" s="1"/>
  <c r="D170" i="4"/>
  <c r="T8" i="3"/>
  <c r="T11" i="3" s="1"/>
  <c r="W21" i="1" s="1"/>
  <c r="W94" i="1" s="1"/>
  <c r="W96" i="1" s="1"/>
  <c r="S8" i="3"/>
  <c r="R8" i="3"/>
  <c r="Q8" i="3"/>
  <c r="N8" i="3"/>
  <c r="E8" i="3"/>
  <c r="U8" i="3"/>
  <c r="V11" i="3"/>
  <c r="Y21" i="1" s="1"/>
  <c r="Y94" i="1" s="1"/>
  <c r="Y96" i="1" s="1"/>
  <c r="U6" i="3"/>
  <c r="U11" i="3" s="1"/>
  <c r="X21" i="1" s="1"/>
  <c r="X94" i="1" s="1"/>
  <c r="X96" i="1" s="1"/>
  <c r="T6" i="3"/>
  <c r="S6" i="3"/>
  <c r="S11" i="3" s="1"/>
  <c r="V21" i="1" s="1"/>
  <c r="V94" i="1" s="1"/>
  <c r="V96" i="1" s="1"/>
  <c r="R6" i="3"/>
  <c r="R11" i="3" s="1"/>
  <c r="U21" i="1" s="1"/>
  <c r="U94" i="1" s="1"/>
  <c r="U96" i="1" s="1"/>
  <c r="Q6" i="3"/>
  <c r="P6" i="3"/>
  <c r="O6" i="3"/>
  <c r="N6" i="3"/>
  <c r="M6" i="3"/>
  <c r="L6" i="3"/>
  <c r="K6" i="3"/>
  <c r="J6" i="3"/>
  <c r="I6" i="3"/>
  <c r="H6" i="3"/>
  <c r="G6" i="3"/>
  <c r="W106" i="1" l="1"/>
  <c r="V218" i="4"/>
  <c r="X41" i="1"/>
  <c r="X103" i="1" s="1"/>
  <c r="X106" i="1" s="1"/>
  <c r="V170" i="4"/>
  <c r="U41" i="1"/>
  <c r="U103" i="1" s="1"/>
  <c r="U106" i="1" s="1"/>
  <c r="Y41" i="1"/>
  <c r="Y103" i="1" s="1"/>
  <c r="Y106" i="1" s="1"/>
  <c r="W43" i="1"/>
  <c r="W105" i="1" s="1"/>
  <c r="P31" i="5"/>
  <c r="Q31" i="5" s="1"/>
  <c r="P30" i="5"/>
  <c r="Q30" i="5" s="1"/>
  <c r="P29" i="5"/>
  <c r="Q29" i="5" s="1"/>
  <c r="P19" i="5"/>
  <c r="Q19" i="5" s="1"/>
  <c r="P18" i="5"/>
  <c r="Q18" i="5" s="1"/>
  <c r="P16" i="5"/>
  <c r="Q16" i="5" s="1"/>
  <c r="P15" i="5"/>
  <c r="Q15" i="5" s="1"/>
  <c r="P7" i="5"/>
  <c r="P6" i="5" l="1"/>
  <c r="Q6" i="5" s="1"/>
  <c r="P5" i="5"/>
  <c r="Q5" i="5" s="1"/>
  <c r="P4" i="5"/>
  <c r="Q4" i="5" s="1"/>
  <c r="Q7" i="5"/>
  <c r="B56" i="5"/>
  <c r="P51" i="5"/>
  <c r="Q51" i="5" s="1"/>
  <c r="P50" i="5"/>
  <c r="Q50" i="5" s="1"/>
  <c r="P48" i="5"/>
  <c r="Q48" i="5" s="1"/>
  <c r="P47" i="5"/>
  <c r="Q47" i="5" s="1"/>
  <c r="P46" i="5"/>
  <c r="Q46" i="5" s="1"/>
  <c r="P45" i="5"/>
  <c r="Q45" i="5" s="1"/>
  <c r="P44" i="5"/>
  <c r="Q44" i="5" s="1"/>
  <c r="P43" i="5"/>
  <c r="Q43" i="5" s="1"/>
  <c r="P42" i="5"/>
  <c r="Q42" i="5" s="1"/>
  <c r="P41" i="5"/>
  <c r="Q41" i="5" s="1"/>
  <c r="P40" i="5"/>
  <c r="Q40" i="5" s="1"/>
  <c r="P39" i="5"/>
  <c r="Q39" i="5" s="1"/>
  <c r="P38" i="5"/>
  <c r="Q38" i="5" s="1"/>
  <c r="P36" i="5"/>
  <c r="Q36" i="5" s="1"/>
  <c r="P35" i="5"/>
  <c r="Q35" i="5" s="1"/>
  <c r="P33" i="5"/>
  <c r="Q33" i="5" s="1"/>
  <c r="P32" i="5"/>
  <c r="Q32" i="5" s="1"/>
  <c r="P28" i="5"/>
  <c r="Q28" i="5" s="1"/>
  <c r="P27" i="5"/>
  <c r="Q27" i="5" s="1"/>
  <c r="P26" i="5"/>
  <c r="Q26" i="5" s="1"/>
  <c r="P25" i="5"/>
  <c r="Q25" i="5" s="1"/>
  <c r="P24" i="5"/>
  <c r="Q24" i="5" s="1"/>
  <c r="P22" i="5"/>
  <c r="Q22" i="5" s="1"/>
  <c r="P21" i="5"/>
  <c r="Q21" i="5" s="1"/>
  <c r="P20" i="5"/>
  <c r="Q20" i="5" s="1"/>
  <c r="P13" i="5"/>
  <c r="Q13" i="5" s="1"/>
  <c r="P12" i="5"/>
  <c r="Q12" i="5" s="1"/>
  <c r="P11" i="5"/>
  <c r="Q11" i="5" s="1"/>
  <c r="P10" i="5"/>
  <c r="Q10" i="5" s="1"/>
  <c r="P9" i="5"/>
  <c r="Q9" i="5" s="1"/>
  <c r="R52" i="5" l="1"/>
  <c r="R37" i="5"/>
  <c r="R23" i="5"/>
  <c r="R17" i="5"/>
  <c r="T116" i="1"/>
  <c r="S116" i="1"/>
  <c r="R116" i="1"/>
  <c r="Q116" i="1"/>
  <c r="P116" i="1"/>
  <c r="O116" i="1"/>
  <c r="N116" i="1"/>
  <c r="M116" i="1"/>
  <c r="L116" i="1"/>
  <c r="K116" i="1"/>
  <c r="J116" i="1"/>
  <c r="I116" i="1"/>
  <c r="H116" i="1"/>
  <c r="T119" i="1"/>
  <c r="S119" i="1"/>
  <c r="R119" i="1"/>
  <c r="Q119" i="1"/>
  <c r="P119" i="1"/>
  <c r="O119" i="1"/>
  <c r="N119" i="1"/>
  <c r="M119" i="1"/>
  <c r="L119" i="1"/>
  <c r="K119" i="1"/>
  <c r="J119" i="1"/>
  <c r="I119" i="1"/>
  <c r="T118" i="1"/>
  <c r="S118" i="1"/>
  <c r="R118" i="1"/>
  <c r="Q118" i="1"/>
  <c r="P118" i="1"/>
  <c r="O118" i="1"/>
  <c r="N118" i="1"/>
  <c r="M118" i="1"/>
  <c r="L118" i="1"/>
  <c r="K118" i="1"/>
  <c r="J118" i="1"/>
  <c r="I118" i="1"/>
  <c r="O117" i="1"/>
  <c r="O120" i="1" s="1"/>
  <c r="N117" i="1"/>
  <c r="M117" i="1"/>
  <c r="M120" i="1" s="1"/>
  <c r="L117" i="1"/>
  <c r="L120" i="1" s="1"/>
  <c r="K117" i="1"/>
  <c r="K120" i="1" s="1"/>
  <c r="J117" i="1"/>
  <c r="I117" i="1"/>
  <c r="I120" i="1" s="1"/>
  <c r="H119" i="1"/>
  <c r="H118" i="1"/>
  <c r="H117" i="1"/>
  <c r="J120" i="1" l="1"/>
  <c r="N120" i="1"/>
  <c r="H120" i="1"/>
  <c r="T13" i="1"/>
  <c r="T117" i="1" s="1"/>
  <c r="T120" i="1" s="1"/>
  <c r="S13" i="1" l="1"/>
  <c r="S117" i="1" s="1"/>
  <c r="S120" i="1" s="1"/>
  <c r="R13" i="1"/>
  <c r="R117" i="1" s="1"/>
  <c r="R120" i="1" s="1"/>
  <c r="Q13" i="1"/>
  <c r="Q117" i="1" s="1"/>
  <c r="Q120" i="1" s="1"/>
  <c r="P13" i="1"/>
  <c r="P117" i="1" s="1"/>
  <c r="P120" i="1" s="1"/>
  <c r="H71" i="1" l="1"/>
  <c r="T158" i="4" l="1"/>
  <c r="T146" i="4"/>
  <c r="T134" i="4"/>
  <c r="T122" i="4"/>
  <c r="T110" i="4"/>
  <c r="P158" i="4"/>
  <c r="T42" i="1" s="1"/>
  <c r="T104" i="1" s="1"/>
  <c r="P146" i="4"/>
  <c r="S42" i="1" s="1"/>
  <c r="S104" i="1" s="1"/>
  <c r="P134" i="4"/>
  <c r="R42" i="1" s="1"/>
  <c r="R104" i="1" s="1"/>
  <c r="P122" i="4"/>
  <c r="Q42" i="1" s="1"/>
  <c r="Q104" i="1" s="1"/>
  <c r="P110" i="4"/>
  <c r="P42" i="1" s="1"/>
  <c r="P104" i="1" s="1"/>
  <c r="L158" i="4"/>
  <c r="T43" i="1" s="1"/>
  <c r="T105" i="1" s="1"/>
  <c r="L146" i="4"/>
  <c r="L134" i="4"/>
  <c r="R43" i="1" s="1"/>
  <c r="R105" i="1" s="1"/>
  <c r="L122" i="4"/>
  <c r="L110" i="4"/>
  <c r="P43" i="1" s="1"/>
  <c r="P105" i="1" s="1"/>
  <c r="H158" i="4"/>
  <c r="H146" i="4"/>
  <c r="H134" i="4"/>
  <c r="H122" i="4"/>
  <c r="H110" i="4"/>
  <c r="D158" i="4"/>
  <c r="T41" i="1" s="1"/>
  <c r="T103" i="1" s="1"/>
  <c r="D146" i="4"/>
  <c r="S41" i="1" s="1"/>
  <c r="S103" i="1" s="1"/>
  <c r="D134" i="4"/>
  <c r="R41" i="1" s="1"/>
  <c r="R103" i="1" s="1"/>
  <c r="D122" i="4"/>
  <c r="Q41" i="1" s="1"/>
  <c r="Q103" i="1" s="1"/>
  <c r="D110" i="4"/>
  <c r="P41" i="1" s="1"/>
  <c r="P103" i="1" s="1"/>
  <c r="T31" i="1"/>
  <c r="T79" i="1" s="1"/>
  <c r="S31" i="1"/>
  <c r="S79" i="1" s="1"/>
  <c r="R31" i="1"/>
  <c r="R79" i="1" s="1"/>
  <c r="Q31" i="1"/>
  <c r="Q79" i="1" s="1"/>
  <c r="P79" i="1"/>
  <c r="O31" i="1"/>
  <c r="O79" i="1" s="1"/>
  <c r="T38" i="1"/>
  <c r="T87" i="1" s="1"/>
  <c r="S38" i="1"/>
  <c r="S87" i="1" s="1"/>
  <c r="R38" i="1"/>
  <c r="R87" i="1" s="1"/>
  <c r="Q38" i="1"/>
  <c r="Q87" i="1" s="1"/>
  <c r="P38" i="1"/>
  <c r="P87" i="1" s="1"/>
  <c r="O38" i="1"/>
  <c r="T20" i="1"/>
  <c r="T92" i="1" s="1"/>
  <c r="S20" i="1"/>
  <c r="S92" i="1" s="1"/>
  <c r="R20" i="1"/>
  <c r="R92" i="1" s="1"/>
  <c r="Q20" i="1"/>
  <c r="Q92" i="1" s="1"/>
  <c r="P20" i="1"/>
  <c r="P92" i="1" s="1"/>
  <c r="O20" i="1"/>
  <c r="O92" i="1" s="1"/>
  <c r="O11" i="3"/>
  <c r="R21" i="1" s="1"/>
  <c r="R94" i="1" s="1"/>
  <c r="P11" i="3"/>
  <c r="S21" i="1" s="1"/>
  <c r="S94" i="1" s="1"/>
  <c r="Q11" i="3"/>
  <c r="T21" i="1" s="1"/>
  <c r="T94" i="1" s="1"/>
  <c r="N11" i="3"/>
  <c r="Q21" i="1" s="1"/>
  <c r="Q94" i="1" s="1"/>
  <c r="M11" i="3"/>
  <c r="P21" i="1" s="1"/>
  <c r="P94" i="1" s="1"/>
  <c r="L11" i="3"/>
  <c r="O21" i="1" s="1"/>
  <c r="O94" i="1" s="1"/>
  <c r="K11" i="3"/>
  <c r="T112" i="1"/>
  <c r="S112" i="1"/>
  <c r="R112" i="1"/>
  <c r="Q112" i="1"/>
  <c r="P112" i="1"/>
  <c r="T110" i="1"/>
  <c r="S110" i="1"/>
  <c r="R110" i="1"/>
  <c r="Q110" i="1"/>
  <c r="P110" i="1"/>
  <c r="T108" i="1"/>
  <c r="S108" i="1"/>
  <c r="R108" i="1"/>
  <c r="Q108" i="1"/>
  <c r="P108" i="1"/>
  <c r="T102" i="1"/>
  <c r="S102" i="1"/>
  <c r="R102" i="1"/>
  <c r="Q102" i="1"/>
  <c r="P102" i="1"/>
  <c r="T101" i="1"/>
  <c r="S101" i="1"/>
  <c r="R101" i="1"/>
  <c r="Q101" i="1"/>
  <c r="P101" i="1"/>
  <c r="T100" i="1"/>
  <c r="S100" i="1"/>
  <c r="R100" i="1"/>
  <c r="Q100" i="1"/>
  <c r="P100" i="1"/>
  <c r="T98" i="1"/>
  <c r="S98" i="1"/>
  <c r="R98" i="1"/>
  <c r="Q98" i="1"/>
  <c r="P98" i="1"/>
  <c r="T95" i="1"/>
  <c r="S95" i="1"/>
  <c r="R95" i="1"/>
  <c r="Q95" i="1"/>
  <c r="P95" i="1"/>
  <c r="T89" i="1"/>
  <c r="S89" i="1"/>
  <c r="R89" i="1"/>
  <c r="Q89" i="1"/>
  <c r="P89" i="1"/>
  <c r="T86" i="1"/>
  <c r="S86" i="1"/>
  <c r="R86" i="1"/>
  <c r="Q86" i="1"/>
  <c r="P86" i="1"/>
  <c r="T83" i="1"/>
  <c r="S83" i="1"/>
  <c r="R83" i="1"/>
  <c r="Q83" i="1"/>
  <c r="P83" i="1"/>
  <c r="T82" i="1"/>
  <c r="S82" i="1"/>
  <c r="R82" i="1"/>
  <c r="Q82" i="1"/>
  <c r="P82" i="1"/>
  <c r="T78" i="1"/>
  <c r="S78" i="1"/>
  <c r="R78" i="1"/>
  <c r="Q78" i="1"/>
  <c r="P78" i="1"/>
  <c r="T76" i="1"/>
  <c r="S76" i="1"/>
  <c r="R76" i="1"/>
  <c r="Q76" i="1"/>
  <c r="P76" i="1"/>
  <c r="T75" i="1"/>
  <c r="S75" i="1"/>
  <c r="R75" i="1"/>
  <c r="Q75" i="1"/>
  <c r="P75" i="1"/>
  <c r="T71" i="1"/>
  <c r="S71" i="1"/>
  <c r="R71" i="1"/>
  <c r="Q71" i="1"/>
  <c r="P71" i="1"/>
  <c r="T69" i="1"/>
  <c r="S69" i="1"/>
  <c r="R69" i="1"/>
  <c r="Q69" i="1"/>
  <c r="P69" i="1"/>
  <c r="T65" i="1"/>
  <c r="S65" i="1"/>
  <c r="R65" i="1"/>
  <c r="Q65" i="1"/>
  <c r="P65" i="1"/>
  <c r="T64" i="1"/>
  <c r="S64" i="1"/>
  <c r="R64" i="1"/>
  <c r="Q64" i="1"/>
  <c r="P64" i="1"/>
  <c r="T63" i="1"/>
  <c r="S63" i="1"/>
  <c r="R63" i="1"/>
  <c r="Q63" i="1"/>
  <c r="P63" i="1"/>
  <c r="T60" i="1"/>
  <c r="S60" i="1"/>
  <c r="R60" i="1"/>
  <c r="Q60" i="1"/>
  <c r="P60" i="1"/>
  <c r="T59" i="1"/>
  <c r="S59" i="1"/>
  <c r="R59" i="1"/>
  <c r="Q59" i="1"/>
  <c r="P59" i="1"/>
  <c r="T56" i="1"/>
  <c r="S56" i="1"/>
  <c r="R56" i="1"/>
  <c r="Q56" i="1"/>
  <c r="P56" i="1"/>
  <c r="T55" i="1"/>
  <c r="S55" i="1"/>
  <c r="R55" i="1"/>
  <c r="Q55" i="1"/>
  <c r="P55" i="1"/>
  <c r="T54" i="1"/>
  <c r="S54" i="1"/>
  <c r="R54" i="1"/>
  <c r="Q54" i="1"/>
  <c r="P54" i="1"/>
  <c r="J15" i="2"/>
  <c r="I15" i="2"/>
  <c r="H15" i="2"/>
  <c r="G15" i="2"/>
  <c r="F15" i="2"/>
  <c r="D15" i="2"/>
  <c r="E15" i="2"/>
  <c r="O76" i="1"/>
  <c r="N76" i="1"/>
  <c r="M76" i="1"/>
  <c r="L76" i="1"/>
  <c r="K76" i="1"/>
  <c r="J76" i="1"/>
  <c r="I76" i="1"/>
  <c r="H76" i="1"/>
  <c r="G77" i="1"/>
  <c r="E77" i="1"/>
  <c r="B77" i="1"/>
  <c r="H43" i="1"/>
  <c r="H105" i="1" s="1"/>
  <c r="H41" i="1"/>
  <c r="T14" i="4"/>
  <c r="P14" i="4"/>
  <c r="L14" i="4"/>
  <c r="H14" i="4"/>
  <c r="D14" i="4"/>
  <c r="B105" i="1"/>
  <c r="B104" i="1"/>
  <c r="B103" i="1"/>
  <c r="G105" i="1"/>
  <c r="G104" i="1"/>
  <c r="O101" i="1"/>
  <c r="H103" i="1"/>
  <c r="H104" i="1"/>
  <c r="O105" i="1"/>
  <c r="O104" i="1"/>
  <c r="N104" i="1"/>
  <c r="M104" i="1"/>
  <c r="L104" i="1"/>
  <c r="K104" i="1"/>
  <c r="J104" i="1"/>
  <c r="I104" i="1"/>
  <c r="O43" i="1"/>
  <c r="N43" i="1"/>
  <c r="N105" i="1" s="1"/>
  <c r="M43" i="1"/>
  <c r="M105" i="1"/>
  <c r="L43" i="1"/>
  <c r="L105" i="1" s="1"/>
  <c r="K43" i="1"/>
  <c r="K105" i="1" s="1"/>
  <c r="J43" i="1"/>
  <c r="J105" i="1" s="1"/>
  <c r="I43" i="1"/>
  <c r="I105" i="1" s="1"/>
  <c r="O41" i="1"/>
  <c r="N41" i="1"/>
  <c r="N103" i="1" s="1"/>
  <c r="M41" i="1"/>
  <c r="L41" i="1"/>
  <c r="K41" i="1"/>
  <c r="J41" i="1"/>
  <c r="J103" i="1" s="1"/>
  <c r="I41" i="1"/>
  <c r="D50" i="4"/>
  <c r="D38" i="4"/>
  <c r="H50" i="4"/>
  <c r="H38" i="4"/>
  <c r="L50" i="4"/>
  <c r="L38" i="4"/>
  <c r="P50" i="4"/>
  <c r="V50" i="4" s="1"/>
  <c r="P38" i="4"/>
  <c r="T50" i="4"/>
  <c r="T38" i="4"/>
  <c r="T98" i="4"/>
  <c r="T86" i="4"/>
  <c r="T74" i="4"/>
  <c r="P98" i="4"/>
  <c r="P86" i="4"/>
  <c r="P74" i="4"/>
  <c r="L98" i="4"/>
  <c r="L86" i="4"/>
  <c r="L74" i="4"/>
  <c r="H98" i="4"/>
  <c r="H86" i="4"/>
  <c r="H74" i="4"/>
  <c r="D98" i="4"/>
  <c r="D86" i="4"/>
  <c r="D74" i="4"/>
  <c r="T62" i="4"/>
  <c r="P62" i="4"/>
  <c r="L62" i="4"/>
  <c r="H62" i="4"/>
  <c r="D62" i="4"/>
  <c r="T26" i="4"/>
  <c r="P26" i="4"/>
  <c r="L26" i="4"/>
  <c r="H26" i="4"/>
  <c r="D26" i="4"/>
  <c r="O82" i="1"/>
  <c r="N82" i="1"/>
  <c r="M82" i="1"/>
  <c r="L82" i="1"/>
  <c r="K82" i="1"/>
  <c r="J82" i="1"/>
  <c r="I82" i="1"/>
  <c r="N79" i="1"/>
  <c r="M79" i="1"/>
  <c r="L79" i="1"/>
  <c r="K79" i="1"/>
  <c r="J79" i="1"/>
  <c r="I79" i="1"/>
  <c r="H82" i="1"/>
  <c r="H79" i="1"/>
  <c r="N101" i="1"/>
  <c r="M101" i="1"/>
  <c r="L101" i="1"/>
  <c r="K101" i="1"/>
  <c r="J101" i="1"/>
  <c r="I101" i="1"/>
  <c r="H101" i="1"/>
  <c r="O100" i="1"/>
  <c r="N100" i="1"/>
  <c r="M100" i="1"/>
  <c r="M106" i="1" s="1"/>
  <c r="L100" i="1"/>
  <c r="K100" i="1"/>
  <c r="J100" i="1"/>
  <c r="I100" i="1"/>
  <c r="H100" i="1"/>
  <c r="B65" i="1"/>
  <c r="B102" i="1"/>
  <c r="B101" i="1"/>
  <c r="B100" i="1"/>
  <c r="B98" i="1"/>
  <c r="E112" i="1"/>
  <c r="E110" i="1"/>
  <c r="E108" i="1"/>
  <c r="E102" i="1"/>
  <c r="E101" i="1"/>
  <c r="E100" i="1"/>
  <c r="E98" i="1"/>
  <c r="B95" i="1"/>
  <c r="B94" i="1"/>
  <c r="B93" i="1"/>
  <c r="B92" i="1"/>
  <c r="E95" i="1"/>
  <c r="E94" i="1"/>
  <c r="E93" i="1"/>
  <c r="E92" i="1"/>
  <c r="B89" i="1"/>
  <c r="B88" i="1"/>
  <c r="B87" i="1"/>
  <c r="B86" i="1"/>
  <c r="E89" i="1"/>
  <c r="E86" i="1"/>
  <c r="E88" i="1"/>
  <c r="E87" i="1"/>
  <c r="B83" i="1"/>
  <c r="B81" i="1"/>
  <c r="B82" i="1"/>
  <c r="B80" i="1"/>
  <c r="B79" i="1"/>
  <c r="B78" i="1"/>
  <c r="B76" i="1"/>
  <c r="B75" i="1"/>
  <c r="B74" i="1"/>
  <c r="B73" i="1"/>
  <c r="B72" i="1"/>
  <c r="B71" i="1"/>
  <c r="E83" i="1"/>
  <c r="E78" i="1"/>
  <c r="E76" i="1"/>
  <c r="E75" i="1"/>
  <c r="E81" i="1"/>
  <c r="E82" i="1"/>
  <c r="E80" i="1"/>
  <c r="E79" i="1"/>
  <c r="E74" i="1"/>
  <c r="E73" i="1"/>
  <c r="E72" i="1"/>
  <c r="E71" i="1"/>
  <c r="B62" i="1"/>
  <c r="B61" i="1"/>
  <c r="B60" i="1"/>
  <c r="B66" i="1"/>
  <c r="E65" i="1"/>
  <c r="E66" i="1"/>
  <c r="E62" i="1"/>
  <c r="E61" i="1"/>
  <c r="E60" i="1"/>
  <c r="B69" i="1"/>
  <c r="E69" i="1"/>
  <c r="B64" i="1"/>
  <c r="B63" i="1"/>
  <c r="E64" i="1"/>
  <c r="E63" i="1"/>
  <c r="E56" i="1"/>
  <c r="E55" i="1"/>
  <c r="E59" i="1"/>
  <c r="B59" i="1"/>
  <c r="B56" i="1"/>
  <c r="B55" i="1"/>
  <c r="B54" i="1"/>
  <c r="K3" i="2"/>
  <c r="K15" i="2" s="1"/>
  <c r="K52" i="1"/>
  <c r="J52" i="1"/>
  <c r="I52" i="1"/>
  <c r="K112" i="1"/>
  <c r="J112" i="1"/>
  <c r="I112" i="1"/>
  <c r="K110" i="1"/>
  <c r="J110" i="1"/>
  <c r="I110" i="1"/>
  <c r="K108" i="1"/>
  <c r="J108" i="1"/>
  <c r="I108" i="1"/>
  <c r="K102" i="1"/>
  <c r="K103" i="1"/>
  <c r="J102" i="1"/>
  <c r="I102" i="1"/>
  <c r="I103" i="1"/>
  <c r="K98" i="1"/>
  <c r="J98" i="1"/>
  <c r="I98" i="1"/>
  <c r="K92" i="1"/>
  <c r="K94" i="1"/>
  <c r="K95" i="1"/>
  <c r="J92" i="1"/>
  <c r="J94" i="1"/>
  <c r="J95" i="1"/>
  <c r="I92" i="1"/>
  <c r="I94" i="1"/>
  <c r="I96" i="1" s="1"/>
  <c r="I95" i="1"/>
  <c r="K86" i="1"/>
  <c r="K87" i="1"/>
  <c r="K89" i="1"/>
  <c r="J86" i="1"/>
  <c r="J87" i="1"/>
  <c r="J89" i="1"/>
  <c r="I86" i="1"/>
  <c r="I87" i="1"/>
  <c r="I89" i="1"/>
  <c r="K71" i="1"/>
  <c r="K75" i="1"/>
  <c r="K84" i="1" s="1"/>
  <c r="K78" i="1"/>
  <c r="K83" i="1"/>
  <c r="J71" i="1"/>
  <c r="J75" i="1"/>
  <c r="J78" i="1"/>
  <c r="J83" i="1"/>
  <c r="I71" i="1"/>
  <c r="I75" i="1"/>
  <c r="I78" i="1"/>
  <c r="I83" i="1"/>
  <c r="K69" i="1"/>
  <c r="J69" i="1"/>
  <c r="I69" i="1"/>
  <c r="K59" i="1"/>
  <c r="K60" i="1"/>
  <c r="K63" i="1"/>
  <c r="K64" i="1"/>
  <c r="K65" i="1"/>
  <c r="J59" i="1"/>
  <c r="J60" i="1"/>
  <c r="J63" i="1"/>
  <c r="J64" i="1"/>
  <c r="J65" i="1"/>
  <c r="I59" i="1"/>
  <c r="I67" i="1" s="1"/>
  <c r="I60" i="1"/>
  <c r="I63" i="1"/>
  <c r="I64" i="1"/>
  <c r="I65" i="1"/>
  <c r="K54" i="1"/>
  <c r="K55" i="1"/>
  <c r="K56" i="1"/>
  <c r="K57" i="1"/>
  <c r="J54" i="1"/>
  <c r="J55" i="1"/>
  <c r="J56" i="1"/>
  <c r="J57" i="1"/>
  <c r="I54" i="1"/>
  <c r="I55" i="1"/>
  <c r="I56" i="1"/>
  <c r="I57" i="1"/>
  <c r="I11" i="3"/>
  <c r="F6" i="3"/>
  <c r="H11" i="3"/>
  <c r="E9" i="3"/>
  <c r="J11" i="3"/>
  <c r="G11" i="3"/>
  <c r="F11" i="3"/>
  <c r="E6" i="3"/>
  <c r="E11" i="3" s="1"/>
  <c r="N112" i="1"/>
  <c r="M112" i="1"/>
  <c r="N110" i="1"/>
  <c r="M110" i="1"/>
  <c r="N108" i="1"/>
  <c r="M108" i="1"/>
  <c r="N102" i="1"/>
  <c r="M102" i="1"/>
  <c r="M103" i="1"/>
  <c r="N98" i="1"/>
  <c r="M98" i="1"/>
  <c r="N92" i="1"/>
  <c r="N96" i="1" s="1"/>
  <c r="N94" i="1"/>
  <c r="N95" i="1"/>
  <c r="M92" i="1"/>
  <c r="M94" i="1"/>
  <c r="M95" i="1"/>
  <c r="N86" i="1"/>
  <c r="N87" i="1"/>
  <c r="N89" i="1"/>
  <c r="M86" i="1"/>
  <c r="M87" i="1"/>
  <c r="M89" i="1"/>
  <c r="N71" i="1"/>
  <c r="N75" i="1"/>
  <c r="N78" i="1"/>
  <c r="N83" i="1"/>
  <c r="M71" i="1"/>
  <c r="M75" i="1"/>
  <c r="M78" i="1"/>
  <c r="M83" i="1"/>
  <c r="N69" i="1"/>
  <c r="M69" i="1"/>
  <c r="N59" i="1"/>
  <c r="N60" i="1"/>
  <c r="N63" i="1"/>
  <c r="N64" i="1"/>
  <c r="N65" i="1"/>
  <c r="M59" i="1"/>
  <c r="M60" i="1"/>
  <c r="M63" i="1"/>
  <c r="M64" i="1"/>
  <c r="M65" i="1"/>
  <c r="N54" i="1"/>
  <c r="N57" i="1" s="1"/>
  <c r="N55" i="1"/>
  <c r="N56" i="1"/>
  <c r="M54" i="1"/>
  <c r="M57" i="1" s="1"/>
  <c r="M55" i="1"/>
  <c r="M56" i="1"/>
  <c r="N52" i="1"/>
  <c r="M52" i="1"/>
  <c r="O52" i="1"/>
  <c r="L52" i="1"/>
  <c r="H52" i="1"/>
  <c r="O87" i="1"/>
  <c r="L87" i="1"/>
  <c r="H87" i="1"/>
  <c r="G112" i="1"/>
  <c r="G110" i="1"/>
  <c r="G108" i="1"/>
  <c r="G103" i="1"/>
  <c r="G102" i="1"/>
  <c r="G101" i="1"/>
  <c r="G100" i="1"/>
  <c r="G98" i="1"/>
  <c r="G95" i="1"/>
  <c r="G94" i="1"/>
  <c r="G93" i="1"/>
  <c r="G92" i="1"/>
  <c r="G89" i="1"/>
  <c r="G88" i="1"/>
  <c r="G87" i="1"/>
  <c r="G86" i="1"/>
  <c r="G81" i="1"/>
  <c r="G82" i="1"/>
  <c r="G80" i="1"/>
  <c r="G79" i="1"/>
  <c r="G78" i="1"/>
  <c r="G76" i="1"/>
  <c r="G75" i="1"/>
  <c r="G74" i="1"/>
  <c r="G73" i="1"/>
  <c r="G72" i="1"/>
  <c r="G71" i="1"/>
  <c r="G66" i="1"/>
  <c r="G65" i="1"/>
  <c r="G64" i="1"/>
  <c r="G63" i="1"/>
  <c r="G62" i="1"/>
  <c r="G61" i="1"/>
  <c r="G60" i="1"/>
  <c r="G59" i="1"/>
  <c r="G56" i="1"/>
  <c r="G55" i="1"/>
  <c r="G54" i="1"/>
  <c r="O86" i="1"/>
  <c r="O89" i="1"/>
  <c r="L86" i="1"/>
  <c r="L90" i="1" s="1"/>
  <c r="L89" i="1"/>
  <c r="H86" i="1"/>
  <c r="H89" i="1"/>
  <c r="L94" i="1"/>
  <c r="L92" i="1"/>
  <c r="H92" i="1"/>
  <c r="H94" i="1"/>
  <c r="O59" i="1"/>
  <c r="O60" i="1"/>
  <c r="O63" i="1"/>
  <c r="O64" i="1"/>
  <c r="O65" i="1"/>
  <c r="L59" i="1"/>
  <c r="L60" i="1"/>
  <c r="L63" i="1"/>
  <c r="L64" i="1"/>
  <c r="L65" i="1"/>
  <c r="H59" i="1"/>
  <c r="H60" i="1"/>
  <c r="H63" i="1"/>
  <c r="H64" i="1"/>
  <c r="H65" i="1"/>
  <c r="O71" i="1"/>
  <c r="O75" i="1"/>
  <c r="O78" i="1"/>
  <c r="O83" i="1"/>
  <c r="L71" i="1"/>
  <c r="L75" i="1"/>
  <c r="L78" i="1"/>
  <c r="L83" i="1"/>
  <c r="H75" i="1"/>
  <c r="H84" i="1" s="1"/>
  <c r="H78" i="1"/>
  <c r="H83" i="1"/>
  <c r="O112" i="1"/>
  <c r="L112" i="1"/>
  <c r="H112" i="1"/>
  <c r="O110" i="1"/>
  <c r="L110" i="1"/>
  <c r="H110" i="1"/>
  <c r="O108" i="1"/>
  <c r="L108" i="1"/>
  <c r="H108" i="1"/>
  <c r="O102" i="1"/>
  <c r="O103" i="1"/>
  <c r="L102" i="1"/>
  <c r="L103" i="1"/>
  <c r="H102" i="1"/>
  <c r="O98" i="1"/>
  <c r="L98" i="1"/>
  <c r="H98" i="1"/>
  <c r="O95" i="1"/>
  <c r="L95" i="1"/>
  <c r="H95" i="1"/>
  <c r="O69" i="1"/>
  <c r="L69" i="1"/>
  <c r="H69" i="1"/>
  <c r="O54" i="1"/>
  <c r="O55" i="1"/>
  <c r="O56" i="1"/>
  <c r="O57" i="1" s="1"/>
  <c r="L54" i="1"/>
  <c r="L55" i="1"/>
  <c r="L56" i="1"/>
  <c r="L57" i="1" s="1"/>
  <c r="H54" i="1"/>
  <c r="H55" i="1"/>
  <c r="H56" i="1"/>
  <c r="I106" i="1" l="1"/>
  <c r="K106" i="1"/>
  <c r="N67" i="1"/>
  <c r="M96" i="1"/>
  <c r="I84" i="1"/>
  <c r="J84" i="1"/>
  <c r="K90" i="1"/>
  <c r="V14" i="4"/>
  <c r="V158" i="4"/>
  <c r="H96" i="1"/>
  <c r="L106" i="1"/>
  <c r="H67" i="1"/>
  <c r="H90" i="1"/>
  <c r="N90" i="1"/>
  <c r="K67" i="1"/>
  <c r="J90" i="1"/>
  <c r="K96" i="1"/>
  <c r="H106" i="1"/>
  <c r="V110" i="4"/>
  <c r="S43" i="1"/>
  <c r="S105" i="1" s="1"/>
  <c r="S106" i="1" s="1"/>
  <c r="V122" i="4"/>
  <c r="V146" i="4"/>
  <c r="L84" i="1"/>
  <c r="H57" i="1"/>
  <c r="L67" i="1"/>
  <c r="L96" i="1"/>
  <c r="M67" i="1"/>
  <c r="J67" i="1"/>
  <c r="J96" i="1"/>
  <c r="V134" i="4"/>
  <c r="O90" i="1"/>
  <c r="I90" i="1"/>
  <c r="J106" i="1"/>
  <c r="N106" i="1"/>
  <c r="Q43" i="1"/>
  <c r="Q105" i="1" s="1"/>
  <c r="Q106" i="1" s="1"/>
  <c r="O67" i="1"/>
  <c r="V98" i="4"/>
  <c r="V38" i="4"/>
  <c r="O106" i="1"/>
  <c r="M90" i="1"/>
  <c r="V26" i="4"/>
  <c r="V62" i="4"/>
  <c r="V86" i="4"/>
  <c r="M84" i="1"/>
  <c r="N84" i="1"/>
  <c r="V74" i="4"/>
  <c r="Q57" i="1"/>
  <c r="Q90" i="1"/>
  <c r="S67" i="1"/>
  <c r="P67" i="1"/>
  <c r="T57" i="1"/>
  <c r="R57" i="1"/>
  <c r="S90" i="1"/>
  <c r="T67" i="1"/>
  <c r="Q84" i="1"/>
  <c r="Q67" i="1"/>
  <c r="S57" i="1"/>
  <c r="P57" i="1"/>
  <c r="O96" i="1"/>
  <c r="Q96" i="1"/>
  <c r="T90" i="1"/>
  <c r="P90" i="1"/>
  <c r="O84" i="1"/>
  <c r="R67" i="1"/>
  <c r="T106" i="1"/>
  <c r="R106" i="1"/>
  <c r="P106" i="1"/>
  <c r="P84" i="1"/>
  <c r="T84" i="1"/>
  <c r="R84" i="1"/>
  <c r="S84" i="1"/>
  <c r="R90" i="1"/>
  <c r="P96" i="1"/>
  <c r="T96" i="1"/>
  <c r="S96" i="1"/>
  <c r="R96" i="1"/>
</calcChain>
</file>

<file path=xl/comments1.xml><?xml version="1.0" encoding="utf-8"?>
<comments xmlns="http://schemas.openxmlformats.org/spreadsheetml/2006/main">
  <authors>
    <author>evelyn</author>
    <author>acarevic</author>
  </authors>
  <commentList>
    <comment ref="P13" authorId="0" shapeId="0">
      <text>
        <r>
          <rPr>
            <b/>
            <sz val="9"/>
            <color indexed="81"/>
            <rFont val="Tahoma"/>
            <family val="2"/>
          </rPr>
          <t>evelyn:</t>
        </r>
        <r>
          <rPr>
            <sz val="9"/>
            <color indexed="81"/>
            <rFont val="Tahoma"/>
            <family val="2"/>
          </rPr>
          <t xml:space="preserve">
Local Imports, PA 202, DAU 046 and 047 minus Tuolumne River imports to Alameda 047 (SF and Hetch Hetchy)
</t>
        </r>
      </text>
    </comment>
    <comment ref="Q13" authorId="0" shapeId="0">
      <text>
        <r>
          <rPr>
            <b/>
            <sz val="9"/>
            <color indexed="81"/>
            <rFont val="Tahoma"/>
            <family val="2"/>
          </rPr>
          <t>evelyn:</t>
        </r>
        <r>
          <rPr>
            <sz val="9"/>
            <color indexed="81"/>
            <rFont val="Tahoma"/>
            <family val="2"/>
          </rPr>
          <t xml:space="preserve">
Local Imports, PA 202, DAU 046 and 047 minus Tuolumne River imports to Alameda 047 (SF and Hetch Hetchy)
</t>
        </r>
      </text>
    </comment>
    <comment ref="R13" authorId="0" shapeId="0">
      <text>
        <r>
          <rPr>
            <b/>
            <sz val="9"/>
            <color indexed="81"/>
            <rFont val="Tahoma"/>
            <family val="2"/>
          </rPr>
          <t>evelyn:</t>
        </r>
        <r>
          <rPr>
            <sz val="9"/>
            <color indexed="81"/>
            <rFont val="Tahoma"/>
            <family val="2"/>
          </rPr>
          <t xml:space="preserve">
Local Imports, PA 202, DAU 046 and 047 minus Tuolumne River imports to Alameda 047 (SF and Hetch Hetchy)
</t>
        </r>
      </text>
    </comment>
    <comment ref="S13" authorId="0" shapeId="0">
      <text>
        <r>
          <rPr>
            <b/>
            <sz val="9"/>
            <color indexed="81"/>
            <rFont val="Tahoma"/>
            <family val="2"/>
          </rPr>
          <t>evelyn:</t>
        </r>
        <r>
          <rPr>
            <sz val="9"/>
            <color indexed="81"/>
            <rFont val="Tahoma"/>
            <family val="2"/>
          </rPr>
          <t xml:space="preserve">
Local Imports, PA 202, DAU 046 and 047 minus Tuolumne River imports to Alameda 047 (SF and Hetch Hetchy)
</t>
        </r>
      </text>
    </comment>
    <comment ref="T13" authorId="0" shapeId="0">
      <text>
        <r>
          <rPr>
            <b/>
            <sz val="9"/>
            <color indexed="81"/>
            <rFont val="Tahoma"/>
            <family val="2"/>
          </rPr>
          <t>evelyn:</t>
        </r>
        <r>
          <rPr>
            <sz val="9"/>
            <color indexed="81"/>
            <rFont val="Tahoma"/>
            <family val="2"/>
          </rPr>
          <t xml:space="preserve">
Local Imports, PA 202, DAU 046 and 047 minus Tuolumne River imports to Alameda 047 (SF and Hetch Hetchy)
</t>
        </r>
      </text>
    </comment>
    <comment ref="P22" authorId="0" shapeId="0">
      <text>
        <r>
          <rPr>
            <b/>
            <sz val="9"/>
            <color indexed="81"/>
            <rFont val="Tahoma"/>
            <family val="2"/>
          </rPr>
          <t>evelyn:</t>
        </r>
        <r>
          <rPr>
            <sz val="9"/>
            <color indexed="81"/>
            <rFont val="Tahoma"/>
            <family val="2"/>
          </rPr>
          <t xml:space="preserve">
Colorado River supply for South Coast</t>
        </r>
      </text>
    </comment>
    <comment ref="Q22" authorId="0" shapeId="0">
      <text>
        <r>
          <rPr>
            <b/>
            <sz val="9"/>
            <color indexed="81"/>
            <rFont val="Tahoma"/>
            <family val="2"/>
          </rPr>
          <t>evelyn:</t>
        </r>
        <r>
          <rPr>
            <sz val="9"/>
            <color indexed="81"/>
            <rFont val="Tahoma"/>
            <family val="2"/>
          </rPr>
          <t xml:space="preserve">
Colorado River supply for South Coast</t>
        </r>
      </text>
    </comment>
    <comment ref="R22" authorId="0" shapeId="0">
      <text>
        <r>
          <rPr>
            <b/>
            <sz val="9"/>
            <color indexed="81"/>
            <rFont val="Tahoma"/>
            <family val="2"/>
          </rPr>
          <t>evelyn:</t>
        </r>
        <r>
          <rPr>
            <sz val="9"/>
            <color indexed="81"/>
            <rFont val="Tahoma"/>
            <family val="2"/>
          </rPr>
          <t xml:space="preserve">
Colorado River supply for South Coast</t>
        </r>
      </text>
    </comment>
    <comment ref="S22" authorId="0" shapeId="0">
      <text>
        <r>
          <rPr>
            <b/>
            <sz val="9"/>
            <color indexed="81"/>
            <rFont val="Tahoma"/>
            <family val="2"/>
          </rPr>
          <t>evelyn:</t>
        </r>
        <r>
          <rPr>
            <sz val="9"/>
            <color indexed="81"/>
            <rFont val="Tahoma"/>
            <family val="2"/>
          </rPr>
          <t xml:space="preserve">
Colorado River supply for South Coast</t>
        </r>
      </text>
    </comment>
    <comment ref="T22" authorId="0" shapeId="0">
      <text>
        <r>
          <rPr>
            <b/>
            <sz val="9"/>
            <color indexed="81"/>
            <rFont val="Tahoma"/>
            <family val="2"/>
          </rPr>
          <t>evelyn:</t>
        </r>
        <r>
          <rPr>
            <sz val="9"/>
            <color indexed="81"/>
            <rFont val="Tahoma"/>
            <family val="2"/>
          </rPr>
          <t xml:space="preserve">
Colorado River supply for South Coast</t>
        </r>
      </text>
    </comment>
    <comment ref="P24" authorId="0" shapeId="0">
      <text>
        <r>
          <rPr>
            <b/>
            <sz val="9"/>
            <color indexed="81"/>
            <rFont val="Tahoma"/>
            <family val="2"/>
          </rPr>
          <t>evelyn:</t>
        </r>
        <r>
          <rPr>
            <sz val="9"/>
            <color indexed="81"/>
            <rFont val="Tahoma"/>
            <family val="2"/>
          </rPr>
          <t xml:space="preserve">
PA 508, DAU/Co 15446 local imports</t>
        </r>
      </text>
    </comment>
    <comment ref="Q24" authorId="0" shapeId="0">
      <text>
        <r>
          <rPr>
            <b/>
            <sz val="9"/>
            <color indexed="81"/>
            <rFont val="Tahoma"/>
            <family val="2"/>
          </rPr>
          <t>evelyn:</t>
        </r>
        <r>
          <rPr>
            <sz val="9"/>
            <color indexed="81"/>
            <rFont val="Tahoma"/>
            <family val="2"/>
          </rPr>
          <t xml:space="preserve">
PA 508, DAU/Co 15446 local imports</t>
        </r>
      </text>
    </comment>
    <comment ref="R24" authorId="0" shapeId="0">
      <text>
        <r>
          <rPr>
            <b/>
            <sz val="9"/>
            <color indexed="81"/>
            <rFont val="Tahoma"/>
            <family val="2"/>
          </rPr>
          <t>evelyn:</t>
        </r>
        <r>
          <rPr>
            <sz val="9"/>
            <color indexed="81"/>
            <rFont val="Tahoma"/>
            <family val="2"/>
          </rPr>
          <t xml:space="preserve">
PA 508, DAU/Co 15446 local imports</t>
        </r>
      </text>
    </comment>
    <comment ref="S24" authorId="0" shapeId="0">
      <text>
        <r>
          <rPr>
            <b/>
            <sz val="9"/>
            <color indexed="81"/>
            <rFont val="Tahoma"/>
            <family val="2"/>
          </rPr>
          <t>evelyn:</t>
        </r>
        <r>
          <rPr>
            <sz val="9"/>
            <color indexed="81"/>
            <rFont val="Tahoma"/>
            <family val="2"/>
          </rPr>
          <t xml:space="preserve">
PA 508, DAU/Co 15446 local imports</t>
        </r>
      </text>
    </comment>
    <comment ref="T24" authorId="0" shapeId="0">
      <text>
        <r>
          <rPr>
            <b/>
            <sz val="9"/>
            <color indexed="81"/>
            <rFont val="Tahoma"/>
            <family val="2"/>
          </rPr>
          <t>evelyn:</t>
        </r>
        <r>
          <rPr>
            <sz val="9"/>
            <color indexed="81"/>
            <rFont val="Tahoma"/>
            <family val="2"/>
          </rPr>
          <t xml:space="preserve">
PA 508, DAU/Co 15446 local imports</t>
        </r>
      </text>
    </comment>
    <comment ref="Z26" authorId="1" shapeId="0">
      <text>
        <r>
          <rPr>
            <b/>
            <sz val="9"/>
            <color indexed="81"/>
            <rFont val="Tahoma"/>
            <family val="2"/>
          </rPr>
          <t xml:space="preserve">acarevic:
UPDATE 2018
</t>
        </r>
        <r>
          <rPr>
            <sz val="9"/>
            <color indexed="81"/>
            <rFont val="Tahoma"/>
            <family val="2"/>
          </rPr>
          <t>2016 EID Water Resources Reliability Report</t>
        </r>
        <r>
          <rPr>
            <b/>
            <sz val="9"/>
            <color indexed="81"/>
            <rFont val="Tahoma"/>
            <family val="2"/>
          </rPr>
          <t xml:space="preserve">
No change to Meters mentioned in report keeping ~2.8-taf flow through ditch.
</t>
        </r>
        <r>
          <rPr>
            <sz val="9"/>
            <color indexed="81"/>
            <rFont val="Tahoma"/>
            <family val="2"/>
          </rPr>
          <t xml:space="preserve">
2012 EID Water Resource Reliability Report.
EID BOD considered the "Craford Project Water Allocation Plan" on 4/23/90, in response to a water energency decalred 3/12/90.  The Crawfrod Ditch Project was to net EID nearly 2.8-TAF of new water which equated to 35000 EDUs.  Resolution 90-87 was adopted on 4/30/90 adding a surcharge of $2200 to the Facility Capacity Charge for each new water meter sold under the allocation plan.  These funds were then used to make improvements to the Crawford Ditch System as well as EIDs Reservoir 7 water treatment plant.  Water meters purchased under the Crawford Allocation were not required to be installed at the time of purchase, but rather only as needed. These meters are in the latent demand as uninstalled meters.  Over time, the number of Crawford allocation uninstalled metered has steadily diminished as these projects are built and the meters are installed.
Crawford Ditch 2005 Water Supply Master Plan:
The Crawford Ditch is a conveyance system of pipes, siphons, and a lined and unlined canal.  The ditch diverts from North Forl Cosumnes River (North Fork Ditch) and is also supplied water released from Jenkinson Lake by redivversion from Clear Creek.  The diversion is based on a pre-1914 water right acquired by EID.
Generally diversion from the NF Cosumnes River into Crawford Ditch can commence on April 1 thru Oct31 each year.  Approximately 5.56-taf of water is available annually for diversion into crawford ditch. 
However, because of conveyance losses not all the water diverted is fully used.  EID has ongoing maintenance programs to replace much of the open ditch protions with buried pipe and/or lines ditch to reduce these loses.
Losses have been estimated at 25% leaving 4.17-taf available for use. Use occurs in both DAU 176 (SJ HR)  &amp; 158 (Sac HR).  As the area is being built less use occurs in DAU 158.  With little to no metering it is difficult to know what actually transfers over the ridge.  It is estimated that at most 2-taf is entering DAU 158 from the Crawford system.
Need to revisit....</t>
        </r>
      </text>
    </comment>
    <comment ref="P45" authorId="0" shapeId="0">
      <text>
        <r>
          <rPr>
            <b/>
            <sz val="9"/>
            <color indexed="81"/>
            <rFont val="Tahoma"/>
            <family val="2"/>
          </rPr>
          <t>evelyn:</t>
        </r>
        <r>
          <rPr>
            <sz val="9"/>
            <color indexed="81"/>
            <rFont val="Tahoma"/>
            <family val="2"/>
          </rPr>
          <t xml:space="preserve">
total Colorado River Deliveries to South Coast and Colorado River Regions</t>
        </r>
      </text>
    </comment>
    <comment ref="Q45" authorId="0" shapeId="0">
      <text>
        <r>
          <rPr>
            <b/>
            <sz val="9"/>
            <color indexed="81"/>
            <rFont val="Tahoma"/>
            <family val="2"/>
          </rPr>
          <t>evelyn:</t>
        </r>
        <r>
          <rPr>
            <sz val="9"/>
            <color indexed="81"/>
            <rFont val="Tahoma"/>
            <family val="2"/>
          </rPr>
          <t xml:space="preserve">
total Colorado River Deliveries to South Coast and Colorado River Regions</t>
        </r>
      </text>
    </comment>
    <comment ref="R45" authorId="0" shapeId="0">
      <text>
        <r>
          <rPr>
            <b/>
            <sz val="9"/>
            <color indexed="81"/>
            <rFont val="Tahoma"/>
            <family val="2"/>
          </rPr>
          <t>evelyn:</t>
        </r>
        <r>
          <rPr>
            <sz val="9"/>
            <color indexed="81"/>
            <rFont val="Tahoma"/>
            <family val="2"/>
          </rPr>
          <t xml:space="preserve">
total Colorado River Deliveries to South Coast and Colorado River Regions</t>
        </r>
      </text>
    </comment>
    <comment ref="S45" authorId="0" shapeId="0">
      <text>
        <r>
          <rPr>
            <b/>
            <sz val="9"/>
            <color indexed="81"/>
            <rFont val="Tahoma"/>
            <family val="2"/>
          </rPr>
          <t>evelyn:</t>
        </r>
        <r>
          <rPr>
            <sz val="9"/>
            <color indexed="81"/>
            <rFont val="Tahoma"/>
            <family val="2"/>
          </rPr>
          <t xml:space="preserve">
total Colorado River Deliveries to South Coast and Colorado River Regions</t>
        </r>
      </text>
    </comment>
    <comment ref="T45" authorId="0" shapeId="0">
      <text>
        <r>
          <rPr>
            <b/>
            <sz val="9"/>
            <color indexed="81"/>
            <rFont val="Tahoma"/>
            <family val="2"/>
          </rPr>
          <t>evelyn:</t>
        </r>
        <r>
          <rPr>
            <sz val="9"/>
            <color indexed="81"/>
            <rFont val="Tahoma"/>
            <family val="2"/>
          </rPr>
          <t xml:space="preserve">
total Colorado River Deliveries to South Coast and Colorado River Regions</t>
        </r>
      </text>
    </comment>
  </commentList>
</comments>
</file>

<file path=xl/comments2.xml><?xml version="1.0" encoding="utf-8"?>
<comments xmlns="http://schemas.openxmlformats.org/spreadsheetml/2006/main">
  <authors>
    <author>acarevic</author>
    <author>evelyn</author>
  </authors>
  <commentList>
    <comment ref="C8" authorId="0" shapeId="0">
      <text>
        <r>
          <rPr>
            <b/>
            <sz val="9"/>
            <color indexed="81"/>
            <rFont val="Tahoma"/>
            <family val="2"/>
          </rPr>
          <t>acarevic:</t>
        </r>
        <r>
          <rPr>
            <sz val="9"/>
            <color indexed="81"/>
            <rFont val="Tahoma"/>
            <family val="2"/>
          </rPr>
          <t xml:space="preserve">
Discontinued as of 10/2007
Latitude 39°19'06",   Longitude 123°36'49"   NAD27
 Mendocino County, California, Hydrologic Unit 18010108 Drainage area: 88.7 square milesDatum of gage: 120 feet above   NGVD29.</t>
        </r>
      </text>
    </comment>
    <comment ref="C14" authorId="0" shapeId="0">
      <text>
        <r>
          <rPr>
            <b/>
            <sz val="9"/>
            <color indexed="81"/>
            <rFont val="Tahoma"/>
            <family val="2"/>
          </rPr>
          <t>acarevic:</t>
        </r>
        <r>
          <rPr>
            <sz val="9"/>
            <color indexed="81"/>
            <rFont val="Tahoma"/>
            <family val="2"/>
          </rPr>
          <t xml:space="preserve">
Discontinued 09/2003
Latitude 39°15'37",   Longitude 123°37'00"   NAD27
Mendocino County, California, Hydrologic Unit 18010108
Drainage area: 14.4 square miles
Datum of gage: 145.64 feet above   NGVD29.
Water Year Discharge
1962 14.6  cfs
1963 19.5  cfs
1964 11.2  cfs
1965 27.8  cfs
1966 18.3  cfs
1967 22.4  cfs
1968 12.2  cfs
1969 34.1  cfs
2003 26.0  cfs
** No Incomplete data have been used for statistical calculation
</t>
        </r>
      </text>
    </comment>
    <comment ref="C34" authorId="1" shapeId="0">
      <text>
        <r>
          <rPr>
            <b/>
            <sz val="9"/>
            <color indexed="81"/>
            <rFont val="Tahoma"/>
            <family val="2"/>
          </rPr>
          <t>evelyn:</t>
        </r>
        <r>
          <rPr>
            <sz val="9"/>
            <color indexed="81"/>
            <rFont val="Tahoma"/>
            <family val="2"/>
          </rPr>
          <t xml:space="preserve">
Meter discontinued 09-2009</t>
        </r>
      </text>
    </comment>
  </commentList>
</comments>
</file>

<file path=xl/sharedStrings.xml><?xml version="1.0" encoding="utf-8"?>
<sst xmlns="http://schemas.openxmlformats.org/spreadsheetml/2006/main" count="431" uniqueCount="274">
  <si>
    <t>Waterway</t>
  </si>
  <si>
    <t>Entering</t>
  </si>
  <si>
    <t>Leaving</t>
  </si>
  <si>
    <t>Oregon</t>
  </si>
  <si>
    <t>North Coast Region</t>
  </si>
  <si>
    <t>Klamath and Lost Rivers</t>
  </si>
  <si>
    <t>Klamath Straits Drain and Lost River</t>
  </si>
  <si>
    <t>North Fork Ditch</t>
  </si>
  <si>
    <t>Sacramento River Region</t>
  </si>
  <si>
    <t>Sonoma Petaluma Aqueduct</t>
  </si>
  <si>
    <t>San Francisco Bay Region</t>
  </si>
  <si>
    <t xml:space="preserve">San Joaquin River Region </t>
  </si>
  <si>
    <t>Contra Costa Canal</t>
  </si>
  <si>
    <t>Mokelumne Aqueduct</t>
  </si>
  <si>
    <t>Hetch Hetchy Aqueduct</t>
  </si>
  <si>
    <t>South Bay Aqueduct (SWP)</t>
  </si>
  <si>
    <t>Central Coast Region</t>
  </si>
  <si>
    <t>San Felipe Unit CVP</t>
  </si>
  <si>
    <t>Tulare Lake Region</t>
  </si>
  <si>
    <t>Coastal Branch Ca Aqueduct (SWP)</t>
  </si>
  <si>
    <t>South Coast Region</t>
  </si>
  <si>
    <t>South Lahontan Region</t>
  </si>
  <si>
    <t>LA Aqueduct</t>
  </si>
  <si>
    <t>California Aqueduct (SWP)</t>
  </si>
  <si>
    <t>Colorado River Region</t>
  </si>
  <si>
    <t>Colorado R. Aqueduct</t>
  </si>
  <si>
    <t>North Lahontan Region</t>
  </si>
  <si>
    <t>Pit River</t>
  </si>
  <si>
    <t>Little Truckee</t>
  </si>
  <si>
    <t>Echo Lake Conduit</t>
  </si>
  <si>
    <t>San Joaquin River Region</t>
  </si>
  <si>
    <t>Sly Park</t>
  </si>
  <si>
    <t>Folsom South Canal</t>
  </si>
  <si>
    <t>California Aqueduct</t>
  </si>
  <si>
    <t>Delta Mendota Canal</t>
  </si>
  <si>
    <t>San Luis Unit (CVP)</t>
  </si>
  <si>
    <t>DMC-Mendota Pool</t>
  </si>
  <si>
    <t>Friant-Kern Canal (CVP)</t>
  </si>
  <si>
    <t xml:space="preserve">San Joaquin River </t>
  </si>
  <si>
    <t>Virginia Creek</t>
  </si>
  <si>
    <t>Nevada</t>
  </si>
  <si>
    <t>Colorado River</t>
  </si>
  <si>
    <t>Putah South Canal</t>
  </si>
  <si>
    <t>North Bay Aqueduct (SWP)</t>
  </si>
  <si>
    <t>City of Vallejo</t>
  </si>
  <si>
    <t>Cross Valley Canal</t>
  </si>
  <si>
    <t>PA</t>
  </si>
  <si>
    <t>In</t>
  </si>
  <si>
    <t>Out</t>
  </si>
  <si>
    <t>Flow (TAF)</t>
  </si>
  <si>
    <t>Mexico</t>
  </si>
  <si>
    <t>New River</t>
  </si>
  <si>
    <t>From Planning Area</t>
  </si>
  <si>
    <t>Oroville Dam</t>
  </si>
  <si>
    <t>Folsom Lake</t>
  </si>
  <si>
    <t>Camanche Reservoir</t>
  </si>
  <si>
    <t>New Melones</t>
  </si>
  <si>
    <t>New Don Pedro</t>
  </si>
  <si>
    <t>Madera Canal (Friant)</t>
  </si>
  <si>
    <t>Hensley Lake (Fresno R)</t>
  </si>
  <si>
    <t>Eastman Lake (Chowchilla R)</t>
  </si>
  <si>
    <t>Mariposa Reservoir</t>
  </si>
  <si>
    <t>Owens Res/Creek</t>
  </si>
  <si>
    <t>Bear Res/Creek</t>
  </si>
  <si>
    <t>Lake McClure (Merced R)</t>
  </si>
  <si>
    <t>California Aqueduct (SWP) W Branch</t>
  </si>
  <si>
    <t>California Aqueduct (SWP) E Branch</t>
  </si>
  <si>
    <t>Reach</t>
  </si>
  <si>
    <t>From HR</t>
  </si>
  <si>
    <t>To HR</t>
  </si>
  <si>
    <t>SJ</t>
  </si>
  <si>
    <t>TL</t>
  </si>
  <si>
    <t>Pumping Plant</t>
  </si>
  <si>
    <t>Dos Amigos</t>
  </si>
  <si>
    <t>17F</t>
  </si>
  <si>
    <t>Edmonston</t>
  </si>
  <si>
    <t>SL</t>
  </si>
  <si>
    <t>29G</t>
  </si>
  <si>
    <t>Warne</t>
  </si>
  <si>
    <t>SC west</t>
  </si>
  <si>
    <t>East Branch</t>
  </si>
  <si>
    <t>26A</t>
  </si>
  <si>
    <t>28G</t>
  </si>
  <si>
    <t>28H</t>
  </si>
  <si>
    <t>28J</t>
  </si>
  <si>
    <t>SC east</t>
  </si>
  <si>
    <t>total east branch to SC</t>
  </si>
  <si>
    <t>Trinity River (CVP)</t>
  </si>
  <si>
    <t>North Coast</t>
  </si>
  <si>
    <t>Sacramento River</t>
  </si>
  <si>
    <t>San Francisco Bay</t>
  </si>
  <si>
    <t>Sacramento</t>
  </si>
  <si>
    <t>total</t>
  </si>
  <si>
    <t>North Lahontan</t>
  </si>
  <si>
    <t>San Joaquin River</t>
  </si>
  <si>
    <t>Central Coast</t>
  </si>
  <si>
    <t>Tulare Lake</t>
  </si>
  <si>
    <t>South Lahontan</t>
  </si>
  <si>
    <t>South Coast</t>
  </si>
  <si>
    <t>Kings River</t>
  </si>
  <si>
    <t>Kern River thru Ca Aqueduct</t>
  </si>
  <si>
    <t>-</t>
  </si>
  <si>
    <t>DAUCo</t>
  </si>
  <si>
    <t>From DAU/Co</t>
  </si>
  <si>
    <t>San Joaquin River below Millerton</t>
  </si>
  <si>
    <t>00247</t>
  </si>
  <si>
    <t>00147</t>
  </si>
  <si>
    <t>00447</t>
  </si>
  <si>
    <t>00753</t>
  </si>
  <si>
    <t>03749</t>
  </si>
  <si>
    <t>04148</t>
  </si>
  <si>
    <t>06243</t>
  </si>
  <si>
    <t>04607</t>
  </si>
  <si>
    <t>04443</t>
  </si>
  <si>
    <t>06540</t>
  </si>
  <si>
    <t>08319</t>
  </si>
  <si>
    <t>06343</t>
  </si>
  <si>
    <t>Truckee River at Farad</t>
  </si>
  <si>
    <t>Yearly totals</t>
  </si>
  <si>
    <t>West Walker River (Coleville)</t>
  </si>
  <si>
    <t>East Walker River (Bridgeport)</t>
  </si>
  <si>
    <t>East Fork Carson River Gardnerville</t>
  </si>
  <si>
    <t>West Fork Carson @ Woodfords</t>
  </si>
  <si>
    <t>WY 1999</t>
  </si>
  <si>
    <t>WY 2000</t>
  </si>
  <si>
    <t>WY 2001</t>
  </si>
  <si>
    <t>WY 2002</t>
  </si>
  <si>
    <t>WY 2003</t>
  </si>
  <si>
    <t>WY 2004</t>
  </si>
  <si>
    <t>WY 2005</t>
  </si>
  <si>
    <t>E Walker, W Walker</t>
  </si>
  <si>
    <t>Truckee</t>
  </si>
  <si>
    <t>East &amp; West Fork Carson</t>
  </si>
  <si>
    <t>WY 1998</t>
  </si>
  <si>
    <t>EWR</t>
  </si>
  <si>
    <t>WWR</t>
  </si>
  <si>
    <t>EFC</t>
  </si>
  <si>
    <t>WFC</t>
  </si>
  <si>
    <t>Crawford Ditch</t>
  </si>
  <si>
    <t>''''''''''''''''''''''''''''''''''''''''''''''''''''''''''''''''''''''''''''''''''''''''''''''''''''''''''''''''''''''''''''''''''''''''''''''''''''''''''''''''''''''''''''''''''''''''''''''''''''''''''''''''''''''''''''''''''''''''''''''''''''''''''''''''''''''''''''''''''''''''''''''''''''''''''''''''''''''''''''''''''''''''''''''''''''''''''''''''''''''''''''''''''''''''''''''''''''''''''''''''''''''''''''''''''''''''''''''''''''''''''''''''''''''''''''''''''''''''''''''''''''''''''''''''''''''''''''''''''''''''''''''''''''''''''''''''''''''''''''''''''''''''''''''''''''''</t>
  </si>
  <si>
    <t>see SWP sheet, line 3</t>
  </si>
  <si>
    <t>see SWP sheet, line 2</t>
  </si>
  <si>
    <t>see SWP sheet, line 4</t>
  </si>
  <si>
    <t>see SWP sheet. line 11</t>
  </si>
  <si>
    <t>WY 2006</t>
  </si>
  <si>
    <t>WY 2010</t>
  </si>
  <si>
    <t>WY 2009</t>
  </si>
  <si>
    <t>WY 2008</t>
  </si>
  <si>
    <t>WY 2007</t>
  </si>
  <si>
    <t>Denotes changes since Update 2009</t>
  </si>
  <si>
    <t>USGS web site, #11269500, Mariposa County</t>
  </si>
  <si>
    <t>see SFBay Balance Worksheets for Sonoma County Water Agency</t>
  </si>
  <si>
    <t>see USGS site 11454210</t>
  </si>
  <si>
    <t>see SWP_SF-BAY-AREA tab</t>
  </si>
  <si>
    <t>see Bulletin 132, Table 9-4 or tab VallejoPermit</t>
  </si>
  <si>
    <t>see USGS-CCC tab or Table 21 http://www.usbr.gov/mp/cvo/02deliv.html</t>
  </si>
  <si>
    <t>see USGS-HH-Tuolumne or http://waterdata.usgs.gov/nwis/annual ID# 11276600</t>
  </si>
  <si>
    <t>2010 Estimated by Calder</t>
  </si>
  <si>
    <t>taken from Data Entry Sheets</t>
  </si>
  <si>
    <t>http://wdr.water.usgs.gov/</t>
  </si>
  <si>
    <t>site#10254970</t>
  </si>
  <si>
    <t>outflow from Delta</t>
  </si>
  <si>
    <t>Mokelumne</t>
  </si>
  <si>
    <t>Hetch Hetchy</t>
  </si>
  <si>
    <t>Friant Kern</t>
  </si>
  <si>
    <t>Total</t>
  </si>
  <si>
    <t>Table D-6</t>
  </si>
  <si>
    <t>Delta Regional Report</t>
  </si>
  <si>
    <t>Outflows</t>
  </si>
  <si>
    <t>River</t>
  </si>
  <si>
    <t>Annual Total</t>
  </si>
  <si>
    <t>Smith River</t>
  </si>
  <si>
    <t>Mad River</t>
  </si>
  <si>
    <t>Eel River</t>
  </si>
  <si>
    <t>USGS Gage</t>
  </si>
  <si>
    <t>Big River</t>
  </si>
  <si>
    <t>Redwood Creek</t>
  </si>
  <si>
    <t>Little River</t>
  </si>
  <si>
    <t>Mattole River</t>
  </si>
  <si>
    <t>Noyo River</t>
  </si>
  <si>
    <t>Navarro River</t>
  </si>
  <si>
    <t>Albion River</t>
  </si>
  <si>
    <t>NF Gualala River</t>
  </si>
  <si>
    <t xml:space="preserve">San Francisco Bay </t>
  </si>
  <si>
    <t>Lagunitas Creek</t>
  </si>
  <si>
    <t>Pilarcitos</t>
  </si>
  <si>
    <t>Pescadero Creek</t>
  </si>
  <si>
    <t>Region</t>
  </si>
  <si>
    <t>Cerralitos</t>
  </si>
  <si>
    <t>San Lorenzo</t>
  </si>
  <si>
    <t>Soquel</t>
  </si>
  <si>
    <t>Pajaro River</t>
  </si>
  <si>
    <t>Salinas River</t>
  </si>
  <si>
    <t>Carmel River</t>
  </si>
  <si>
    <t>Big Sur River</t>
  </si>
  <si>
    <t>San Antonio</t>
  </si>
  <si>
    <t>Salsipuedes Creek</t>
  </si>
  <si>
    <t>Santa Ynez River</t>
  </si>
  <si>
    <t xml:space="preserve">Miguelito </t>
  </si>
  <si>
    <t>Atascadero</t>
  </si>
  <si>
    <t>Jameson Lake Weir</t>
  </si>
  <si>
    <t>Ventura River</t>
  </si>
  <si>
    <t>Calleguas</t>
  </si>
  <si>
    <t>San Gabriel R</t>
  </si>
  <si>
    <t>Los Angeles River</t>
  </si>
  <si>
    <t>Fullerton Creek</t>
  </si>
  <si>
    <t>Brea Creek</t>
  </si>
  <si>
    <t>Bonita Creek</t>
  </si>
  <si>
    <t>Santa Ana River</t>
  </si>
  <si>
    <t>Arroyo Trabuco</t>
  </si>
  <si>
    <t>Cristianitos Creek</t>
  </si>
  <si>
    <t>San Onofre Creek</t>
  </si>
  <si>
    <t>Las Flores Creek</t>
  </si>
  <si>
    <t>San Diego River</t>
  </si>
  <si>
    <t>Jamul Creek</t>
  </si>
  <si>
    <t>Russian River</t>
  </si>
  <si>
    <t>Walker Creek</t>
  </si>
  <si>
    <t>Regional</t>
  </si>
  <si>
    <t>totals</t>
  </si>
  <si>
    <t>outflows</t>
  </si>
  <si>
    <t>no data</t>
  </si>
  <si>
    <t>San Gregorio</t>
  </si>
  <si>
    <t>TAF</t>
  </si>
  <si>
    <t>cfs/year</t>
  </si>
  <si>
    <t>1 cfs/year =</t>
  </si>
  <si>
    <t>acre-feet/year</t>
  </si>
  <si>
    <t>Mean Monthly Outflows, cfs</t>
  </si>
  <si>
    <t>Klamath River</t>
  </si>
  <si>
    <t>DAU</t>
  </si>
  <si>
    <t>we are not longer analyzing Mountain Counties area</t>
  </si>
  <si>
    <t>TRF-10346000</t>
  </si>
  <si>
    <t>Source - B132-15, Table B6</t>
  </si>
  <si>
    <t>cfs</t>
  </si>
  <si>
    <t>WY 2011</t>
  </si>
  <si>
    <t>WY 2012</t>
  </si>
  <si>
    <t>WY 2013</t>
  </si>
  <si>
    <t>WY 2014</t>
  </si>
  <si>
    <t>WY 2015</t>
  </si>
  <si>
    <t>see Bulletin 132-15, Table B-5A, Reach 33A</t>
  </si>
  <si>
    <t>http://cdec4gov.water.ca.gov/cgi-progs/selectQuery</t>
  </si>
  <si>
    <t>Use Three letter code for river</t>
  </si>
  <si>
    <t>This is USGS data that has been summarized by month and converted to AF from cfs</t>
  </si>
  <si>
    <t xml:space="preserve">  "outflow to Nevada" sheet, columns D and H</t>
  </si>
  <si>
    <t xml:space="preserve">  "outflow to Nevada" sheet, column P</t>
  </si>
  <si>
    <t xml:space="preserve">  "outflow to Nevada" sheet, columns L and T</t>
  </si>
  <si>
    <t>Colorado River CLD</t>
  </si>
  <si>
    <t>AF</t>
  </si>
  <si>
    <t>TAF/WY</t>
  </si>
  <si>
    <t>--</t>
  </si>
  <si>
    <t>CDEC, Code CLD , Colorado River at Lee's Ferry</t>
  </si>
  <si>
    <t>Owens Valley OWL</t>
  </si>
  <si>
    <t xml:space="preserve"> CDEC 'OWL'</t>
  </si>
  <si>
    <t>Klamath River KLI</t>
  </si>
  <si>
    <t>AF/mo</t>
  </si>
  <si>
    <t>TAF/yr</t>
  </si>
  <si>
    <t>cfs to af/day</t>
  </si>
  <si>
    <t>see Bulletin 132, table B-5A, North Bay Aqueduct</t>
  </si>
  <si>
    <t>South Bay Aqueduct</t>
  </si>
  <si>
    <t>Source - B132-15, Table B5-A (reaches 26A-28J, South Bay Aqueduct)</t>
  </si>
  <si>
    <t>HH Tuolumne</t>
  </si>
  <si>
    <t>USGS site#10289000, records end 2009</t>
  </si>
  <si>
    <t>2011-2015 SWP Bulletin 132, B-6, Banks Pumping Plant</t>
  </si>
  <si>
    <t xml:space="preserve">Oregon </t>
  </si>
  <si>
    <t>Klamath &amp; Lost Rivers</t>
  </si>
  <si>
    <t>USGS Oregon 11510700</t>
  </si>
  <si>
    <t>Local Imports, PA 202, DAU 046 &amp;047 Contra Costa County</t>
  </si>
  <si>
    <t xml:space="preserve">?https://www.usbr.gov/mp/cvo/deliv.html Table 21 </t>
  </si>
  <si>
    <t>https://www.water.ca.gov/-/media/DWR-Website/Web-Pages/Programs/State-Water-Project/Operations-And-Maintenance/Files/Operations-Control-Office/Project-Wide-Operations/Annual-Reports-of-Operations/SWP-Annual-Report-2010.pdf</t>
  </si>
  <si>
    <t>TROA-ask for Little Truckee diversions for water plan</t>
  </si>
  <si>
    <t>see USGS-Echo Lake or http://waterdata.usgs.gov/nwis/inventory/?site_no=11434500&amp;amp;</t>
  </si>
  <si>
    <t>4.17-taf available to both DAU 176 &amp;158 approximately half by each side.</t>
  </si>
  <si>
    <t>SLY Park is on the CVP 705-Reports</t>
  </si>
  <si>
    <t xml:space="preserve">https://www.usbr.gov/mp/cvo/deliv.html Table 21 </t>
  </si>
  <si>
    <t>Data found at http://wdr.water.usgs.gov. Input is NEW R AT INTERNATIONAL BOUNDARY AT CALEXICO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</si>
</sst>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5" x14ac:knownFonts="1">
    <font>
      <sz val="10"/>
      <name val="Arial"/>
    </font>
    <font>
      <sz val="10"/>
      <name val="Arial"/>
      <family val="2"/>
    </font>
    <font>
      <sz val="8"/>
      <name val="Arial"/>
      <family val="2"/>
    </font>
    <font>
      <sz val="10"/>
      <name val="Arial"/>
      <family val="2"/>
    </font>
    <font>
      <u/>
      <sz val="10"/>
      <color indexed="12"/>
      <name val="Arial"/>
      <family val="2"/>
    </font>
    <font>
      <sz val="10"/>
      <color indexed="12"/>
      <name val="Arial"/>
      <family val="2"/>
    </font>
    <font>
      <u/>
      <sz val="10"/>
      <color indexed="12"/>
      <name val="Arial"/>
      <family val="2"/>
    </font>
    <font>
      <sz val="9"/>
      <color indexed="81"/>
      <name val="Tahoma"/>
      <family val="2"/>
    </font>
    <font>
      <b/>
      <sz val="9"/>
      <color indexed="81"/>
      <name val="Tahoma"/>
      <family val="2"/>
    </font>
    <font>
      <sz val="12"/>
      <name val="Arial"/>
      <family val="2"/>
    </font>
    <font>
      <sz val="12"/>
      <color indexed="10"/>
      <name val="Arial"/>
      <family val="2"/>
    </font>
    <font>
      <b/>
      <sz val="12"/>
      <name val="Arial"/>
      <family val="2"/>
    </font>
    <font>
      <sz val="10"/>
      <color rgb="FF000000"/>
      <name val="Verdana"/>
      <family val="2"/>
    </font>
    <font>
      <b/>
      <sz val="10"/>
      <color rgb="FF000000"/>
      <name val="Verdana"/>
      <family val="2"/>
    </font>
    <font>
      <u/>
      <sz val="10"/>
      <name val="Arial"/>
      <family val="2"/>
    </font>
  </fonts>
  <fills count="14">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6"/>
        <bgColor indexed="64"/>
      </patternFill>
    </fill>
    <fill>
      <patternFill patternType="solid">
        <fgColor indexed="15"/>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theme="6" tint="0.59999389629810485"/>
        <bgColor indexed="64"/>
      </patternFill>
    </fill>
    <fill>
      <patternFill patternType="solid">
        <fgColor theme="5" tint="0.59999389629810485"/>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65">
    <xf numFmtId="0" fontId="0" fillId="0" borderId="0" xfId="0"/>
    <xf numFmtId="0" fontId="0" fillId="0" borderId="1" xfId="0" applyBorder="1"/>
    <xf numFmtId="0" fontId="0" fillId="0" borderId="11" xfId="0" applyBorder="1" applyAlignment="1">
      <alignment horizontal="center"/>
    </xf>
    <xf numFmtId="0" fontId="0" fillId="0" borderId="0" xfId="0" applyAlignment="1">
      <alignment horizontal="center"/>
    </xf>
    <xf numFmtId="0" fontId="0" fillId="0" borderId="2" xfId="0" applyBorder="1"/>
    <xf numFmtId="0" fontId="0" fillId="0" borderId="10" xfId="0" applyBorder="1" applyAlignment="1">
      <alignment horizontal="center"/>
    </xf>
    <xf numFmtId="164" fontId="0" fillId="0" borderId="0" xfId="1" applyNumberFormat="1" applyFont="1"/>
    <xf numFmtId="0" fontId="0" fillId="0" borderId="0" xfId="0" applyAlignment="1">
      <alignment horizontal="left"/>
    </xf>
    <xf numFmtId="164" fontId="0" fillId="0" borderId="0" xfId="0" applyNumberFormat="1"/>
    <xf numFmtId="164" fontId="0" fillId="0" borderId="0" xfId="1" applyNumberFormat="1" applyFont="1" applyFill="1" applyBorder="1"/>
    <xf numFmtId="0" fontId="0" fillId="0" borderId="28" xfId="0" applyBorder="1" applyAlignment="1">
      <alignment horizontal="center"/>
    </xf>
    <xf numFmtId="0" fontId="0" fillId="0" borderId="0" xfId="0" applyFill="1"/>
    <xf numFmtId="0" fontId="0" fillId="0" borderId="10" xfId="0" applyBorder="1" applyAlignment="1">
      <alignment horizontal="center" wrapText="1"/>
    </xf>
    <xf numFmtId="17" fontId="3" fillId="0" borderId="0" xfId="0" applyNumberFormat="1" applyFont="1"/>
    <xf numFmtId="0" fontId="3" fillId="0" borderId="0" xfId="0" applyFont="1" applyAlignment="1">
      <alignment horizontal="right"/>
    </xf>
    <xf numFmtId="0" fontId="4" fillId="0" borderId="0" xfId="2" applyAlignment="1" applyProtection="1">
      <alignment wrapText="1"/>
    </xf>
    <xf numFmtId="0" fontId="5" fillId="0" borderId="0" xfId="2" applyFont="1" applyAlignment="1" applyProtection="1">
      <alignment wrapText="1"/>
    </xf>
    <xf numFmtId="164" fontId="0" fillId="0" borderId="1" xfId="0" applyNumberFormat="1" applyBorder="1"/>
    <xf numFmtId="164" fontId="0" fillId="0" borderId="1" xfId="1" applyNumberFormat="1" applyFont="1" applyBorder="1"/>
    <xf numFmtId="0" fontId="0" fillId="0" borderId="1" xfId="0" applyBorder="1" applyAlignment="1">
      <alignment horizontal="center"/>
    </xf>
    <xf numFmtId="0" fontId="3" fillId="0" borderId="0" xfId="0" applyFont="1"/>
    <xf numFmtId="0" fontId="6" fillId="0" borderId="0" xfId="2" applyFont="1" applyAlignment="1" applyProtection="1">
      <alignment wrapText="1"/>
    </xf>
    <xf numFmtId="164" fontId="3" fillId="0" borderId="0" xfId="1" applyNumberFormat="1" applyFont="1"/>
    <xf numFmtId="0" fontId="0" fillId="0" borderId="0" xfId="0" applyAlignment="1">
      <alignment horizontal="center"/>
    </xf>
    <xf numFmtId="17" fontId="0" fillId="0" borderId="0" xfId="0" applyNumberFormat="1"/>
    <xf numFmtId="165" fontId="0" fillId="0" borderId="0" xfId="1" applyNumberFormat="1" applyFont="1"/>
    <xf numFmtId="165" fontId="0" fillId="0" borderId="0" xfId="0" applyNumberFormat="1"/>
    <xf numFmtId="0" fontId="0" fillId="0" borderId="0" xfId="0" applyAlignment="1">
      <alignment horizontal="right"/>
    </xf>
    <xf numFmtId="17" fontId="0" fillId="0" borderId="0" xfId="0" applyNumberFormat="1" applyAlignment="1">
      <alignment horizontal="center"/>
    </xf>
    <xf numFmtId="0" fontId="3" fillId="0" borderId="0" xfId="0" applyFont="1" applyFill="1"/>
    <xf numFmtId="0" fontId="0" fillId="0" borderId="0" xfId="0" applyAlignment="1">
      <alignment horizontal="center"/>
    </xf>
    <xf numFmtId="0" fontId="9" fillId="0" borderId="2" xfId="0" applyFont="1" applyBorder="1" applyAlignment="1">
      <alignment horizontal="center"/>
    </xf>
    <xf numFmtId="0" fontId="9" fillId="0" borderId="26" xfId="0" applyFont="1" applyBorder="1" applyAlignment="1">
      <alignment horizontal="center"/>
    </xf>
    <xf numFmtId="0" fontId="9" fillId="0" borderId="3" xfId="0" applyFont="1" applyBorder="1" applyAlignment="1">
      <alignment horizontal="center"/>
    </xf>
    <xf numFmtId="0" fontId="9" fillId="0" borderId="0" xfId="0" applyFont="1"/>
    <xf numFmtId="0" fontId="9" fillId="0" borderId="10" xfId="0" applyFont="1" applyBorder="1"/>
    <xf numFmtId="0" fontId="9" fillId="0" borderId="11" xfId="0" applyFont="1" applyBorder="1" applyAlignment="1">
      <alignment horizontal="center"/>
    </xf>
    <xf numFmtId="0" fontId="9" fillId="0" borderId="28" xfId="0" applyFont="1" applyBorder="1" applyAlignment="1">
      <alignment horizontal="center"/>
    </xf>
    <xf numFmtId="0" fontId="9" fillId="0" borderId="12" xfId="0" applyFont="1" applyBorder="1" applyAlignment="1">
      <alignment horizontal="center"/>
    </xf>
    <xf numFmtId="0" fontId="9" fillId="0" borderId="21" xfId="0" applyFont="1" applyFill="1" applyBorder="1" applyAlignment="1">
      <alignment horizontal="center"/>
    </xf>
    <xf numFmtId="0" fontId="9" fillId="0" borderId="21" xfId="0" applyFont="1" applyBorder="1" applyAlignment="1">
      <alignment horizontal="center"/>
    </xf>
    <xf numFmtId="0" fontId="9" fillId="0" borderId="12" xfId="0" applyFont="1" applyFill="1" applyBorder="1" applyAlignment="1">
      <alignment horizontal="center"/>
    </xf>
    <xf numFmtId="0" fontId="9" fillId="0" borderId="18" xfId="0" applyFont="1" applyFill="1" applyBorder="1" applyAlignment="1">
      <alignment horizontal="center"/>
    </xf>
    <xf numFmtId="0" fontId="9" fillId="0" borderId="4" xfId="0" applyFont="1" applyBorder="1"/>
    <xf numFmtId="0" fontId="9" fillId="0" borderId="1" xfId="0" applyFont="1" applyBorder="1"/>
    <xf numFmtId="0" fontId="9" fillId="0" borderId="5" xfId="0" applyFont="1" applyBorder="1"/>
    <xf numFmtId="0" fontId="9" fillId="0" borderId="34" xfId="0" applyFont="1" applyBorder="1"/>
    <xf numFmtId="0" fontId="9" fillId="0" borderId="1" xfId="0" applyFont="1" applyFill="1" applyBorder="1"/>
    <xf numFmtId="0" fontId="9" fillId="0" borderId="0" xfId="0" applyFont="1" applyFill="1" applyBorder="1"/>
    <xf numFmtId="0" fontId="9" fillId="0" borderId="6" xfId="0" applyFont="1" applyBorder="1"/>
    <xf numFmtId="0" fontId="9" fillId="0" borderId="27" xfId="0" applyFont="1" applyFill="1" applyBorder="1"/>
    <xf numFmtId="0" fontId="9" fillId="0" borderId="7" xfId="0" applyFont="1" applyBorder="1"/>
    <xf numFmtId="0" fontId="9" fillId="2" borderId="6" xfId="0" applyFont="1" applyFill="1" applyBorder="1"/>
    <xf numFmtId="0" fontId="9" fillId="0" borderId="27" xfId="0" quotePrefix="1" applyFont="1" applyFill="1" applyBorder="1" applyAlignment="1">
      <alignment horizontal="right"/>
    </xf>
    <xf numFmtId="0" fontId="9" fillId="0" borderId="35" xfId="0" applyFont="1" applyBorder="1"/>
    <xf numFmtId="164" fontId="9" fillId="0" borderId="31" xfId="1" applyNumberFormat="1" applyFont="1" applyBorder="1"/>
    <xf numFmtId="164" fontId="9" fillId="0" borderId="20" xfId="1" applyNumberFormat="1" applyFont="1" applyFill="1" applyBorder="1"/>
    <xf numFmtId="164" fontId="9" fillId="0" borderId="20" xfId="1" applyNumberFormat="1" applyFont="1" applyBorder="1"/>
    <xf numFmtId="164" fontId="9" fillId="0" borderId="31" xfId="1" applyNumberFormat="1" applyFont="1" applyFill="1" applyBorder="1"/>
    <xf numFmtId="164" fontId="9" fillId="0" borderId="19" xfId="1" applyNumberFormat="1" applyFont="1" applyFill="1" applyBorder="1"/>
    <xf numFmtId="0" fontId="9" fillId="0" borderId="31" xfId="0" applyFont="1" applyBorder="1"/>
    <xf numFmtId="0" fontId="9" fillId="0" borderId="27" xfId="0" applyFont="1" applyFill="1" applyBorder="1" applyAlignment="1">
      <alignment horizontal="right"/>
    </xf>
    <xf numFmtId="0" fontId="9" fillId="5" borderId="6" xfId="0" applyFont="1" applyFill="1" applyBorder="1"/>
    <xf numFmtId="0" fontId="9" fillId="3" borderId="6" xfId="0" applyFont="1" applyFill="1" applyBorder="1"/>
    <xf numFmtId="0" fontId="9" fillId="0" borderId="0" xfId="0" applyFont="1" applyAlignment="1">
      <alignment horizontal="left" vertical="center" indent="1"/>
    </xf>
    <xf numFmtId="164" fontId="9" fillId="12" borderId="19" xfId="1" applyNumberFormat="1" applyFont="1" applyFill="1" applyBorder="1"/>
    <xf numFmtId="164" fontId="9" fillId="12" borderId="31" xfId="1" applyNumberFormat="1" applyFont="1" applyFill="1" applyBorder="1"/>
    <xf numFmtId="0" fontId="9" fillId="6" borderId="6" xfId="0" applyFont="1" applyFill="1" applyBorder="1"/>
    <xf numFmtId="0" fontId="9" fillId="13" borderId="31" xfId="0" applyFont="1" applyFill="1" applyBorder="1"/>
    <xf numFmtId="164" fontId="9" fillId="12" borderId="20" xfId="1" applyNumberFormat="1" applyFont="1" applyFill="1" applyBorder="1"/>
    <xf numFmtId="0" fontId="9" fillId="4" borderId="6" xfId="0" applyFont="1" applyFill="1" applyBorder="1"/>
    <xf numFmtId="0" fontId="10" fillId="0" borderId="27" xfId="0" quotePrefix="1" applyFont="1" applyFill="1" applyBorder="1" applyAlignment="1">
      <alignment horizontal="right"/>
    </xf>
    <xf numFmtId="0" fontId="9" fillId="8" borderId="6" xfId="0" applyFont="1" applyFill="1" applyBorder="1"/>
    <xf numFmtId="0" fontId="9" fillId="9" borderId="6" xfId="0" applyFont="1" applyFill="1" applyBorder="1"/>
    <xf numFmtId="0" fontId="9" fillId="7" borderId="6" xfId="0" applyFont="1" applyFill="1" applyBorder="1"/>
    <xf numFmtId="0" fontId="9" fillId="0" borderId="31" xfId="0" applyFont="1" applyFill="1" applyBorder="1"/>
    <xf numFmtId="0" fontId="9" fillId="11" borderId="6" xfId="0" applyFont="1" applyFill="1" applyBorder="1"/>
    <xf numFmtId="0" fontId="9" fillId="10" borderId="14" xfId="0" applyFont="1" applyFill="1" applyBorder="1"/>
    <xf numFmtId="0" fontId="9" fillId="0" borderId="1" xfId="0" applyFont="1" applyFill="1" applyBorder="1" applyAlignment="1">
      <alignment horizontal="right"/>
    </xf>
    <xf numFmtId="0" fontId="9" fillId="10" borderId="6" xfId="0" applyFont="1" applyFill="1" applyBorder="1"/>
    <xf numFmtId="164" fontId="9" fillId="2" borderId="31" xfId="1" applyNumberFormat="1" applyFont="1" applyFill="1" applyBorder="1"/>
    <xf numFmtId="164" fontId="9" fillId="2" borderId="20" xfId="1" applyNumberFormat="1" applyFont="1" applyFill="1" applyBorder="1"/>
    <xf numFmtId="0" fontId="10" fillId="0" borderId="27" xfId="0" applyFont="1" applyFill="1" applyBorder="1" applyAlignment="1">
      <alignment horizontal="right"/>
    </xf>
    <xf numFmtId="164" fontId="9" fillId="0" borderId="31" xfId="0" applyNumberFormat="1" applyFont="1" applyBorder="1"/>
    <xf numFmtId="0" fontId="9" fillId="0" borderId="13" xfId="0" applyFont="1" applyBorder="1"/>
    <xf numFmtId="0" fontId="9" fillId="9" borderId="14" xfId="0" applyFont="1" applyFill="1" applyBorder="1"/>
    <xf numFmtId="164" fontId="9" fillId="0" borderId="32" xfId="1" applyNumberFormat="1" applyFont="1" applyBorder="1"/>
    <xf numFmtId="164" fontId="9" fillId="0" borderId="22" xfId="1" applyNumberFormat="1" applyFont="1" applyFill="1" applyBorder="1"/>
    <xf numFmtId="164" fontId="9" fillId="0" borderId="22" xfId="1" applyNumberFormat="1" applyFont="1" applyBorder="1"/>
    <xf numFmtId="164" fontId="9" fillId="0" borderId="32" xfId="1" applyNumberFormat="1" applyFont="1" applyFill="1" applyBorder="1"/>
    <xf numFmtId="164" fontId="9" fillId="0" borderId="34" xfId="1" applyNumberFormat="1" applyFont="1" applyFill="1" applyBorder="1"/>
    <xf numFmtId="0" fontId="9" fillId="0" borderId="16" xfId="0" applyFont="1" applyFill="1" applyBorder="1"/>
    <xf numFmtId="0" fontId="9" fillId="0" borderId="29" xfId="0" applyFont="1" applyFill="1" applyBorder="1" applyAlignment="1">
      <alignment horizontal="right"/>
    </xf>
    <xf numFmtId="0" fontId="9" fillId="0" borderId="15" xfId="0" applyFont="1" applyBorder="1"/>
    <xf numFmtId="0" fontId="9" fillId="0" borderId="36" xfId="0" applyFont="1" applyBorder="1"/>
    <xf numFmtId="164" fontId="9" fillId="0" borderId="33" xfId="1" applyNumberFormat="1" applyFont="1" applyBorder="1"/>
    <xf numFmtId="164" fontId="9" fillId="0" borderId="24" xfId="1" applyNumberFormat="1" applyFont="1" applyFill="1" applyBorder="1"/>
    <xf numFmtId="164" fontId="9" fillId="4" borderId="24" xfId="1" applyNumberFormat="1" applyFont="1" applyFill="1" applyBorder="1"/>
    <xf numFmtId="164" fontId="9" fillId="0" borderId="33" xfId="1" applyNumberFormat="1" applyFont="1" applyFill="1" applyBorder="1"/>
    <xf numFmtId="164" fontId="9" fillId="0" borderId="25" xfId="1" applyNumberFormat="1" applyFont="1" applyFill="1" applyBorder="1"/>
    <xf numFmtId="164" fontId="9" fillId="13" borderId="31" xfId="1" applyNumberFormat="1" applyFont="1" applyFill="1" applyBorder="1"/>
    <xf numFmtId="0" fontId="9" fillId="0" borderId="9" xfId="0" applyFont="1" applyBorder="1"/>
    <xf numFmtId="0" fontId="9" fillId="0" borderId="30" xfId="0" applyFont="1" applyFill="1" applyBorder="1" applyAlignment="1">
      <alignment horizontal="right"/>
    </xf>
    <xf numFmtId="0" fontId="9" fillId="0" borderId="8" xfId="0" applyFont="1" applyBorder="1"/>
    <xf numFmtId="0" fontId="9" fillId="11" borderId="17" xfId="0" applyFont="1" applyFill="1" applyBorder="1"/>
    <xf numFmtId="0" fontId="9" fillId="0" borderId="28" xfId="0" applyFont="1" applyFill="1" applyBorder="1" applyAlignment="1">
      <alignment horizontal="right"/>
    </xf>
    <xf numFmtId="0" fontId="9" fillId="0" borderId="37" xfId="0" applyFont="1" applyBorder="1"/>
    <xf numFmtId="0" fontId="9" fillId="0" borderId="0" xfId="0" applyFont="1" applyFill="1"/>
    <xf numFmtId="0" fontId="9" fillId="12" borderId="0" xfId="0" applyFont="1" applyFill="1"/>
    <xf numFmtId="0" fontId="9" fillId="13" borderId="0" xfId="0" applyFont="1" applyFill="1"/>
    <xf numFmtId="0" fontId="9" fillId="0" borderId="0" xfId="0" applyFont="1" applyBorder="1"/>
    <xf numFmtId="0" fontId="11" fillId="0" borderId="0" xfId="0" applyFont="1"/>
    <xf numFmtId="0" fontId="9" fillId="0" borderId="9" xfId="0" applyFont="1" applyBorder="1" applyAlignment="1">
      <alignment horizontal="center"/>
    </xf>
    <xf numFmtId="0" fontId="9" fillId="0" borderId="9" xfId="0" applyFont="1" applyFill="1" applyBorder="1" applyAlignment="1">
      <alignment horizontal="center"/>
    </xf>
    <xf numFmtId="0" fontId="9" fillId="0" borderId="31" xfId="0" applyFont="1" applyFill="1" applyBorder="1" applyAlignment="1">
      <alignment horizontal="center"/>
    </xf>
    <xf numFmtId="0" fontId="9" fillId="0" borderId="0" xfId="0" applyFont="1" applyBorder="1" applyAlignment="1">
      <alignment horizontal="center"/>
    </xf>
    <xf numFmtId="164" fontId="9" fillId="0" borderId="0" xfId="1" applyNumberFormat="1" applyFont="1"/>
    <xf numFmtId="164" fontId="9" fillId="0" borderId="0" xfId="1" applyNumberFormat="1" applyFont="1" applyFill="1"/>
    <xf numFmtId="164" fontId="9" fillId="0" borderId="0" xfId="1" applyNumberFormat="1" applyFont="1" applyBorder="1"/>
    <xf numFmtId="164" fontId="9" fillId="0" borderId="0" xfId="1" applyNumberFormat="1" applyFont="1" applyAlignment="1">
      <alignment horizontal="right"/>
    </xf>
    <xf numFmtId="0" fontId="9" fillId="0" borderId="0" xfId="1" applyNumberFormat="1" applyFont="1"/>
    <xf numFmtId="164" fontId="11" fillId="0" borderId="0" xfId="1" applyNumberFormat="1" applyFont="1"/>
    <xf numFmtId="164" fontId="11" fillId="0" borderId="0" xfId="1" applyNumberFormat="1" applyFont="1" applyFill="1"/>
    <xf numFmtId="164" fontId="10" fillId="0" borderId="0" xfId="1" applyNumberFormat="1" applyFont="1" applyBorder="1"/>
    <xf numFmtId="0" fontId="9" fillId="0" borderId="0" xfId="1" applyNumberFormat="1" applyFont="1" applyAlignment="1">
      <alignment horizontal="right"/>
    </xf>
    <xf numFmtId="164" fontId="9" fillId="0" borderId="0" xfId="0" applyNumberFormat="1" applyFont="1"/>
    <xf numFmtId="3" fontId="9" fillId="0" borderId="0" xfId="0" quotePrefix="1" applyNumberFormat="1" applyFont="1"/>
    <xf numFmtId="0" fontId="9" fillId="0" borderId="0" xfId="0" quotePrefix="1" applyFont="1"/>
    <xf numFmtId="0" fontId="9" fillId="0" borderId="0" xfId="0" applyNumberFormat="1" applyFont="1"/>
    <xf numFmtId="0" fontId="11" fillId="0" borderId="0" xfId="1" applyNumberFormat="1" applyFont="1"/>
    <xf numFmtId="0" fontId="9" fillId="0" borderId="0" xfId="0" applyNumberFormat="1" applyFont="1" applyAlignment="1">
      <alignment horizontal="right"/>
    </xf>
    <xf numFmtId="164" fontId="9" fillId="0" borderId="0" xfId="0" applyNumberFormat="1" applyFont="1" applyFill="1"/>
    <xf numFmtId="164" fontId="11" fillId="0" borderId="0" xfId="0" applyNumberFormat="1" applyFont="1"/>
    <xf numFmtId="164" fontId="11" fillId="0" borderId="0" xfId="0" applyNumberFormat="1" applyFont="1" applyFill="1"/>
    <xf numFmtId="0" fontId="0" fillId="0" borderId="1" xfId="0" applyFill="1" applyBorder="1" applyAlignment="1">
      <alignment horizontal="center"/>
    </xf>
    <xf numFmtId="0" fontId="1" fillId="0" borderId="0" xfId="0" applyFont="1"/>
    <xf numFmtId="1" fontId="9" fillId="0" borderId="31" xfId="0" applyNumberFormat="1" applyFont="1" applyBorder="1"/>
    <xf numFmtId="0" fontId="0" fillId="0" borderId="0" xfId="0" applyAlignment="1">
      <alignment horizontal="center"/>
    </xf>
    <xf numFmtId="17" fontId="3" fillId="0" borderId="0" xfId="0" applyNumberFormat="1" applyFont="1" applyFill="1"/>
    <xf numFmtId="0" fontId="1" fillId="0" borderId="0" xfId="0" applyFont="1" applyAlignment="1">
      <alignment horizontal="right" vertical="center"/>
    </xf>
    <xf numFmtId="0" fontId="4" fillId="0" borderId="0" xfId="2" applyAlignment="1" applyProtection="1">
      <alignment vertical="center" wrapText="1"/>
    </xf>
    <xf numFmtId="0" fontId="4" fillId="0" borderId="0" xfId="2" applyAlignment="1" applyProtection="1"/>
    <xf numFmtId="17" fontId="1" fillId="0" borderId="0" xfId="0" applyNumberFormat="1" applyFont="1" applyAlignment="1">
      <alignment vertical="center"/>
    </xf>
    <xf numFmtId="3" fontId="0" fillId="0" borderId="0" xfId="0" applyNumberFormat="1"/>
    <xf numFmtId="0" fontId="12" fillId="0" borderId="39" xfId="0" applyFont="1" applyBorder="1" applyAlignment="1">
      <alignment horizontal="right" vertical="center" wrapText="1"/>
    </xf>
    <xf numFmtId="0" fontId="12" fillId="0" borderId="0" xfId="0" applyFont="1" applyBorder="1" applyAlignment="1">
      <alignment horizontal="right" vertical="center" wrapText="1"/>
    </xf>
    <xf numFmtId="0" fontId="0" fillId="0" borderId="0" xfId="0" applyBorder="1"/>
    <xf numFmtId="0" fontId="13" fillId="0" borderId="0" xfId="0" applyFont="1" applyBorder="1" applyAlignment="1">
      <alignment horizontal="center" vertical="center" wrapText="1"/>
    </xf>
    <xf numFmtId="0" fontId="0" fillId="0" borderId="0" xfId="0" applyAlignment="1">
      <alignment horizontal="center"/>
    </xf>
    <xf numFmtId="164" fontId="0" fillId="0" borderId="0" xfId="1" applyNumberFormat="1" applyFont="1" applyFill="1"/>
    <xf numFmtId="0" fontId="0" fillId="0" borderId="39" xfId="0" applyBorder="1" applyAlignment="1">
      <alignment horizontal="right" vertical="center" wrapText="1"/>
    </xf>
    <xf numFmtId="3" fontId="0" fillId="0" borderId="39" xfId="0" applyNumberFormat="1" applyBorder="1" applyAlignment="1">
      <alignment horizontal="right" vertical="center" wrapText="1"/>
    </xf>
    <xf numFmtId="0" fontId="1" fillId="0" borderId="39" xfId="0" applyFont="1" applyBorder="1" applyAlignment="1">
      <alignment horizontal="center" vertical="center" wrapText="1"/>
    </xf>
    <xf numFmtId="17" fontId="14" fillId="0" borderId="0" xfId="0" applyNumberFormat="1" applyFont="1"/>
    <xf numFmtId="0" fontId="1" fillId="0" borderId="39" xfId="0" applyFont="1" applyBorder="1" applyAlignment="1">
      <alignment horizontal="right" vertical="center" wrapText="1"/>
    </xf>
    <xf numFmtId="3" fontId="1" fillId="0" borderId="39" xfId="0" applyNumberFormat="1" applyFont="1" applyBorder="1" applyAlignment="1">
      <alignment horizontal="right" vertical="center" wrapText="1"/>
    </xf>
    <xf numFmtId="0" fontId="9" fillId="0" borderId="0" xfId="0" applyFont="1" applyBorder="1" applyAlignment="1">
      <alignment horizontal="center"/>
    </xf>
    <xf numFmtId="0" fontId="9" fillId="0" borderId="23" xfId="0" applyFont="1" applyBorder="1" applyAlignment="1">
      <alignment horizontal="center"/>
    </xf>
    <xf numFmtId="0" fontId="9" fillId="0" borderId="38" xfId="0" applyFont="1" applyBorder="1" applyAlignment="1">
      <alignment horizontal="center"/>
    </xf>
    <xf numFmtId="0" fontId="0" fillId="0" borderId="26"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0" xfId="0" applyFont="1" applyAlignment="1">
      <alignment horizontal="left" vertical="center" indent="1"/>
    </xf>
    <xf numFmtId="0" fontId="0" fillId="0" borderId="0" xfId="0" applyAlignment="1">
      <alignment horizontal="left" vertical="center" indent="1"/>
    </xf>
    <xf numFmtId="0" fontId="9" fillId="0" borderId="0" xfId="0" applyFont="1" applyAlignment="1">
      <alignment horizontal="left" inden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cdec4gov.water.ca.gov/misc/flaglist.html" TargetMode="External"/><Relationship Id="rId7" Type="http://schemas.openxmlformats.org/officeDocument/2006/relationships/hyperlink" Target="http://cdec4gov.water.ca.gov/cgi-progs/selectQuery" TargetMode="External"/><Relationship Id="rId2" Type="http://schemas.openxmlformats.org/officeDocument/2006/relationships/hyperlink" Target="http://cdec4gov.water.ca.gov/misc/flaglist.html" TargetMode="External"/><Relationship Id="rId1" Type="http://schemas.openxmlformats.org/officeDocument/2006/relationships/hyperlink" Target="http://cdec4gov.water.ca.gov/misc/flaglist.html" TargetMode="External"/><Relationship Id="rId6" Type="http://schemas.openxmlformats.org/officeDocument/2006/relationships/hyperlink" Target="http://cdec4gov.water.ca.gov/misc/flaglist.html" TargetMode="External"/><Relationship Id="rId5" Type="http://schemas.openxmlformats.org/officeDocument/2006/relationships/hyperlink" Target="http://cdec4gov.water.ca.gov/misc/flaglist.html" TargetMode="External"/><Relationship Id="rId4" Type="http://schemas.openxmlformats.org/officeDocument/2006/relationships/hyperlink" Target="http://cdec4gov.water.ca.gov/misc/flaglist.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395"/>
  <sheetViews>
    <sheetView tabSelected="1" zoomScale="75" zoomScaleNormal="75" workbookViewId="0">
      <pane xSplit="7" ySplit="2" topLeftCell="H3" activePane="bottomRight" state="frozen"/>
      <selection pane="topRight" activeCell="H1" sqref="H1"/>
      <selection pane="bottomLeft" activeCell="A3" sqref="A3"/>
      <selection pane="bottomRight" activeCell="J8" sqref="J8"/>
    </sheetView>
  </sheetViews>
  <sheetFormatPr defaultColWidth="9.08984375" defaultRowHeight="15.5" x14ac:dyDescent="0.35"/>
  <cols>
    <col min="1" max="1" width="8.36328125" style="34" customWidth="1"/>
    <col min="2" max="2" width="8.26953125" style="34" customWidth="1"/>
    <col min="3" max="3" width="6.26953125" style="34" customWidth="1"/>
    <col min="4" max="4" width="29.1796875" style="34" customWidth="1"/>
    <col min="5" max="5" width="7.7265625" style="34" customWidth="1"/>
    <col min="6" max="6" width="5.7265625" style="34" customWidth="1"/>
    <col min="7" max="7" width="31.81640625" style="34" customWidth="1"/>
    <col min="8" max="8" width="9.7265625" style="34" customWidth="1"/>
    <col min="9" max="10" width="9.7265625" style="107" customWidth="1"/>
    <col min="11" max="11" width="9.7265625" style="34" customWidth="1"/>
    <col min="12" max="14" width="9.7265625" style="107" customWidth="1"/>
    <col min="15" max="15" width="9.81640625" style="107" customWidth="1"/>
    <col min="16" max="16" width="9.7265625" style="34" customWidth="1"/>
    <col min="17" max="17" width="9.26953125" style="34" customWidth="1"/>
    <col min="18" max="18" width="9.1796875" style="34" customWidth="1"/>
    <col min="19" max="25" width="9.36328125" style="34" customWidth="1"/>
    <col min="26" max="16384" width="9.08984375" style="34"/>
  </cols>
  <sheetData>
    <row r="1" spans="1:26" x14ac:dyDescent="0.35">
      <c r="A1" s="31" t="s">
        <v>2</v>
      </c>
      <c r="B1" s="32" t="s">
        <v>102</v>
      </c>
      <c r="C1" s="33" t="s">
        <v>46</v>
      </c>
      <c r="D1" s="31" t="s">
        <v>1</v>
      </c>
      <c r="E1" s="32" t="s">
        <v>102</v>
      </c>
      <c r="F1" s="33" t="s">
        <v>46</v>
      </c>
      <c r="G1" s="31" t="s">
        <v>0</v>
      </c>
      <c r="H1" s="157" t="s">
        <v>49</v>
      </c>
      <c r="I1" s="156"/>
      <c r="J1" s="156"/>
      <c r="K1" s="156"/>
      <c r="L1" s="156"/>
      <c r="M1" s="156"/>
      <c r="N1" s="156"/>
      <c r="O1" s="156"/>
      <c r="P1" s="156"/>
      <c r="Q1" s="156"/>
      <c r="R1" s="156"/>
      <c r="S1" s="156"/>
      <c r="T1" s="156"/>
      <c r="U1" s="115"/>
      <c r="V1" s="115"/>
      <c r="W1" s="115"/>
      <c r="X1" s="115"/>
      <c r="Y1" s="115"/>
    </row>
    <row r="2" spans="1:26" ht="16" thickBot="1" x14ac:dyDescent="0.4">
      <c r="A2" s="35"/>
      <c r="B2" s="36" t="s">
        <v>48</v>
      </c>
      <c r="C2" s="36" t="s">
        <v>48</v>
      </c>
      <c r="D2" s="35"/>
      <c r="E2" s="37" t="s">
        <v>47</v>
      </c>
      <c r="F2" s="36" t="s">
        <v>47</v>
      </c>
      <c r="G2" s="35"/>
      <c r="H2" s="38">
        <v>1998</v>
      </c>
      <c r="I2" s="39">
        <v>1999</v>
      </c>
      <c r="J2" s="39">
        <v>2000</v>
      </c>
      <c r="K2" s="40">
        <v>2001</v>
      </c>
      <c r="L2" s="41">
        <v>2002</v>
      </c>
      <c r="M2" s="42">
        <v>2003</v>
      </c>
      <c r="N2" s="42">
        <v>2004</v>
      </c>
      <c r="O2" s="41">
        <v>2005</v>
      </c>
      <c r="P2" s="41">
        <v>2006</v>
      </c>
      <c r="Q2" s="41">
        <v>2007</v>
      </c>
      <c r="R2" s="41">
        <v>2008</v>
      </c>
      <c r="S2" s="41">
        <v>2009</v>
      </c>
      <c r="T2" s="41">
        <v>2010</v>
      </c>
      <c r="U2" s="60">
        <v>2011</v>
      </c>
      <c r="V2" s="60">
        <v>2012</v>
      </c>
      <c r="W2" s="60">
        <v>2013</v>
      </c>
      <c r="X2" s="60">
        <v>2014</v>
      </c>
      <c r="Y2" s="60">
        <v>2015</v>
      </c>
    </row>
    <row r="3" spans="1:26" x14ac:dyDescent="0.35">
      <c r="A3" s="43"/>
      <c r="B3" s="44"/>
      <c r="C3" s="45"/>
      <c r="D3" s="43"/>
      <c r="E3" s="44"/>
      <c r="F3" s="45"/>
      <c r="G3" s="43"/>
      <c r="H3" s="46"/>
      <c r="I3" s="47"/>
      <c r="J3" s="47"/>
      <c r="K3" s="44"/>
      <c r="L3" s="47"/>
      <c r="M3" s="47"/>
      <c r="N3" s="47"/>
      <c r="O3" s="48"/>
    </row>
    <row r="4" spans="1:26" x14ac:dyDescent="0.35">
      <c r="A4" s="49" t="s">
        <v>3</v>
      </c>
      <c r="B4" s="50"/>
      <c r="C4" s="51"/>
      <c r="D4" s="52" t="s">
        <v>4</v>
      </c>
      <c r="E4" s="53" t="s">
        <v>105</v>
      </c>
      <c r="F4" s="51">
        <v>101</v>
      </c>
      <c r="G4" s="54" t="s">
        <v>5</v>
      </c>
      <c r="H4" s="55">
        <v>2104.5</v>
      </c>
      <c r="I4" s="56">
        <v>2189</v>
      </c>
      <c r="J4" s="56">
        <v>1498</v>
      </c>
      <c r="K4" s="57">
        <v>988</v>
      </c>
      <c r="L4" s="58">
        <v>995</v>
      </c>
      <c r="M4" s="59">
        <v>1000</v>
      </c>
      <c r="N4" s="59">
        <v>973</v>
      </c>
      <c r="O4" s="58">
        <v>909</v>
      </c>
      <c r="P4" s="60">
        <v>2241</v>
      </c>
      <c r="Q4" s="60">
        <v>1145</v>
      </c>
      <c r="R4" s="60">
        <v>1182</v>
      </c>
      <c r="S4" s="60">
        <v>966</v>
      </c>
      <c r="T4" s="60">
        <v>874</v>
      </c>
      <c r="U4" s="60">
        <f>'USGS Data'!N26</f>
        <v>1196</v>
      </c>
      <c r="V4" s="60">
        <f>'USGS Data'!N38</f>
        <v>953</v>
      </c>
      <c r="W4" s="60">
        <f>'USGS Data'!N50</f>
        <v>702</v>
      </c>
      <c r="X4" s="60">
        <f>'USGS Data'!N62</f>
        <v>686</v>
      </c>
      <c r="Y4" s="60">
        <f>'USGS Data'!N74</f>
        <v>662</v>
      </c>
      <c r="Z4" s="34" t="s">
        <v>264</v>
      </c>
    </row>
    <row r="5" spans="1:26" x14ac:dyDescent="0.35">
      <c r="A5" s="52" t="s">
        <v>4</v>
      </c>
      <c r="B5" s="53" t="s">
        <v>106</v>
      </c>
      <c r="C5" s="51">
        <v>101</v>
      </c>
      <c r="D5" s="49" t="s">
        <v>3</v>
      </c>
      <c r="E5" s="61"/>
      <c r="F5" s="51"/>
      <c r="G5" s="54" t="s">
        <v>6</v>
      </c>
      <c r="H5" s="55">
        <v>183.7</v>
      </c>
      <c r="I5" s="56">
        <v>205</v>
      </c>
      <c r="J5" s="56">
        <v>114</v>
      </c>
      <c r="K5" s="57">
        <v>66</v>
      </c>
      <c r="L5" s="58">
        <v>63</v>
      </c>
      <c r="M5" s="59">
        <v>42</v>
      </c>
      <c r="N5" s="59">
        <v>51</v>
      </c>
      <c r="O5" s="58">
        <v>47</v>
      </c>
      <c r="P5" s="60">
        <v>85</v>
      </c>
      <c r="Q5" s="60">
        <v>63</v>
      </c>
      <c r="R5" s="60">
        <v>63</v>
      </c>
      <c r="S5" s="60">
        <v>40</v>
      </c>
      <c r="T5" s="60">
        <v>85</v>
      </c>
      <c r="U5" s="60">
        <v>153</v>
      </c>
      <c r="V5" s="60">
        <v>92</v>
      </c>
      <c r="W5" s="60">
        <v>57</v>
      </c>
      <c r="X5" s="60">
        <v>33</v>
      </c>
      <c r="Y5" s="60">
        <v>41</v>
      </c>
      <c r="Z5" s="34" t="s">
        <v>157</v>
      </c>
    </row>
    <row r="6" spans="1:26" x14ac:dyDescent="0.35">
      <c r="A6" s="62" t="s">
        <v>8</v>
      </c>
      <c r="B6" s="61">
        <v>13647</v>
      </c>
      <c r="C6" s="51">
        <v>501</v>
      </c>
      <c r="D6" s="52" t="s">
        <v>4</v>
      </c>
      <c r="E6" s="53" t="s">
        <v>107</v>
      </c>
      <c r="F6" s="51">
        <v>101</v>
      </c>
      <c r="G6" s="54" t="s">
        <v>7</v>
      </c>
      <c r="H6" s="55">
        <v>2</v>
      </c>
      <c r="I6" s="56">
        <v>2</v>
      </c>
      <c r="J6" s="56">
        <v>2</v>
      </c>
      <c r="K6" s="57">
        <v>2</v>
      </c>
      <c r="L6" s="58">
        <v>2</v>
      </c>
      <c r="M6" s="59">
        <v>2</v>
      </c>
      <c r="N6" s="59">
        <v>2</v>
      </c>
      <c r="O6" s="58">
        <v>2</v>
      </c>
      <c r="P6" s="60">
        <v>2</v>
      </c>
      <c r="Q6" s="60">
        <v>2</v>
      </c>
      <c r="R6" s="60">
        <v>2</v>
      </c>
      <c r="S6" s="60">
        <v>2</v>
      </c>
      <c r="T6" s="60">
        <v>1</v>
      </c>
      <c r="U6" s="60">
        <v>1</v>
      </c>
      <c r="V6" s="60">
        <v>1</v>
      </c>
      <c r="W6" s="60">
        <v>1</v>
      </c>
      <c r="X6" s="60">
        <v>1</v>
      </c>
      <c r="Y6" s="60">
        <v>1</v>
      </c>
      <c r="Z6" s="34" t="s">
        <v>157</v>
      </c>
    </row>
    <row r="7" spans="1:26" x14ac:dyDescent="0.35">
      <c r="A7" s="52" t="s">
        <v>4</v>
      </c>
      <c r="B7" s="53" t="s">
        <v>108</v>
      </c>
      <c r="C7" s="51">
        <v>102</v>
      </c>
      <c r="D7" s="62" t="s">
        <v>8</v>
      </c>
      <c r="E7" s="61">
        <v>14345</v>
      </c>
      <c r="F7" s="51">
        <v>504</v>
      </c>
      <c r="G7" s="54" t="s">
        <v>87</v>
      </c>
      <c r="H7" s="55">
        <v>851.4</v>
      </c>
      <c r="I7" s="56">
        <v>1008</v>
      </c>
      <c r="J7" s="56">
        <v>1110.5</v>
      </c>
      <c r="K7" s="57">
        <v>668.5</v>
      </c>
      <c r="L7" s="58">
        <v>630</v>
      </c>
      <c r="M7" s="59">
        <v>859</v>
      </c>
      <c r="N7" s="59">
        <v>989</v>
      </c>
      <c r="O7" s="58">
        <v>467</v>
      </c>
      <c r="P7" s="60">
        <v>1353</v>
      </c>
      <c r="Q7" s="60">
        <v>616</v>
      </c>
      <c r="R7" s="60">
        <v>556</v>
      </c>
      <c r="S7" s="60">
        <v>540</v>
      </c>
      <c r="T7" s="60">
        <v>275</v>
      </c>
      <c r="U7" s="60">
        <v>574</v>
      </c>
      <c r="V7" s="60">
        <v>433</v>
      </c>
      <c r="W7" s="60">
        <v>420</v>
      </c>
      <c r="X7" s="60">
        <v>353</v>
      </c>
      <c r="Y7" s="60">
        <v>351</v>
      </c>
      <c r="Z7" s="11" t="s">
        <v>266</v>
      </c>
    </row>
    <row r="8" spans="1:26" x14ac:dyDescent="0.35">
      <c r="A8" s="52" t="s">
        <v>4</v>
      </c>
      <c r="B8" s="53" t="s">
        <v>109</v>
      </c>
      <c r="C8" s="51">
        <v>104</v>
      </c>
      <c r="D8" s="63" t="s">
        <v>10</v>
      </c>
      <c r="E8" s="61">
        <v>39149</v>
      </c>
      <c r="F8" s="51">
        <v>201</v>
      </c>
      <c r="G8" s="54" t="s">
        <v>9</v>
      </c>
      <c r="H8" s="55">
        <v>32</v>
      </c>
      <c r="I8" s="56"/>
      <c r="J8" s="56">
        <v>33</v>
      </c>
      <c r="K8" s="57">
        <v>34</v>
      </c>
      <c r="L8" s="58">
        <v>41.1</v>
      </c>
      <c r="M8" s="59">
        <v>36</v>
      </c>
      <c r="N8" s="59">
        <v>34.432000000000002</v>
      </c>
      <c r="O8" s="58">
        <v>30.8</v>
      </c>
      <c r="P8" s="60">
        <v>33</v>
      </c>
      <c r="Q8" s="60">
        <v>32</v>
      </c>
      <c r="R8" s="60">
        <v>31</v>
      </c>
      <c r="S8" s="60">
        <v>27</v>
      </c>
      <c r="T8" s="60">
        <v>24</v>
      </c>
      <c r="U8" s="60">
        <v>23</v>
      </c>
      <c r="V8" s="60">
        <v>27</v>
      </c>
      <c r="W8" s="60">
        <v>28</v>
      </c>
      <c r="X8" s="60">
        <v>30</v>
      </c>
      <c r="Y8" s="60">
        <v>22</v>
      </c>
      <c r="Z8" s="64" t="s">
        <v>151</v>
      </c>
    </row>
    <row r="9" spans="1:26" x14ac:dyDescent="0.35">
      <c r="A9" s="62" t="s">
        <v>8</v>
      </c>
      <c r="B9" s="61">
        <v>19148</v>
      </c>
      <c r="C9" s="51">
        <v>509</v>
      </c>
      <c r="D9" s="63" t="s">
        <v>10</v>
      </c>
      <c r="E9" s="53" t="s">
        <v>110</v>
      </c>
      <c r="F9" s="51">
        <v>201</v>
      </c>
      <c r="G9" s="54" t="s">
        <v>42</v>
      </c>
      <c r="H9" s="55">
        <v>38</v>
      </c>
      <c r="I9" s="56">
        <v>203.126</v>
      </c>
      <c r="J9" s="56">
        <v>35</v>
      </c>
      <c r="K9" s="57">
        <v>38</v>
      </c>
      <c r="L9" s="58">
        <v>201.29499999999999</v>
      </c>
      <c r="M9" s="59">
        <v>175.57599999999999</v>
      </c>
      <c r="N9" s="59">
        <v>201.18299999999999</v>
      </c>
      <c r="O9" s="58">
        <v>175.947</v>
      </c>
      <c r="P9" s="60">
        <v>166</v>
      </c>
      <c r="Q9" s="60">
        <v>200</v>
      </c>
      <c r="R9" s="60">
        <v>214</v>
      </c>
      <c r="S9" s="60">
        <v>192</v>
      </c>
      <c r="T9" s="55">
        <f>'USGS Data'!D14</f>
        <v>174.35</v>
      </c>
      <c r="U9" s="55">
        <f>'USGS Data'!D26</f>
        <v>177.94</v>
      </c>
      <c r="V9" s="55">
        <f>'USGS Data'!D38</f>
        <v>189.59</v>
      </c>
      <c r="W9" s="55">
        <f>'USGS Data'!D50</f>
        <v>217.07</v>
      </c>
      <c r="X9" s="55">
        <f>'USGS Data'!D62</f>
        <v>188.60251198019699</v>
      </c>
      <c r="Y9" s="55">
        <f>'USGS Data'!D74</f>
        <v>185.51801611924</v>
      </c>
      <c r="Z9" s="64" t="s">
        <v>152</v>
      </c>
    </row>
    <row r="10" spans="1:26" x14ac:dyDescent="0.35">
      <c r="A10" s="62" t="s">
        <v>8</v>
      </c>
      <c r="B10" s="61">
        <v>19148</v>
      </c>
      <c r="C10" s="51">
        <v>509</v>
      </c>
      <c r="D10" s="63" t="s">
        <v>10</v>
      </c>
      <c r="E10" s="53" t="s">
        <v>110</v>
      </c>
      <c r="F10" s="51">
        <v>201</v>
      </c>
      <c r="G10" s="54" t="s">
        <v>43</v>
      </c>
      <c r="H10" s="55">
        <v>31</v>
      </c>
      <c r="I10" s="56">
        <v>30</v>
      </c>
      <c r="J10" s="56">
        <v>36</v>
      </c>
      <c r="K10" s="57">
        <v>38</v>
      </c>
      <c r="L10" s="58">
        <v>45.435000000000002</v>
      </c>
      <c r="M10" s="59">
        <v>41.597000000000001</v>
      </c>
      <c r="N10" s="65">
        <v>51</v>
      </c>
      <c r="O10" s="66">
        <v>45</v>
      </c>
      <c r="P10" s="60">
        <v>42</v>
      </c>
      <c r="Q10" s="60">
        <v>59</v>
      </c>
      <c r="R10" s="60">
        <v>54</v>
      </c>
      <c r="S10" s="60">
        <v>45</v>
      </c>
      <c r="T10" s="60">
        <v>43</v>
      </c>
      <c r="U10" s="60">
        <v>39</v>
      </c>
      <c r="V10" s="60">
        <v>39</v>
      </c>
      <c r="W10" s="60">
        <v>48</v>
      </c>
      <c r="X10" s="60">
        <v>33</v>
      </c>
      <c r="Y10" s="60">
        <v>31</v>
      </c>
      <c r="Z10" s="64" t="s">
        <v>256</v>
      </c>
    </row>
    <row r="11" spans="1:26" x14ac:dyDescent="0.35">
      <c r="A11" s="62" t="s">
        <v>8</v>
      </c>
      <c r="B11" s="61">
        <v>19148</v>
      </c>
      <c r="C11" s="51">
        <v>509</v>
      </c>
      <c r="D11" s="63" t="s">
        <v>10</v>
      </c>
      <c r="E11" s="53" t="s">
        <v>110</v>
      </c>
      <c r="F11" s="51">
        <v>201</v>
      </c>
      <c r="G11" s="54" t="s">
        <v>44</v>
      </c>
      <c r="H11" s="55">
        <v>0</v>
      </c>
      <c r="I11" s="56" t="s">
        <v>101</v>
      </c>
      <c r="J11" s="56">
        <v>1</v>
      </c>
      <c r="K11" s="57">
        <v>4</v>
      </c>
      <c r="L11" s="58">
        <v>4.4800000000000004</v>
      </c>
      <c r="M11" s="59">
        <v>3.641</v>
      </c>
      <c r="N11" s="59">
        <v>9.5980000000000008</v>
      </c>
      <c r="O11" s="58">
        <v>4.7169999999999996</v>
      </c>
      <c r="P11" s="60">
        <v>2</v>
      </c>
      <c r="Q11" s="60">
        <v>8</v>
      </c>
      <c r="R11" s="60">
        <v>9</v>
      </c>
      <c r="S11" s="60">
        <v>7</v>
      </c>
      <c r="T11" s="60">
        <v>2</v>
      </c>
      <c r="U11" s="60">
        <v>1</v>
      </c>
      <c r="V11" s="60">
        <v>1</v>
      </c>
      <c r="W11" s="60">
        <v>1</v>
      </c>
      <c r="X11" s="60">
        <v>7</v>
      </c>
      <c r="Y11" s="60">
        <v>5</v>
      </c>
      <c r="Z11" s="64" t="s">
        <v>154</v>
      </c>
    </row>
    <row r="12" spans="1:26" x14ac:dyDescent="0.35">
      <c r="A12" s="67" t="s">
        <v>11</v>
      </c>
      <c r="B12" s="61">
        <v>19207</v>
      </c>
      <c r="C12" s="51">
        <v>601</v>
      </c>
      <c r="D12" s="63" t="s">
        <v>10</v>
      </c>
      <c r="E12" s="53" t="s">
        <v>112</v>
      </c>
      <c r="F12" s="51">
        <v>202</v>
      </c>
      <c r="G12" s="54" t="s">
        <v>12</v>
      </c>
      <c r="H12" s="65">
        <v>66</v>
      </c>
      <c r="I12" s="65">
        <v>122</v>
      </c>
      <c r="J12" s="65">
        <v>126</v>
      </c>
      <c r="K12" s="65">
        <v>104</v>
      </c>
      <c r="L12" s="65">
        <v>120.925</v>
      </c>
      <c r="M12" s="65">
        <v>138</v>
      </c>
      <c r="N12" s="65">
        <v>120</v>
      </c>
      <c r="O12" s="65">
        <v>118</v>
      </c>
      <c r="P12" s="60">
        <v>116</v>
      </c>
      <c r="Q12" s="60">
        <v>112</v>
      </c>
      <c r="R12" s="60">
        <v>133</v>
      </c>
      <c r="S12" s="60">
        <v>106</v>
      </c>
      <c r="T12" s="60">
        <v>87</v>
      </c>
      <c r="U12" s="60">
        <v>66</v>
      </c>
      <c r="V12" s="60">
        <v>172</v>
      </c>
      <c r="W12" s="60">
        <v>152</v>
      </c>
      <c r="X12" s="60">
        <v>102</v>
      </c>
      <c r="Y12" s="60">
        <v>70</v>
      </c>
      <c r="Z12" s="64" t="s">
        <v>155</v>
      </c>
    </row>
    <row r="13" spans="1:26" x14ac:dyDescent="0.35">
      <c r="A13" s="67" t="s">
        <v>11</v>
      </c>
      <c r="B13" s="61">
        <v>19207</v>
      </c>
      <c r="C13" s="51">
        <v>601</v>
      </c>
      <c r="D13" s="63" t="s">
        <v>10</v>
      </c>
      <c r="E13" s="53" t="s">
        <v>112</v>
      </c>
      <c r="F13" s="51">
        <v>202</v>
      </c>
      <c r="G13" s="54" t="s">
        <v>13</v>
      </c>
      <c r="H13" s="55">
        <v>199</v>
      </c>
      <c r="I13" s="56">
        <v>202</v>
      </c>
      <c r="J13" s="56">
        <v>206</v>
      </c>
      <c r="K13" s="57">
        <v>216</v>
      </c>
      <c r="L13" s="58">
        <v>206</v>
      </c>
      <c r="M13" s="59">
        <v>210</v>
      </c>
      <c r="N13" s="59">
        <v>210</v>
      </c>
      <c r="O13" s="58">
        <v>204</v>
      </c>
      <c r="P13" s="68">
        <f>224-34.2</f>
        <v>189.8</v>
      </c>
      <c r="Q13" s="68">
        <f>222-35.6</f>
        <v>186.4</v>
      </c>
      <c r="R13" s="68">
        <f>202-33.4</f>
        <v>168.6</v>
      </c>
      <c r="S13" s="68">
        <f>216-33.3</f>
        <v>182.7</v>
      </c>
      <c r="T13" s="68">
        <f>198-33</f>
        <v>165</v>
      </c>
      <c r="U13" s="68">
        <f>37.9+42.9</f>
        <v>80.8</v>
      </c>
      <c r="V13" s="68">
        <f>47.2+48.7</f>
        <v>95.9</v>
      </c>
      <c r="W13" s="68">
        <f>42.8+50.5</f>
        <v>93.3</v>
      </c>
      <c r="X13" s="68">
        <f>47.7+69.1</f>
        <v>116.8</v>
      </c>
      <c r="Y13" s="68">
        <v>116.8</v>
      </c>
      <c r="Z13" s="64" t="s">
        <v>265</v>
      </c>
    </row>
    <row r="14" spans="1:26" x14ac:dyDescent="0.35">
      <c r="A14" s="67" t="s">
        <v>11</v>
      </c>
      <c r="B14" s="61">
        <v>19207</v>
      </c>
      <c r="C14" s="51">
        <v>601</v>
      </c>
      <c r="D14" s="63" t="s">
        <v>10</v>
      </c>
      <c r="E14" s="53" t="s">
        <v>112</v>
      </c>
      <c r="F14" s="51">
        <v>202</v>
      </c>
      <c r="G14" s="54" t="s">
        <v>14</v>
      </c>
      <c r="H14" s="65">
        <v>558</v>
      </c>
      <c r="I14" s="65">
        <v>312</v>
      </c>
      <c r="J14" s="65">
        <v>220</v>
      </c>
      <c r="K14" s="65">
        <v>70</v>
      </c>
      <c r="L14" s="65">
        <v>101</v>
      </c>
      <c r="M14" s="65">
        <v>258</v>
      </c>
      <c r="N14" s="65">
        <v>123</v>
      </c>
      <c r="O14" s="65">
        <v>516</v>
      </c>
      <c r="P14" s="60">
        <v>682</v>
      </c>
      <c r="Q14" s="60">
        <v>80</v>
      </c>
      <c r="R14" s="60">
        <v>103</v>
      </c>
      <c r="S14" s="60">
        <v>358</v>
      </c>
      <c r="T14" s="60">
        <v>401</v>
      </c>
      <c r="U14" s="60">
        <f>'USGS Data'!I26</f>
        <v>695</v>
      </c>
      <c r="V14" s="60">
        <f>'USGS Data'!I38</f>
        <v>127</v>
      </c>
      <c r="W14" s="60">
        <f>'USGS Data'!I50</f>
        <v>88</v>
      </c>
      <c r="X14" s="60">
        <f>'USGS Data'!I62</f>
        <v>54</v>
      </c>
      <c r="Y14" s="60">
        <f>'USGS Data'!I74</f>
        <v>46</v>
      </c>
      <c r="Z14" s="64" t="s">
        <v>156</v>
      </c>
    </row>
    <row r="15" spans="1:26" x14ac:dyDescent="0.35">
      <c r="A15" s="67" t="s">
        <v>11</v>
      </c>
      <c r="B15" s="61">
        <v>19207</v>
      </c>
      <c r="C15" s="51">
        <v>601</v>
      </c>
      <c r="D15" s="63" t="s">
        <v>10</v>
      </c>
      <c r="E15" s="53" t="s">
        <v>112</v>
      </c>
      <c r="F15" s="51">
        <v>202</v>
      </c>
      <c r="G15" s="54" t="s">
        <v>15</v>
      </c>
      <c r="H15" s="66">
        <v>71</v>
      </c>
      <c r="I15" s="69">
        <v>102</v>
      </c>
      <c r="J15" s="69">
        <v>136</v>
      </c>
      <c r="K15" s="65">
        <v>95</v>
      </c>
      <c r="L15" s="65">
        <v>124</v>
      </c>
      <c r="M15" s="65">
        <v>133</v>
      </c>
      <c r="N15" s="65">
        <v>126</v>
      </c>
      <c r="O15" s="65">
        <v>108</v>
      </c>
      <c r="P15" s="60">
        <v>178</v>
      </c>
      <c r="Q15" s="60">
        <v>275</v>
      </c>
      <c r="R15" s="60">
        <v>212</v>
      </c>
      <c r="S15" s="60">
        <v>206</v>
      </c>
      <c r="T15" s="60">
        <v>178</v>
      </c>
      <c r="U15" s="60">
        <v>113</v>
      </c>
      <c r="V15" s="60">
        <v>112</v>
      </c>
      <c r="W15" s="60">
        <v>147</v>
      </c>
      <c r="X15" s="60">
        <v>91</v>
      </c>
      <c r="Y15" s="60">
        <v>117</v>
      </c>
      <c r="Z15" s="64" t="s">
        <v>153</v>
      </c>
    </row>
    <row r="16" spans="1:26" x14ac:dyDescent="0.35">
      <c r="A16" s="67" t="s">
        <v>11</v>
      </c>
      <c r="B16" s="61">
        <v>22024</v>
      </c>
      <c r="C16" s="51">
        <v>605</v>
      </c>
      <c r="D16" s="70" t="s">
        <v>16</v>
      </c>
      <c r="E16" s="71" t="s">
        <v>116</v>
      </c>
      <c r="F16" s="51">
        <v>301</v>
      </c>
      <c r="G16" s="54" t="s">
        <v>17</v>
      </c>
      <c r="H16" s="55">
        <v>83.4</v>
      </c>
      <c r="I16" s="56">
        <v>139.5</v>
      </c>
      <c r="J16" s="56">
        <v>112.8</v>
      </c>
      <c r="K16" s="57">
        <v>152.30000000000001</v>
      </c>
      <c r="L16" s="58">
        <v>150.6</v>
      </c>
      <c r="M16" s="59">
        <v>134.1</v>
      </c>
      <c r="N16" s="59">
        <v>164.2</v>
      </c>
      <c r="O16" s="58">
        <v>110.2</v>
      </c>
      <c r="P16" s="60">
        <v>91</v>
      </c>
      <c r="Q16" s="60">
        <v>169</v>
      </c>
      <c r="R16" s="60">
        <v>120</v>
      </c>
      <c r="S16" s="60">
        <v>114</v>
      </c>
      <c r="T16" s="60">
        <v>95</v>
      </c>
      <c r="U16" s="60">
        <v>86</v>
      </c>
      <c r="V16" s="60">
        <v>162</v>
      </c>
      <c r="W16" s="60">
        <v>140</v>
      </c>
      <c r="X16" s="60">
        <v>90</v>
      </c>
      <c r="Y16" s="60">
        <v>51</v>
      </c>
      <c r="Z16" s="64"/>
    </row>
    <row r="17" spans="1:32" x14ac:dyDescent="0.35">
      <c r="A17" s="70" t="s">
        <v>16</v>
      </c>
      <c r="B17" s="53" t="s">
        <v>111</v>
      </c>
      <c r="C17" s="51">
        <v>301</v>
      </c>
      <c r="D17" s="63" t="s">
        <v>10</v>
      </c>
      <c r="E17" s="53" t="s">
        <v>113</v>
      </c>
      <c r="F17" s="51">
        <v>202</v>
      </c>
      <c r="G17" s="54" t="s">
        <v>17</v>
      </c>
      <c r="H17" s="55">
        <v>65.8</v>
      </c>
      <c r="I17" s="56">
        <v>118.1</v>
      </c>
      <c r="J17" s="56">
        <v>88.9</v>
      </c>
      <c r="K17" s="57">
        <v>132.69999999999999</v>
      </c>
      <c r="L17" s="58">
        <v>126.9</v>
      </c>
      <c r="M17" s="59">
        <v>109.8</v>
      </c>
      <c r="N17" s="59">
        <v>135.1</v>
      </c>
      <c r="O17" s="58">
        <v>88.1</v>
      </c>
      <c r="P17" s="60">
        <v>64</v>
      </c>
      <c r="Q17" s="60">
        <v>145</v>
      </c>
      <c r="R17" s="60">
        <v>98</v>
      </c>
      <c r="S17" s="60">
        <v>103</v>
      </c>
      <c r="T17" s="60">
        <v>82</v>
      </c>
      <c r="U17" s="60">
        <v>67</v>
      </c>
      <c r="V17" s="60">
        <v>141</v>
      </c>
      <c r="W17" s="60">
        <v>121</v>
      </c>
      <c r="X17" s="60">
        <v>82</v>
      </c>
      <c r="Y17" s="60">
        <v>45</v>
      </c>
      <c r="Z17" s="11" t="s">
        <v>267</v>
      </c>
    </row>
    <row r="18" spans="1:32" x14ac:dyDescent="0.35">
      <c r="A18" s="72" t="s">
        <v>18</v>
      </c>
      <c r="B18" s="61">
        <v>25316</v>
      </c>
      <c r="C18" s="51">
        <v>701</v>
      </c>
      <c r="D18" s="70" t="s">
        <v>16</v>
      </c>
      <c r="E18" s="53" t="s">
        <v>114</v>
      </c>
      <c r="F18" s="51">
        <v>302</v>
      </c>
      <c r="G18" s="54" t="s">
        <v>19</v>
      </c>
      <c r="H18" s="55">
        <f>3.6+18.6</f>
        <v>22.200000000000003</v>
      </c>
      <c r="I18" s="56">
        <f>3.7+20.1</f>
        <v>23.8</v>
      </c>
      <c r="J18" s="56">
        <f>4+22.7</f>
        <v>26.7</v>
      </c>
      <c r="K18" s="56">
        <f>4.3+18.9</f>
        <v>23.2</v>
      </c>
      <c r="L18" s="58">
        <f>4.4+27.6</f>
        <v>32</v>
      </c>
      <c r="M18" s="59">
        <f>4.5+27</f>
        <v>31.5</v>
      </c>
      <c r="N18" s="59">
        <f>4.2+29.7</f>
        <v>33.9</v>
      </c>
      <c r="O18" s="58">
        <f>4.3+23.3</f>
        <v>27.6</v>
      </c>
      <c r="P18" s="58">
        <f>4.2+23.3</f>
        <v>27.5</v>
      </c>
      <c r="Q18" s="58">
        <f>3.8+27.7</f>
        <v>31.5</v>
      </c>
      <c r="R18" s="58">
        <f>3.4+18.4</f>
        <v>21.799999999999997</v>
      </c>
      <c r="S18" s="58">
        <f>3.8+15.5</f>
        <v>19.3</v>
      </c>
      <c r="T18" s="58">
        <f>3.8+17.8</f>
        <v>21.6</v>
      </c>
      <c r="U18" s="58">
        <f>3.8+21.1</f>
        <v>24.900000000000002</v>
      </c>
      <c r="V18" s="58">
        <v>24</v>
      </c>
      <c r="W18" s="58">
        <f>3.7+18</f>
        <v>21.7</v>
      </c>
      <c r="X18" s="58">
        <f>3.2+16.8</f>
        <v>20</v>
      </c>
      <c r="Y18" s="58">
        <v>15</v>
      </c>
      <c r="Z18" s="64" t="s">
        <v>238</v>
      </c>
    </row>
    <row r="19" spans="1:32" x14ac:dyDescent="0.35">
      <c r="A19" s="73" t="s">
        <v>21</v>
      </c>
      <c r="B19" s="61">
        <v>30519</v>
      </c>
      <c r="C19" s="51">
        <v>904</v>
      </c>
      <c r="D19" s="74" t="s">
        <v>20</v>
      </c>
      <c r="E19" s="53" t="s">
        <v>115</v>
      </c>
      <c r="F19" s="51">
        <v>401</v>
      </c>
      <c r="G19" s="54" t="s">
        <v>22</v>
      </c>
      <c r="H19" s="55">
        <v>442</v>
      </c>
      <c r="I19" s="56">
        <v>442</v>
      </c>
      <c r="J19" s="56">
        <v>294</v>
      </c>
      <c r="K19" s="57">
        <v>272</v>
      </c>
      <c r="L19" s="58">
        <v>248.8</v>
      </c>
      <c r="M19" s="59">
        <v>237.5</v>
      </c>
      <c r="N19" s="59">
        <v>200.1</v>
      </c>
      <c r="O19" s="58">
        <v>365.6</v>
      </c>
      <c r="P19" s="58">
        <f>'CDEC Downloads'!H14</f>
        <v>197.10300000000001</v>
      </c>
      <c r="Q19" s="58">
        <f>'CDEC Downloads'!H26</f>
        <v>192.10900000000001</v>
      </c>
      <c r="R19" s="58">
        <f>'CDEC Downloads'!H38</f>
        <v>106.60299999999999</v>
      </c>
      <c r="S19" s="58">
        <f>'CDEC Downloads'!H50</f>
        <v>95.28</v>
      </c>
      <c r="T19" s="58">
        <f>'CDEC Downloads'!H62</f>
        <v>195.602</v>
      </c>
      <c r="U19" s="58">
        <f>'CDEC Downloads'!H74</f>
        <v>171.416</v>
      </c>
      <c r="V19" s="58">
        <f>'CDEC Downloads'!H86</f>
        <v>216.14099999999999</v>
      </c>
      <c r="W19" s="58">
        <f>'CDEC Downloads'!H98</f>
        <v>141.28299999999999</v>
      </c>
      <c r="X19" s="58">
        <f>'CDEC Downloads'!H110</f>
        <v>88.484999999999999</v>
      </c>
      <c r="Y19" s="58">
        <f>'CDEC Downloads'!H122</f>
        <v>47.871000000000002</v>
      </c>
      <c r="Z19" s="64" t="s">
        <v>251</v>
      </c>
    </row>
    <row r="20" spans="1:32" x14ac:dyDescent="0.35">
      <c r="A20" s="73" t="s">
        <v>21</v>
      </c>
      <c r="B20" s="61">
        <v>30519</v>
      </c>
      <c r="C20" s="51">
        <v>904</v>
      </c>
      <c r="D20" s="74" t="s">
        <v>20</v>
      </c>
      <c r="E20" s="53" t="s">
        <v>115</v>
      </c>
      <c r="F20" s="51">
        <v>401</v>
      </c>
      <c r="G20" s="54" t="s">
        <v>65</v>
      </c>
      <c r="H20" s="55">
        <v>221</v>
      </c>
      <c r="I20" s="56">
        <v>357.7</v>
      </c>
      <c r="J20" s="56">
        <v>572</v>
      </c>
      <c r="K20" s="57">
        <v>602</v>
      </c>
      <c r="L20" s="58">
        <v>779.3</v>
      </c>
      <c r="M20" s="59">
        <v>735.7</v>
      </c>
      <c r="N20" s="59">
        <v>850</v>
      </c>
      <c r="O20" s="58">
        <f>SWP!L4</f>
        <v>497</v>
      </c>
      <c r="P20" s="58">
        <f>SWP!M4</f>
        <v>512</v>
      </c>
      <c r="Q20" s="58">
        <f>SWP!N4</f>
        <v>914</v>
      </c>
      <c r="R20" s="58">
        <f>SWP!O4</f>
        <v>559</v>
      </c>
      <c r="S20" s="58">
        <f>SWP!P4</f>
        <v>668</v>
      </c>
      <c r="T20" s="58">
        <f>SWP!Q4</f>
        <v>481</v>
      </c>
      <c r="U20" s="58">
        <f>SWP!R4</f>
        <v>424</v>
      </c>
      <c r="V20" s="58">
        <f>SWP!S4</f>
        <v>638</v>
      </c>
      <c r="W20" s="58">
        <f>SWP!T4</f>
        <v>640</v>
      </c>
      <c r="X20" s="58">
        <f>SWP!U4</f>
        <v>316</v>
      </c>
      <c r="Y20" s="58">
        <f>SWP!V4</f>
        <v>497</v>
      </c>
      <c r="Z20" s="64" t="s">
        <v>142</v>
      </c>
    </row>
    <row r="21" spans="1:32" x14ac:dyDescent="0.35">
      <c r="A21" s="73" t="s">
        <v>21</v>
      </c>
      <c r="B21" s="61">
        <v>30936</v>
      </c>
      <c r="C21" s="51">
        <v>905</v>
      </c>
      <c r="D21" s="74" t="s">
        <v>20</v>
      </c>
      <c r="E21" s="61">
        <v>10036</v>
      </c>
      <c r="F21" s="51">
        <v>403</v>
      </c>
      <c r="G21" s="54" t="s">
        <v>66</v>
      </c>
      <c r="H21" s="55">
        <v>623</v>
      </c>
      <c r="I21" s="56">
        <v>380.4</v>
      </c>
      <c r="J21" s="56">
        <v>829</v>
      </c>
      <c r="K21" s="57">
        <v>381</v>
      </c>
      <c r="L21" s="58">
        <v>758.4</v>
      </c>
      <c r="M21" s="59">
        <v>1035.5999999999999</v>
      </c>
      <c r="N21" s="59">
        <v>987.4</v>
      </c>
      <c r="O21" s="58">
        <f>SWP!L11</f>
        <v>831</v>
      </c>
      <c r="P21" s="58">
        <f>SWP!M11</f>
        <v>987</v>
      </c>
      <c r="Q21" s="58">
        <f>SWP!N11</f>
        <v>809</v>
      </c>
      <c r="R21" s="58">
        <f>SWP!O11</f>
        <v>477</v>
      </c>
      <c r="S21" s="58">
        <f>SWP!P11</f>
        <v>346</v>
      </c>
      <c r="T21" s="58">
        <f>SWP!Q11</f>
        <v>814</v>
      </c>
      <c r="U21" s="58">
        <f>SWP!R11</f>
        <v>1026</v>
      </c>
      <c r="V21" s="58">
        <f>SWP!S11</f>
        <v>721</v>
      </c>
      <c r="W21" s="58">
        <f>SWP!T11</f>
        <v>417</v>
      </c>
      <c r="X21" s="58">
        <f>SWP!U11</f>
        <v>114</v>
      </c>
      <c r="Y21" s="58">
        <f>SWP!V11</f>
        <v>194.3</v>
      </c>
      <c r="Z21" s="64" t="s">
        <v>143</v>
      </c>
    </row>
    <row r="22" spans="1:32" x14ac:dyDescent="0.35">
      <c r="A22" s="76" t="s">
        <v>24</v>
      </c>
      <c r="B22" s="61">
        <v>34833</v>
      </c>
      <c r="C22" s="51">
        <v>1002</v>
      </c>
      <c r="D22" s="74" t="s">
        <v>20</v>
      </c>
      <c r="E22" s="61">
        <v>10433</v>
      </c>
      <c r="F22" s="51">
        <v>403</v>
      </c>
      <c r="G22" s="54" t="s">
        <v>25</v>
      </c>
      <c r="H22" s="55">
        <v>1081</v>
      </c>
      <c r="I22" s="56">
        <v>1180.5999999999999</v>
      </c>
      <c r="J22" s="56">
        <v>1296</v>
      </c>
      <c r="K22" s="57">
        <v>1250</v>
      </c>
      <c r="L22" s="58">
        <v>1307.0999999999999</v>
      </c>
      <c r="M22" s="59">
        <v>731.1</v>
      </c>
      <c r="N22" s="59">
        <v>1099.8</v>
      </c>
      <c r="O22" s="58">
        <v>658.3</v>
      </c>
      <c r="P22" s="68">
        <v>808</v>
      </c>
      <c r="Q22" s="68">
        <v>1082</v>
      </c>
      <c r="R22" s="68">
        <v>1257</v>
      </c>
      <c r="S22" s="68">
        <v>1219</v>
      </c>
      <c r="T22" s="68">
        <v>990</v>
      </c>
      <c r="U22" s="68">
        <v>352</v>
      </c>
      <c r="V22" s="68">
        <v>905</v>
      </c>
      <c r="W22" s="68">
        <v>1037</v>
      </c>
      <c r="X22" s="68">
        <v>1733</v>
      </c>
      <c r="Y22" s="68">
        <v>1601</v>
      </c>
    </row>
    <row r="23" spans="1:32" x14ac:dyDescent="0.35">
      <c r="A23" s="62" t="s">
        <v>8</v>
      </c>
      <c r="B23" s="61">
        <v>13418</v>
      </c>
      <c r="C23" s="51">
        <v>501</v>
      </c>
      <c r="D23" s="77" t="s">
        <v>26</v>
      </c>
      <c r="E23" s="78">
        <v>26618</v>
      </c>
      <c r="F23" s="51">
        <v>801</v>
      </c>
      <c r="G23" s="54" t="s">
        <v>27</v>
      </c>
      <c r="H23" s="55">
        <v>3.3</v>
      </c>
      <c r="I23" s="56">
        <v>3</v>
      </c>
      <c r="J23" s="56">
        <v>3.3</v>
      </c>
      <c r="K23" s="57">
        <v>3.3</v>
      </c>
      <c r="L23" s="58">
        <v>3</v>
      </c>
      <c r="M23" s="59">
        <v>3</v>
      </c>
      <c r="N23" s="59">
        <v>3</v>
      </c>
      <c r="O23" s="58">
        <v>3</v>
      </c>
      <c r="P23" s="60">
        <v>3</v>
      </c>
      <c r="Q23" s="60">
        <v>3</v>
      </c>
      <c r="R23" s="60">
        <v>3</v>
      </c>
      <c r="S23" s="60">
        <v>3</v>
      </c>
      <c r="T23" s="60">
        <v>3</v>
      </c>
      <c r="U23" s="60">
        <v>3</v>
      </c>
      <c r="V23" s="60">
        <v>3</v>
      </c>
      <c r="W23" s="60">
        <v>3</v>
      </c>
      <c r="X23" s="60">
        <v>3</v>
      </c>
      <c r="Y23" s="60">
        <v>3</v>
      </c>
    </row>
    <row r="24" spans="1:32" x14ac:dyDescent="0.35">
      <c r="A24" s="79" t="s">
        <v>26</v>
      </c>
      <c r="B24" s="61">
        <v>26846</v>
      </c>
      <c r="C24" s="51">
        <v>802</v>
      </c>
      <c r="D24" s="62" t="s">
        <v>8</v>
      </c>
      <c r="E24" s="61">
        <v>15446</v>
      </c>
      <c r="F24" s="51">
        <v>508</v>
      </c>
      <c r="G24" s="54" t="s">
        <v>28</v>
      </c>
      <c r="H24" s="55">
        <v>10</v>
      </c>
      <c r="I24" s="56">
        <v>10</v>
      </c>
      <c r="J24" s="56">
        <v>9</v>
      </c>
      <c r="K24" s="57">
        <v>7</v>
      </c>
      <c r="L24" s="58">
        <v>8.9970999999999997</v>
      </c>
      <c r="M24" s="59">
        <v>7.4349999999999996</v>
      </c>
      <c r="N24" s="59">
        <v>9.2119999999999997</v>
      </c>
      <c r="O24" s="58">
        <v>6.2460000000000004</v>
      </c>
      <c r="P24" s="68">
        <v>7</v>
      </c>
      <c r="Q24" s="68">
        <v>10</v>
      </c>
      <c r="R24" s="68">
        <v>9</v>
      </c>
      <c r="S24" s="75">
        <v>10</v>
      </c>
      <c r="T24" s="75">
        <v>7</v>
      </c>
      <c r="U24" s="75">
        <v>8.8000000000000007</v>
      </c>
      <c r="V24" s="75">
        <v>8.8000000000000007</v>
      </c>
      <c r="W24" s="75">
        <v>9.1</v>
      </c>
      <c r="X24" s="75">
        <v>9.1999999999999993</v>
      </c>
      <c r="Y24" s="75">
        <v>8</v>
      </c>
      <c r="Z24" s="34" t="s">
        <v>268</v>
      </c>
    </row>
    <row r="25" spans="1:32" x14ac:dyDescent="0.35">
      <c r="A25" s="79" t="s">
        <v>26</v>
      </c>
      <c r="B25" s="61">
        <v>26809</v>
      </c>
      <c r="C25" s="51">
        <v>802</v>
      </c>
      <c r="D25" s="62" t="s">
        <v>8</v>
      </c>
      <c r="E25" s="61">
        <v>15809</v>
      </c>
      <c r="F25" s="51">
        <v>508</v>
      </c>
      <c r="G25" s="54" t="s">
        <v>29</v>
      </c>
      <c r="H25" s="55">
        <v>0</v>
      </c>
      <c r="I25" s="56">
        <v>1.28</v>
      </c>
      <c r="J25" s="56">
        <v>1</v>
      </c>
      <c r="K25" s="57">
        <v>2</v>
      </c>
      <c r="L25" s="58">
        <v>0.36</v>
      </c>
      <c r="M25" s="59">
        <v>0.27</v>
      </c>
      <c r="N25" s="59">
        <v>1.49</v>
      </c>
      <c r="O25" s="58">
        <v>0</v>
      </c>
      <c r="P25" s="60">
        <v>1</v>
      </c>
      <c r="Q25" s="60">
        <v>1</v>
      </c>
      <c r="R25" s="60">
        <v>1</v>
      </c>
      <c r="S25" s="60">
        <v>1</v>
      </c>
      <c r="T25" s="60">
        <v>1</v>
      </c>
      <c r="U25" s="60">
        <v>1.5</v>
      </c>
      <c r="V25" s="60">
        <v>1.8</v>
      </c>
      <c r="W25" s="60">
        <v>0.6</v>
      </c>
      <c r="X25" s="60">
        <v>1</v>
      </c>
      <c r="Y25" s="60">
        <v>1.2</v>
      </c>
      <c r="Z25" s="162" t="s">
        <v>269</v>
      </c>
    </row>
    <row r="26" spans="1:32" x14ac:dyDescent="0.35">
      <c r="A26" s="67" t="s">
        <v>30</v>
      </c>
      <c r="B26" s="61">
        <v>17609</v>
      </c>
      <c r="C26" s="51">
        <v>604</v>
      </c>
      <c r="D26" s="62" t="s">
        <v>8</v>
      </c>
      <c r="E26" s="61">
        <v>15809</v>
      </c>
      <c r="F26" s="51">
        <v>508</v>
      </c>
      <c r="G26" s="54" t="s">
        <v>138</v>
      </c>
      <c r="H26" s="80">
        <v>5</v>
      </c>
      <c r="I26" s="56">
        <v>5</v>
      </c>
      <c r="J26" s="56">
        <v>5</v>
      </c>
      <c r="K26" s="81">
        <v>5</v>
      </c>
      <c r="L26" s="58">
        <v>5</v>
      </c>
      <c r="M26" s="59">
        <v>5</v>
      </c>
      <c r="N26" s="59">
        <v>5</v>
      </c>
      <c r="O26" s="80">
        <v>5</v>
      </c>
      <c r="P26" s="60">
        <v>2</v>
      </c>
      <c r="Q26" s="60">
        <v>2</v>
      </c>
      <c r="R26" s="60">
        <v>2</v>
      </c>
      <c r="S26" s="60">
        <v>2</v>
      </c>
      <c r="T26" s="60">
        <v>2</v>
      </c>
      <c r="U26" s="60">
        <v>2</v>
      </c>
      <c r="V26" s="60">
        <v>2</v>
      </c>
      <c r="W26" s="60">
        <v>2</v>
      </c>
      <c r="X26" s="60">
        <v>2</v>
      </c>
      <c r="Y26" s="60">
        <v>2</v>
      </c>
      <c r="Z26" s="163" t="s">
        <v>270</v>
      </c>
    </row>
    <row r="27" spans="1:32" x14ac:dyDescent="0.35">
      <c r="A27" s="67" t="s">
        <v>30</v>
      </c>
      <c r="B27" s="61">
        <v>17609</v>
      </c>
      <c r="C27" s="51">
        <v>604</v>
      </c>
      <c r="D27" s="62" t="s">
        <v>8</v>
      </c>
      <c r="E27" s="61">
        <v>15809</v>
      </c>
      <c r="F27" s="51">
        <v>508</v>
      </c>
      <c r="G27" s="54" t="s">
        <v>31</v>
      </c>
      <c r="H27" s="55">
        <v>39.700000000000003</v>
      </c>
      <c r="I27" s="56">
        <v>17.972999999999999</v>
      </c>
      <c r="J27" s="56">
        <v>29.8</v>
      </c>
      <c r="K27" s="57">
        <v>22.9</v>
      </c>
      <c r="L27" s="58">
        <v>25.501000000000001</v>
      </c>
      <c r="M27" s="59">
        <v>23.245000000000001</v>
      </c>
      <c r="N27" s="59">
        <v>18</v>
      </c>
      <c r="O27" s="58">
        <v>47</v>
      </c>
      <c r="P27" s="60">
        <v>23</v>
      </c>
      <c r="Q27" s="60">
        <v>22</v>
      </c>
      <c r="R27" s="60">
        <v>15</v>
      </c>
      <c r="S27" s="60">
        <v>12</v>
      </c>
      <c r="T27" s="60">
        <v>16</v>
      </c>
      <c r="U27" s="60">
        <v>18.600000000000001</v>
      </c>
      <c r="V27" s="60">
        <v>22.7</v>
      </c>
      <c r="W27" s="60">
        <v>16.02</v>
      </c>
      <c r="X27" s="60">
        <v>8.7899999999999991</v>
      </c>
      <c r="Y27" s="60">
        <v>8.74</v>
      </c>
      <c r="Z27" s="34" t="s">
        <v>271</v>
      </c>
    </row>
    <row r="28" spans="1:32" x14ac:dyDescent="0.35">
      <c r="A28" s="62" t="s">
        <v>8</v>
      </c>
      <c r="B28" s="61">
        <v>18634</v>
      </c>
      <c r="C28" s="51">
        <v>510</v>
      </c>
      <c r="D28" s="67" t="s">
        <v>30</v>
      </c>
      <c r="E28" s="61">
        <v>18539</v>
      </c>
      <c r="F28" s="51">
        <v>602</v>
      </c>
      <c r="G28" s="54" t="s">
        <v>34</v>
      </c>
      <c r="H28" s="58">
        <v>3079</v>
      </c>
      <c r="I28" s="56">
        <v>2032</v>
      </c>
      <c r="J28" s="56">
        <v>2678</v>
      </c>
      <c r="K28" s="56">
        <v>2550</v>
      </c>
      <c r="L28" s="58">
        <v>2500</v>
      </c>
      <c r="M28" s="59">
        <v>2680</v>
      </c>
      <c r="N28" s="59">
        <v>2767</v>
      </c>
      <c r="O28" s="58">
        <v>2679</v>
      </c>
      <c r="P28" s="55">
        <v>3129</v>
      </c>
      <c r="Q28" s="55">
        <v>2921</v>
      </c>
      <c r="R28" s="55">
        <v>1781</v>
      </c>
      <c r="S28" s="55">
        <v>1575</v>
      </c>
      <c r="T28" s="55">
        <v>2925</v>
      </c>
      <c r="U28" s="55">
        <v>2539</v>
      </c>
      <c r="V28" s="55">
        <v>2077</v>
      </c>
      <c r="W28" s="55">
        <v>1844</v>
      </c>
      <c r="X28" s="55">
        <v>948</v>
      </c>
      <c r="Y28" s="55">
        <v>696</v>
      </c>
      <c r="Z28" s="11" t="s">
        <v>272</v>
      </c>
    </row>
    <row r="29" spans="1:32" x14ac:dyDescent="0.35">
      <c r="A29" s="62" t="s">
        <v>8</v>
      </c>
      <c r="B29" s="61">
        <v>17334</v>
      </c>
      <c r="C29" s="51">
        <v>511</v>
      </c>
      <c r="D29" s="67" t="s">
        <v>30</v>
      </c>
      <c r="E29" s="61">
        <v>18034</v>
      </c>
      <c r="F29" s="51">
        <v>603</v>
      </c>
      <c r="G29" s="54" t="s">
        <v>32</v>
      </c>
      <c r="H29" s="58">
        <v>17.3</v>
      </c>
      <c r="I29" s="56">
        <v>23.934000000000001</v>
      </c>
      <c r="J29" s="56">
        <v>24.5</v>
      </c>
      <c r="K29" s="56">
        <v>25.8</v>
      </c>
      <c r="L29" s="58">
        <v>60.582000000000001</v>
      </c>
      <c r="M29" s="59">
        <v>28.934000000000001</v>
      </c>
      <c r="N29" s="59">
        <v>25.542000000000002</v>
      </c>
      <c r="O29" s="58">
        <v>31.327999999999999</v>
      </c>
      <c r="P29" s="60">
        <v>34</v>
      </c>
      <c r="Q29" s="60">
        <v>32</v>
      </c>
      <c r="R29" s="60">
        <v>30</v>
      </c>
      <c r="S29" s="60">
        <v>28</v>
      </c>
      <c r="T29" s="60">
        <v>26</v>
      </c>
      <c r="U29" s="55">
        <v>26</v>
      </c>
      <c r="V29" s="60">
        <v>24</v>
      </c>
      <c r="W29" s="60">
        <v>21</v>
      </c>
      <c r="X29" s="60">
        <v>18</v>
      </c>
      <c r="Y29" s="60">
        <v>15</v>
      </c>
      <c r="Z29" s="11" t="s">
        <v>272</v>
      </c>
    </row>
    <row r="30" spans="1:32" x14ac:dyDescent="0.35">
      <c r="A30" s="62" t="s">
        <v>8</v>
      </c>
      <c r="B30" s="61">
        <v>18634</v>
      </c>
      <c r="C30" s="51">
        <v>510</v>
      </c>
      <c r="D30" s="67" t="s">
        <v>30</v>
      </c>
      <c r="E30" s="61">
        <v>18539</v>
      </c>
      <c r="F30" s="51">
        <v>602</v>
      </c>
      <c r="G30" s="54" t="s">
        <v>33</v>
      </c>
      <c r="H30" s="58">
        <v>2023</v>
      </c>
      <c r="I30" s="56">
        <v>3290</v>
      </c>
      <c r="J30" s="56">
        <v>3471</v>
      </c>
      <c r="K30" s="56">
        <v>1996</v>
      </c>
      <c r="L30" s="58">
        <v>3966</v>
      </c>
      <c r="M30" s="59">
        <v>4751</v>
      </c>
      <c r="N30" s="59">
        <v>4423</v>
      </c>
      <c r="O30" s="58">
        <v>3439</v>
      </c>
      <c r="P30" s="55">
        <v>3298</v>
      </c>
      <c r="Q30" s="55">
        <v>2733</v>
      </c>
      <c r="R30" s="55">
        <v>1360</v>
      </c>
      <c r="S30" s="55">
        <v>2277</v>
      </c>
      <c r="T30" s="55">
        <v>3650</v>
      </c>
      <c r="U30" s="55">
        <v>3775</v>
      </c>
      <c r="V30" s="55">
        <v>2300</v>
      </c>
      <c r="W30" s="55">
        <v>1798</v>
      </c>
      <c r="X30" s="55">
        <v>1043</v>
      </c>
      <c r="Y30" s="55">
        <v>1139</v>
      </c>
      <c r="Z30" s="34" t="s">
        <v>261</v>
      </c>
      <c r="AF30" s="11" t="s">
        <v>266</v>
      </c>
    </row>
    <row r="31" spans="1:32" x14ac:dyDescent="0.35">
      <c r="A31" s="67" t="s">
        <v>30</v>
      </c>
      <c r="B31" s="61">
        <v>21610</v>
      </c>
      <c r="C31" s="51">
        <v>606</v>
      </c>
      <c r="D31" s="72" t="s">
        <v>18</v>
      </c>
      <c r="E31" s="61">
        <v>24410</v>
      </c>
      <c r="F31" s="51">
        <v>702</v>
      </c>
      <c r="G31" s="54" t="s">
        <v>23</v>
      </c>
      <c r="H31" s="58">
        <v>1904</v>
      </c>
      <c r="I31" s="56">
        <v>2250</v>
      </c>
      <c r="J31" s="56">
        <v>3347</v>
      </c>
      <c r="K31" s="56">
        <v>1908</v>
      </c>
      <c r="L31" s="58">
        <v>2370</v>
      </c>
      <c r="M31" s="59">
        <v>3000</v>
      </c>
      <c r="N31" s="59">
        <v>2800</v>
      </c>
      <c r="O31" s="58">
        <f>SWP!L2</f>
        <v>3327</v>
      </c>
      <c r="P31" s="58">
        <v>3369</v>
      </c>
      <c r="Q31" s="58">
        <f>SWP!N2</f>
        <v>2585</v>
      </c>
      <c r="R31" s="58">
        <f>SWP!O2</f>
        <v>1396</v>
      </c>
      <c r="S31" s="58">
        <f>SWP!P2</f>
        <v>1395</v>
      </c>
      <c r="T31" s="58">
        <f>SWP!Q2</f>
        <v>2433</v>
      </c>
      <c r="U31" s="58">
        <f>SWP!R2</f>
        <v>3393</v>
      </c>
      <c r="V31" s="58">
        <f>SWP!S2</f>
        <v>2667</v>
      </c>
      <c r="W31" s="58">
        <f>SWP!T2</f>
        <v>1724</v>
      </c>
      <c r="X31" s="58">
        <f>SWP!U2</f>
        <v>574</v>
      </c>
      <c r="Y31" s="58">
        <f>SWP!V2</f>
        <v>829.2</v>
      </c>
      <c r="Z31" s="34" t="s">
        <v>141</v>
      </c>
    </row>
    <row r="32" spans="1:32" x14ac:dyDescent="0.35">
      <c r="A32" s="67" t="s">
        <v>30</v>
      </c>
      <c r="B32" s="61">
        <v>21610</v>
      </c>
      <c r="C32" s="51">
        <v>606</v>
      </c>
      <c r="D32" s="72" t="s">
        <v>18</v>
      </c>
      <c r="E32" s="61">
        <v>24410</v>
      </c>
      <c r="F32" s="51">
        <v>702</v>
      </c>
      <c r="G32" s="54" t="s">
        <v>35</v>
      </c>
      <c r="H32" s="55">
        <v>1005</v>
      </c>
      <c r="I32" s="56">
        <v>1281.4000000000001</v>
      </c>
      <c r="J32" s="56">
        <v>961</v>
      </c>
      <c r="K32" s="57">
        <v>935</v>
      </c>
      <c r="L32" s="58">
        <v>886.7</v>
      </c>
      <c r="M32" s="59">
        <v>1004.7</v>
      </c>
      <c r="N32" s="59">
        <v>1050.9000000000001</v>
      </c>
      <c r="O32" s="58">
        <v>978.9</v>
      </c>
      <c r="P32" s="60">
        <v>1125</v>
      </c>
      <c r="Q32" s="60">
        <v>1045</v>
      </c>
      <c r="R32" s="60">
        <v>595</v>
      </c>
      <c r="S32" s="60">
        <v>373</v>
      </c>
      <c r="T32" s="60">
        <v>630</v>
      </c>
      <c r="U32" s="58">
        <v>1175</v>
      </c>
      <c r="V32" s="60">
        <v>977</v>
      </c>
      <c r="W32" s="60">
        <v>532</v>
      </c>
      <c r="X32" s="60">
        <v>240</v>
      </c>
      <c r="Y32" s="60">
        <v>189</v>
      </c>
    </row>
    <row r="33" spans="1:31" x14ac:dyDescent="0.35">
      <c r="A33" s="67" t="s">
        <v>30</v>
      </c>
      <c r="B33" s="61">
        <v>21610</v>
      </c>
      <c r="C33" s="51">
        <v>606</v>
      </c>
      <c r="D33" s="72" t="s">
        <v>18</v>
      </c>
      <c r="E33" s="82">
        <v>23510</v>
      </c>
      <c r="F33" s="51">
        <v>702</v>
      </c>
      <c r="G33" s="54" t="s">
        <v>36</v>
      </c>
      <c r="H33" s="55">
        <v>43</v>
      </c>
      <c r="I33" s="56">
        <v>134.5</v>
      </c>
      <c r="J33" s="56">
        <v>106</v>
      </c>
      <c r="K33" s="57">
        <v>105</v>
      </c>
      <c r="L33" s="58">
        <v>130.69999999999999</v>
      </c>
      <c r="M33" s="59">
        <v>158.30000000000001</v>
      </c>
      <c r="N33" s="59">
        <v>151.69999999999999</v>
      </c>
      <c r="O33" s="58">
        <v>128.5</v>
      </c>
      <c r="P33" s="60">
        <v>145</v>
      </c>
      <c r="Q33" s="60">
        <v>126</v>
      </c>
      <c r="R33" s="60">
        <v>88</v>
      </c>
      <c r="S33" s="60">
        <v>80</v>
      </c>
      <c r="T33" s="60">
        <v>86</v>
      </c>
      <c r="U33" s="60">
        <v>114</v>
      </c>
      <c r="V33" s="60">
        <v>103</v>
      </c>
      <c r="W33" s="60">
        <v>98</v>
      </c>
      <c r="X33" s="60">
        <v>77</v>
      </c>
      <c r="Y33" s="60">
        <v>75</v>
      </c>
    </row>
    <row r="34" spans="1:31" x14ac:dyDescent="0.35">
      <c r="A34" s="67" t="s">
        <v>30</v>
      </c>
      <c r="B34" s="61">
        <v>21610</v>
      </c>
      <c r="C34" s="51">
        <v>606</v>
      </c>
      <c r="D34" s="72" t="s">
        <v>18</v>
      </c>
      <c r="E34" s="61">
        <v>24410</v>
      </c>
      <c r="F34" s="51">
        <v>702</v>
      </c>
      <c r="G34" s="54" t="s">
        <v>45</v>
      </c>
      <c r="H34" s="55">
        <v>0</v>
      </c>
      <c r="I34" s="56">
        <v>0</v>
      </c>
      <c r="J34" s="56">
        <v>0</v>
      </c>
      <c r="K34" s="57">
        <v>13</v>
      </c>
      <c r="L34" s="58">
        <v>90.9</v>
      </c>
      <c r="M34" s="59">
        <v>6.4</v>
      </c>
      <c r="N34" s="59">
        <v>31.2</v>
      </c>
      <c r="O34" s="58">
        <v>11.5</v>
      </c>
      <c r="P34" s="60">
        <v>5</v>
      </c>
      <c r="Q34" s="60">
        <v>64</v>
      </c>
      <c r="R34" s="60">
        <v>39</v>
      </c>
      <c r="S34" s="60">
        <v>11</v>
      </c>
      <c r="T34" s="60">
        <v>40</v>
      </c>
      <c r="U34" s="60">
        <v>13</v>
      </c>
      <c r="V34" s="60">
        <v>19</v>
      </c>
      <c r="W34" s="60">
        <v>48</v>
      </c>
      <c r="X34" s="60">
        <v>2</v>
      </c>
      <c r="Y34" s="60">
        <v>0</v>
      </c>
    </row>
    <row r="35" spans="1:31" x14ac:dyDescent="0.35">
      <c r="A35" s="67" t="s">
        <v>30</v>
      </c>
      <c r="B35" s="61">
        <v>20410</v>
      </c>
      <c r="C35" s="51">
        <v>610</v>
      </c>
      <c r="D35" s="72" t="s">
        <v>18</v>
      </c>
      <c r="E35" s="61">
        <v>22110</v>
      </c>
      <c r="F35" s="51">
        <v>707</v>
      </c>
      <c r="G35" s="54" t="s">
        <v>37</v>
      </c>
      <c r="H35" s="55">
        <v>764</v>
      </c>
      <c r="I35" s="56">
        <v>1151.3</v>
      </c>
      <c r="J35" s="56">
        <v>1212</v>
      </c>
      <c r="K35" s="57">
        <v>735</v>
      </c>
      <c r="L35" s="58">
        <v>759.6</v>
      </c>
      <c r="M35" s="59">
        <v>1005.1</v>
      </c>
      <c r="N35" s="59">
        <v>782.2</v>
      </c>
      <c r="O35" s="58">
        <v>1650</v>
      </c>
      <c r="P35" s="83">
        <v>1300</v>
      </c>
      <c r="Q35" s="60">
        <v>614</v>
      </c>
      <c r="R35" s="60">
        <v>682</v>
      </c>
      <c r="S35" s="60">
        <v>845</v>
      </c>
      <c r="T35" s="60">
        <v>1267</v>
      </c>
      <c r="U35" s="60">
        <v>1319</v>
      </c>
      <c r="V35" s="60">
        <v>784</v>
      </c>
      <c r="W35" s="60">
        <v>455</v>
      </c>
      <c r="X35" s="60">
        <v>240</v>
      </c>
      <c r="Y35" s="60">
        <v>93</v>
      </c>
    </row>
    <row r="36" spans="1:31" x14ac:dyDescent="0.35">
      <c r="A36" s="67" t="s">
        <v>30</v>
      </c>
      <c r="B36" s="61">
        <v>18539</v>
      </c>
      <c r="C36" s="51">
        <v>602</v>
      </c>
      <c r="D36" s="62" t="s">
        <v>8</v>
      </c>
      <c r="E36" s="61">
        <v>18634</v>
      </c>
      <c r="F36" s="51">
        <v>510</v>
      </c>
      <c r="G36" s="54" t="s">
        <v>38</v>
      </c>
      <c r="H36" s="58">
        <v>8491</v>
      </c>
      <c r="I36" s="56">
        <v>3570</v>
      </c>
      <c r="J36" s="56">
        <v>2846</v>
      </c>
      <c r="K36" s="56">
        <v>1732</v>
      </c>
      <c r="L36" s="58">
        <v>1397</v>
      </c>
      <c r="M36" s="59">
        <v>1366</v>
      </c>
      <c r="N36" s="59">
        <v>1370</v>
      </c>
      <c r="O36" s="58">
        <v>3790</v>
      </c>
      <c r="P36" s="55">
        <v>7353</v>
      </c>
      <c r="Q36" s="55">
        <v>1596</v>
      </c>
      <c r="R36" s="55">
        <v>1234</v>
      </c>
      <c r="S36" s="55">
        <v>865</v>
      </c>
      <c r="T36" s="55">
        <v>1897</v>
      </c>
      <c r="U36" s="58">
        <v>6829</v>
      </c>
      <c r="V36" s="58">
        <v>1478</v>
      </c>
      <c r="W36" s="58">
        <v>1071</v>
      </c>
      <c r="X36" s="58">
        <v>630</v>
      </c>
      <c r="Y36" s="58">
        <v>422</v>
      </c>
    </row>
    <row r="37" spans="1:31" x14ac:dyDescent="0.35">
      <c r="A37" s="72" t="s">
        <v>18</v>
      </c>
      <c r="B37" s="61">
        <v>23510</v>
      </c>
      <c r="C37" s="51">
        <v>703</v>
      </c>
      <c r="D37" s="67" t="s">
        <v>30</v>
      </c>
      <c r="E37" s="61">
        <v>21610</v>
      </c>
      <c r="F37" s="51">
        <v>606</v>
      </c>
      <c r="G37" s="54" t="s">
        <v>99</v>
      </c>
      <c r="H37" s="58">
        <v>915</v>
      </c>
      <c r="I37" s="56">
        <v>0</v>
      </c>
      <c r="J37" s="56">
        <v>0</v>
      </c>
      <c r="K37" s="56">
        <v>0</v>
      </c>
      <c r="L37" s="58">
        <v>0</v>
      </c>
      <c r="M37" s="59">
        <v>0</v>
      </c>
      <c r="N37" s="59">
        <v>0</v>
      </c>
      <c r="O37" s="58">
        <v>60.6</v>
      </c>
      <c r="P37" s="60">
        <v>309</v>
      </c>
      <c r="Q37" s="60">
        <v>0</v>
      </c>
      <c r="R37" s="60">
        <v>0</v>
      </c>
      <c r="S37" s="60">
        <v>0</v>
      </c>
      <c r="T37" s="60">
        <v>0</v>
      </c>
      <c r="U37" s="75">
        <v>637</v>
      </c>
      <c r="V37" s="75">
        <v>0</v>
      </c>
      <c r="W37" s="75">
        <v>0</v>
      </c>
      <c r="X37" s="75">
        <v>0</v>
      </c>
      <c r="Y37" s="75">
        <v>0</v>
      </c>
    </row>
    <row r="38" spans="1:31" x14ac:dyDescent="0.35">
      <c r="A38" s="72" t="s">
        <v>18</v>
      </c>
      <c r="B38" s="61">
        <v>23215</v>
      </c>
      <c r="C38" s="51">
        <v>707</v>
      </c>
      <c r="D38" s="73" t="s">
        <v>21</v>
      </c>
      <c r="E38" s="61">
        <v>30515</v>
      </c>
      <c r="F38" s="51">
        <v>904</v>
      </c>
      <c r="G38" s="54" t="s">
        <v>23</v>
      </c>
      <c r="H38" s="55">
        <v>729</v>
      </c>
      <c r="I38" s="56">
        <v>795.3</v>
      </c>
      <c r="J38" s="56">
        <v>1509</v>
      </c>
      <c r="K38" s="57">
        <v>1065</v>
      </c>
      <c r="L38" s="58">
        <v>1613.1</v>
      </c>
      <c r="M38" s="59">
        <v>1863.8</v>
      </c>
      <c r="N38" s="59">
        <v>1927.1</v>
      </c>
      <c r="O38" s="58">
        <f>SWP!L3</f>
        <v>1575</v>
      </c>
      <c r="P38" s="58">
        <f>SWP!M3</f>
        <v>1831</v>
      </c>
      <c r="Q38" s="58">
        <f>SWP!N3</f>
        <v>2021</v>
      </c>
      <c r="R38" s="58">
        <f>SWP!O3</f>
        <v>1193</v>
      </c>
      <c r="S38" s="58">
        <f>SWP!P3</f>
        <v>1185</v>
      </c>
      <c r="T38" s="58">
        <f>SWP!Q3</f>
        <v>1480</v>
      </c>
      <c r="U38" s="58">
        <f>SWP!R3</f>
        <v>1678</v>
      </c>
      <c r="V38" s="58">
        <f>SWP!S3</f>
        <v>1568</v>
      </c>
      <c r="W38" s="58">
        <f>SWP!T3</f>
        <v>1211</v>
      </c>
      <c r="X38" s="58">
        <f>SWP!U3</f>
        <v>544</v>
      </c>
      <c r="Y38" s="58">
        <f>SWP!V3</f>
        <v>759</v>
      </c>
      <c r="Z38" s="34" t="s">
        <v>140</v>
      </c>
    </row>
    <row r="39" spans="1:31" x14ac:dyDescent="0.35">
      <c r="A39" s="72" t="s">
        <v>18</v>
      </c>
      <c r="B39" s="78">
        <v>23215</v>
      </c>
      <c r="C39" s="84">
        <v>707</v>
      </c>
      <c r="D39" s="73" t="s">
        <v>21</v>
      </c>
      <c r="E39" s="78">
        <v>30515</v>
      </c>
      <c r="F39" s="84">
        <v>904</v>
      </c>
      <c r="G39" s="43" t="s">
        <v>100</v>
      </c>
      <c r="H39" s="58">
        <v>188</v>
      </c>
      <c r="I39" s="56">
        <v>0</v>
      </c>
      <c r="J39" s="56">
        <v>0</v>
      </c>
      <c r="K39" s="56">
        <v>0</v>
      </c>
      <c r="L39" s="58">
        <v>0</v>
      </c>
      <c r="M39" s="59">
        <v>0</v>
      </c>
      <c r="N39" s="59">
        <v>0</v>
      </c>
      <c r="O39" s="58">
        <v>0</v>
      </c>
      <c r="P39" s="60">
        <v>102</v>
      </c>
      <c r="Q39" s="60">
        <v>0</v>
      </c>
      <c r="R39" s="60">
        <v>0</v>
      </c>
      <c r="S39" s="60">
        <v>0</v>
      </c>
      <c r="T39" s="60">
        <v>0</v>
      </c>
      <c r="U39" s="60">
        <v>0</v>
      </c>
      <c r="V39" s="60">
        <v>0</v>
      </c>
      <c r="W39" s="60">
        <v>0</v>
      </c>
      <c r="X39" s="60">
        <v>0</v>
      </c>
      <c r="Y39" s="60">
        <v>0</v>
      </c>
    </row>
    <row r="40" spans="1:31" x14ac:dyDescent="0.35">
      <c r="A40" s="77" t="s">
        <v>26</v>
      </c>
      <c r="B40" s="78">
        <v>27002</v>
      </c>
      <c r="C40" s="84">
        <v>802</v>
      </c>
      <c r="D40" s="85" t="s">
        <v>21</v>
      </c>
      <c r="E40" s="78">
        <v>27426</v>
      </c>
      <c r="F40" s="84">
        <v>901</v>
      </c>
      <c r="G40" s="43" t="s">
        <v>39</v>
      </c>
      <c r="H40" s="86">
        <v>0.7</v>
      </c>
      <c r="I40" s="87">
        <v>1</v>
      </c>
      <c r="J40" s="87">
        <v>0.7</v>
      </c>
      <c r="K40" s="88">
        <v>0.7</v>
      </c>
      <c r="L40" s="89">
        <v>1</v>
      </c>
      <c r="M40" s="90">
        <v>1</v>
      </c>
      <c r="N40" s="90">
        <v>1</v>
      </c>
      <c r="O40" s="89">
        <v>1</v>
      </c>
      <c r="P40" s="60">
        <v>1</v>
      </c>
      <c r="Q40" s="60">
        <v>1</v>
      </c>
      <c r="R40" s="60">
        <v>1</v>
      </c>
      <c r="S40" s="60">
        <v>1</v>
      </c>
      <c r="T40" s="60">
        <v>1</v>
      </c>
      <c r="U40" s="60">
        <v>1</v>
      </c>
      <c r="V40" s="60">
        <v>1</v>
      </c>
      <c r="W40" s="60">
        <v>1</v>
      </c>
      <c r="X40" s="60">
        <v>1</v>
      </c>
      <c r="Y40" s="60">
        <v>1</v>
      </c>
      <c r="Z40" s="34" t="s">
        <v>260</v>
      </c>
    </row>
    <row r="41" spans="1:31" x14ac:dyDescent="0.35">
      <c r="A41" s="79" t="s">
        <v>26</v>
      </c>
      <c r="B41" s="61">
        <v>27026</v>
      </c>
      <c r="C41" s="51">
        <v>802</v>
      </c>
      <c r="D41" s="49" t="s">
        <v>40</v>
      </c>
      <c r="E41" s="61"/>
      <c r="F41" s="51"/>
      <c r="G41" s="54" t="s">
        <v>130</v>
      </c>
      <c r="H41" s="55">
        <f>202.4+322.4</f>
        <v>524.79999999999995</v>
      </c>
      <c r="I41" s="56">
        <f>126.3+242</f>
        <v>368.3</v>
      </c>
      <c r="J41" s="56">
        <f>84.8+193.2</f>
        <v>278</v>
      </c>
      <c r="K41" s="57">
        <f>57.1+136.3</f>
        <v>193.4</v>
      </c>
      <c r="L41" s="58">
        <f>46.7+154.2</f>
        <v>200.89999999999998</v>
      </c>
      <c r="M41" s="59">
        <f>72.2+190.7</f>
        <v>262.89999999999998</v>
      </c>
      <c r="N41" s="59">
        <f>63.1+158.4</f>
        <v>221.5</v>
      </c>
      <c r="O41" s="58">
        <f>169.2+304.8</f>
        <v>474</v>
      </c>
      <c r="P41" s="60">
        <f>ROUND('outflow to NV'!D$110+'outflow to NV'!H$110,0)</f>
        <v>567</v>
      </c>
      <c r="Q41" s="60">
        <f>ROUND('outflow to NV'!D$122+'outflow to NV'!H$122,0)</f>
        <v>150</v>
      </c>
      <c r="R41" s="60">
        <f>ROUND('outflow to NV'!D$134+'outflow to NV'!H$134,0)</f>
        <v>189</v>
      </c>
      <c r="S41" s="60">
        <f>ROUND('outflow to NV'!D$146+'outflow to NV'!H$146,0)</f>
        <v>244</v>
      </c>
      <c r="T41" s="60">
        <f>ROUND('outflow to NV'!D$158+'outflow to NV'!H$158,0)</f>
        <v>305</v>
      </c>
      <c r="U41" s="136">
        <f>'outflow to NV'!D170+'outflow to NV'!H170</f>
        <v>555.26600000000008</v>
      </c>
      <c r="V41" s="136">
        <f>'outflow to NV'!D182+'outflow to NV'!H182</f>
        <v>152.01299999999998</v>
      </c>
      <c r="W41" s="136">
        <f>'outflow to NV'!D194+'outflow to NV'!H194</f>
        <v>148.89599999999999</v>
      </c>
      <c r="X41" s="136">
        <f>'outflow to NV'!D206+'outflow to NV'!H206</f>
        <v>100.572</v>
      </c>
      <c r="Y41" s="136">
        <f>'outflow to NV'!D218+'outflow to NV'!H218</f>
        <v>96.191999999999993</v>
      </c>
      <c r="Z41" s="34" t="s">
        <v>242</v>
      </c>
    </row>
    <row r="42" spans="1:31" x14ac:dyDescent="0.35">
      <c r="A42" s="79" t="s">
        <v>26</v>
      </c>
      <c r="B42" s="61">
        <v>26846</v>
      </c>
      <c r="C42" s="51"/>
      <c r="D42" s="49" t="s">
        <v>40</v>
      </c>
      <c r="E42" s="61"/>
      <c r="F42" s="51"/>
      <c r="G42" s="54" t="s">
        <v>131</v>
      </c>
      <c r="H42" s="55">
        <v>547.1</v>
      </c>
      <c r="I42" s="56">
        <v>529.29999999999995</v>
      </c>
      <c r="J42" s="56">
        <v>329.8</v>
      </c>
      <c r="K42" s="57">
        <v>136.9</v>
      </c>
      <c r="L42" s="58">
        <v>269.5</v>
      </c>
      <c r="M42" s="59">
        <v>346.7</v>
      </c>
      <c r="N42" s="59">
        <v>259.39999999999998</v>
      </c>
      <c r="O42" s="58">
        <v>439</v>
      </c>
      <c r="P42" s="60">
        <f>ROUND('outflow to NV'!$P110,0)</f>
        <v>856</v>
      </c>
      <c r="Q42" s="60">
        <f>ROUND('outflow to NV'!$P122,0)</f>
        <v>406</v>
      </c>
      <c r="R42" s="60">
        <f>ROUND('outflow to NV'!$P134,0)</f>
        <v>361</v>
      </c>
      <c r="S42" s="60">
        <f>ROUND('outflow to NV'!$P146,0)</f>
        <v>352</v>
      </c>
      <c r="T42" s="60">
        <f>ROUND('outflow to NV'!$P158,0)</f>
        <v>357</v>
      </c>
      <c r="U42" s="136">
        <f>'outflow to NV'!P170</f>
        <v>703.53899999999999</v>
      </c>
      <c r="V42" s="136">
        <f>'outflow to NV'!P182</f>
        <v>390.51</v>
      </c>
      <c r="W42" s="136">
        <f>'outflow to NV'!P194</f>
        <v>396.17500000000001</v>
      </c>
      <c r="X42" s="136">
        <f>'outflow to NV'!P206</f>
        <v>299.327</v>
      </c>
      <c r="Y42" s="136">
        <f>'outflow to NV'!P218</f>
        <v>162.47200000000001</v>
      </c>
      <c r="Z42" s="34" t="s">
        <v>243</v>
      </c>
    </row>
    <row r="43" spans="1:31" x14ac:dyDescent="0.35">
      <c r="A43" s="79" t="s">
        <v>26</v>
      </c>
      <c r="B43" s="61">
        <v>27002</v>
      </c>
      <c r="C43" s="51"/>
      <c r="D43" s="49" t="s">
        <v>40</v>
      </c>
      <c r="E43" s="61"/>
      <c r="F43" s="51"/>
      <c r="G43" s="54" t="s">
        <v>132</v>
      </c>
      <c r="H43" s="55">
        <f>352.5+116.5</f>
        <v>469</v>
      </c>
      <c r="I43" s="56">
        <f>325.2+92.3</f>
        <v>417.5</v>
      </c>
      <c r="J43" s="56">
        <f>208+58.8</f>
        <v>266.8</v>
      </c>
      <c r="K43" s="57">
        <f>136.2+35.2</f>
        <v>171.39999999999998</v>
      </c>
      <c r="L43" s="58">
        <f>184+54.1</f>
        <v>238.1</v>
      </c>
      <c r="M43" s="59">
        <f>225.7+65</f>
        <v>290.7</v>
      </c>
      <c r="N43" s="59">
        <f>186.4+49.4</f>
        <v>235.8</v>
      </c>
      <c r="O43" s="58">
        <f>334.6+81.2</f>
        <v>415.8</v>
      </c>
      <c r="P43" s="60">
        <f>ROUND('outflow to NV'!L$110+'outflow to NV'!T$110,0)</f>
        <v>553</v>
      </c>
      <c r="Q43" s="60">
        <f>ROUND('outflow to NV'!L$122+'outflow to NV'!T$122,0)</f>
        <v>159</v>
      </c>
      <c r="R43" s="60">
        <f>ROUND('outflow to NV'!L$134+'outflow to NV'!T$134,0)</f>
        <v>195</v>
      </c>
      <c r="S43" s="60">
        <f>ROUND('outflow to NV'!L$146+'outflow to NV'!T$146,0)</f>
        <v>286</v>
      </c>
      <c r="T43" s="60">
        <f>ROUND('outflow to NV'!L$158+'outflow to NV'!T$158,0)</f>
        <v>335</v>
      </c>
      <c r="U43" s="136">
        <f>'outflow to NV'!L170+'outflow to NV'!T170</f>
        <v>582.36</v>
      </c>
      <c r="V43" s="136">
        <f>'outflow to NV'!L182+'outflow to NV'!T182</f>
        <v>179.82600000000002</v>
      </c>
      <c r="W43" s="136">
        <f>'outflow to NV'!L194+'outflow to NV'!T194</f>
        <v>192.35499999999999</v>
      </c>
      <c r="X43" s="136">
        <f>'outflow to NV'!L206+'outflow to NV'!T206</f>
        <v>132.166</v>
      </c>
      <c r="Y43" s="136">
        <f>'outflow to NV'!L218+'outflow to NV'!T218</f>
        <v>105.892</v>
      </c>
      <c r="Z43" s="34" t="s">
        <v>244</v>
      </c>
    </row>
    <row r="44" spans="1:31" x14ac:dyDescent="0.35">
      <c r="A44" s="73" t="s">
        <v>21</v>
      </c>
      <c r="B44" s="61">
        <v>30936</v>
      </c>
      <c r="C44" s="51">
        <v>905</v>
      </c>
      <c r="D44" s="76" t="s">
        <v>24</v>
      </c>
      <c r="E44" s="61"/>
      <c r="F44" s="51">
        <v>1001</v>
      </c>
      <c r="G44" s="54" t="s">
        <v>23</v>
      </c>
      <c r="H44" s="55">
        <v>0</v>
      </c>
      <c r="I44" s="56">
        <v>0</v>
      </c>
      <c r="J44" s="56">
        <v>0</v>
      </c>
      <c r="K44" s="57">
        <v>0</v>
      </c>
      <c r="L44" s="58">
        <v>0</v>
      </c>
      <c r="M44" s="59">
        <v>0</v>
      </c>
      <c r="N44" s="59">
        <v>0</v>
      </c>
      <c r="O44" s="58">
        <v>0</v>
      </c>
      <c r="P44" s="58">
        <v>0</v>
      </c>
      <c r="Q44" s="58">
        <v>0</v>
      </c>
      <c r="R44" s="58">
        <v>0</v>
      </c>
      <c r="S44" s="58">
        <v>0</v>
      </c>
      <c r="T44" s="58">
        <v>0</v>
      </c>
      <c r="U44" s="58">
        <v>0</v>
      </c>
      <c r="V44" s="58">
        <v>0</v>
      </c>
      <c r="W44" s="58">
        <v>0</v>
      </c>
      <c r="X44" s="58">
        <v>0</v>
      </c>
      <c r="Y44" s="58">
        <v>0</v>
      </c>
    </row>
    <row r="45" spans="1:31" x14ac:dyDescent="0.35">
      <c r="A45" s="91" t="s">
        <v>40</v>
      </c>
      <c r="B45" s="92"/>
      <c r="C45" s="93"/>
      <c r="D45" s="76" t="s">
        <v>24</v>
      </c>
      <c r="E45" s="92">
        <v>34336</v>
      </c>
      <c r="F45" s="93">
        <v>1006</v>
      </c>
      <c r="G45" s="94" t="s">
        <v>41</v>
      </c>
      <c r="H45" s="95">
        <v>4986</v>
      </c>
      <c r="I45" s="96">
        <v>5145.5</v>
      </c>
      <c r="J45" s="96">
        <v>5349</v>
      </c>
      <c r="K45" s="97">
        <v>5104</v>
      </c>
      <c r="L45" s="98">
        <f>'CDEC Downloads'!D14</f>
        <v>4069.7</v>
      </c>
      <c r="M45" s="99">
        <f>'CDEC Downloads'!D26</f>
        <v>6269.9</v>
      </c>
      <c r="N45" s="99">
        <f>'CDEC Downloads'!D38</f>
        <v>5637.5</v>
      </c>
      <c r="O45" s="98">
        <f>'CDEC Downloads'!D50</f>
        <v>11343.36</v>
      </c>
      <c r="P45" s="100">
        <f>'CDEC Downloads'!D62</f>
        <v>8711.2000000000007</v>
      </c>
      <c r="Q45" s="100">
        <f>'CDEC Downloads'!D74</f>
        <v>8082</v>
      </c>
      <c r="R45" s="100">
        <f>'CDEC Downloads'!D86</f>
        <v>12453.632</v>
      </c>
      <c r="S45" s="100">
        <f>'CDEC Downloads'!D98</f>
        <v>10130.700000000001</v>
      </c>
      <c r="T45" s="100">
        <f>'CDEC Downloads'!D110</f>
        <v>8772.7999999999993</v>
      </c>
      <c r="U45" s="100">
        <f>'CDEC Downloads'!D122</f>
        <v>16338.3</v>
      </c>
      <c r="V45" s="100">
        <f>'CDEC Downloads'!D134</f>
        <v>6086.3</v>
      </c>
      <c r="W45" s="100">
        <f>'CDEC Downloads'!D146</f>
        <v>5127.8</v>
      </c>
      <c r="X45" s="100">
        <f>'CDEC Downloads'!D158</f>
        <v>9270.9</v>
      </c>
      <c r="Y45" s="100">
        <f>'CDEC Downloads'!D170</f>
        <v>9418.2999999999993</v>
      </c>
      <c r="Z45" s="34" t="s">
        <v>249</v>
      </c>
    </row>
    <row r="46" spans="1:31" ht="16" thickBot="1" x14ac:dyDescent="0.4">
      <c r="A46" s="101" t="s">
        <v>50</v>
      </c>
      <c r="B46" s="102"/>
      <c r="C46" s="103"/>
      <c r="D46" s="104" t="s">
        <v>24</v>
      </c>
      <c r="E46" s="105">
        <v>35313</v>
      </c>
      <c r="F46" s="103">
        <v>1006</v>
      </c>
      <c r="G46" s="106" t="s">
        <v>51</v>
      </c>
      <c r="H46" s="55">
        <v>182</v>
      </c>
      <c r="I46" s="56">
        <v>178</v>
      </c>
      <c r="J46" s="56">
        <v>166</v>
      </c>
      <c r="K46" s="57">
        <v>155</v>
      </c>
      <c r="L46" s="58">
        <v>123</v>
      </c>
      <c r="M46" s="59">
        <v>111</v>
      </c>
      <c r="N46" s="59">
        <v>111</v>
      </c>
      <c r="O46" s="58">
        <v>128</v>
      </c>
      <c r="P46" s="136">
        <v>117.9</v>
      </c>
      <c r="Q46" s="136">
        <v>92.63</v>
      </c>
      <c r="R46" s="136">
        <v>89.03</v>
      </c>
      <c r="S46" s="136">
        <v>83.6</v>
      </c>
      <c r="T46" s="136">
        <v>87.61</v>
      </c>
      <c r="U46" s="136">
        <v>82.78</v>
      </c>
      <c r="V46" s="136">
        <v>71.45</v>
      </c>
      <c r="W46" s="136">
        <v>81.59</v>
      </c>
      <c r="X46" s="136">
        <v>76.644999999999996</v>
      </c>
      <c r="Y46" s="136">
        <v>74.994</v>
      </c>
      <c r="Z46" s="34" t="s">
        <v>159</v>
      </c>
      <c r="AC46" s="34" t="s">
        <v>160</v>
      </c>
      <c r="AE46" s="164" t="s">
        <v>273</v>
      </c>
    </row>
    <row r="48" spans="1:31" x14ac:dyDescent="0.35">
      <c r="O48" s="108" t="s">
        <v>149</v>
      </c>
    </row>
    <row r="49" spans="1:28" x14ac:dyDescent="0.35">
      <c r="O49" s="109" t="s">
        <v>158</v>
      </c>
    </row>
    <row r="50" spans="1:28" x14ac:dyDescent="0.35">
      <c r="Q50" s="110"/>
      <c r="R50" s="110"/>
      <c r="S50" s="110"/>
      <c r="T50" s="110"/>
      <c r="U50" s="110"/>
      <c r="V50" s="110"/>
      <c r="W50" s="110"/>
      <c r="X50" s="110"/>
      <c r="Y50" s="110"/>
      <c r="Z50" s="110"/>
      <c r="AA50" s="110"/>
      <c r="AB50" s="110"/>
    </row>
    <row r="51" spans="1:28" x14ac:dyDescent="0.35">
      <c r="A51" s="111" t="s">
        <v>2</v>
      </c>
      <c r="B51" s="111"/>
      <c r="D51" s="111" t="s">
        <v>1</v>
      </c>
      <c r="E51" s="111"/>
      <c r="H51" s="158" t="s">
        <v>49</v>
      </c>
      <c r="I51" s="156"/>
      <c r="J51" s="156"/>
      <c r="K51" s="156"/>
      <c r="L51" s="156"/>
      <c r="M51" s="156"/>
      <c r="N51" s="156"/>
      <c r="O51" s="156"/>
      <c r="P51" s="156"/>
      <c r="Q51" s="156"/>
      <c r="R51" s="156"/>
      <c r="S51" s="156"/>
      <c r="T51" s="156"/>
      <c r="U51" s="115"/>
      <c r="V51" s="115"/>
      <c r="W51" s="115"/>
      <c r="X51" s="115"/>
      <c r="Y51" s="115"/>
      <c r="Z51" s="156"/>
      <c r="AA51" s="156"/>
      <c r="AB51" s="156"/>
    </row>
    <row r="52" spans="1:28" ht="16" thickBot="1" x14ac:dyDescent="0.4">
      <c r="H52" s="112">
        <f t="shared" ref="H52:O52" si="0">H2</f>
        <v>1998</v>
      </c>
      <c r="I52" s="113">
        <f t="shared" si="0"/>
        <v>1999</v>
      </c>
      <c r="J52" s="113">
        <f t="shared" si="0"/>
        <v>2000</v>
      </c>
      <c r="K52" s="112">
        <f t="shared" si="0"/>
        <v>2001</v>
      </c>
      <c r="L52" s="113">
        <f t="shared" si="0"/>
        <v>2002</v>
      </c>
      <c r="M52" s="113">
        <f t="shared" si="0"/>
        <v>2003</v>
      </c>
      <c r="N52" s="113">
        <f t="shared" si="0"/>
        <v>2004</v>
      </c>
      <c r="O52" s="113">
        <f t="shared" si="0"/>
        <v>2005</v>
      </c>
      <c r="P52" s="114">
        <v>2006</v>
      </c>
      <c r="Q52" s="114">
        <v>2007</v>
      </c>
      <c r="R52" s="114">
        <v>2008</v>
      </c>
      <c r="S52" s="114">
        <v>2009</v>
      </c>
      <c r="T52" s="114">
        <v>2010</v>
      </c>
      <c r="U52" s="60">
        <v>2011</v>
      </c>
      <c r="V52" s="60">
        <v>2012</v>
      </c>
      <c r="W52" s="60">
        <v>2013</v>
      </c>
      <c r="X52" s="60">
        <v>2014</v>
      </c>
      <c r="Y52" s="60">
        <v>2015</v>
      </c>
    </row>
    <row r="53" spans="1:28" x14ac:dyDescent="0.35">
      <c r="A53" s="34" t="s">
        <v>88</v>
      </c>
      <c r="H53" s="116"/>
      <c r="I53" s="117"/>
      <c r="J53" s="117"/>
      <c r="K53" s="116"/>
      <c r="L53" s="117"/>
      <c r="M53" s="117"/>
      <c r="N53" s="117"/>
      <c r="O53" s="117"/>
      <c r="P53" s="116"/>
      <c r="Q53" s="118"/>
      <c r="R53" s="118"/>
      <c r="S53" s="118"/>
      <c r="T53" s="110"/>
      <c r="U53" s="110"/>
      <c r="V53" s="110"/>
      <c r="W53" s="110"/>
      <c r="X53" s="110"/>
      <c r="Y53" s="110"/>
      <c r="Z53" s="118"/>
      <c r="AA53" s="118"/>
      <c r="AB53" s="118"/>
    </row>
    <row r="54" spans="1:28" x14ac:dyDescent="0.35">
      <c r="B54" s="119" t="str">
        <f>B5</f>
        <v>00147</v>
      </c>
      <c r="C54" s="34">
        <v>101</v>
      </c>
      <c r="D54" s="34" t="s">
        <v>3</v>
      </c>
      <c r="E54" s="120"/>
      <c r="G54" s="116" t="str">
        <f t="shared" ref="G54:O54" si="1">G5</f>
        <v>Klamath Straits Drain and Lost River</v>
      </c>
      <c r="H54" s="116">
        <f t="shared" si="1"/>
        <v>183.7</v>
      </c>
      <c r="I54" s="117">
        <f>I5</f>
        <v>205</v>
      </c>
      <c r="J54" s="117">
        <f>J5</f>
        <v>114</v>
      </c>
      <c r="K54" s="116">
        <f>K5</f>
        <v>66</v>
      </c>
      <c r="L54" s="117">
        <f t="shared" si="1"/>
        <v>63</v>
      </c>
      <c r="M54" s="117">
        <f t="shared" si="1"/>
        <v>42</v>
      </c>
      <c r="N54" s="117">
        <f t="shared" si="1"/>
        <v>51</v>
      </c>
      <c r="O54" s="117">
        <f t="shared" si="1"/>
        <v>47</v>
      </c>
      <c r="P54" s="117">
        <f t="shared" ref="P54:T54" si="2">P5</f>
        <v>85</v>
      </c>
      <c r="Q54" s="117">
        <f t="shared" si="2"/>
        <v>63</v>
      </c>
      <c r="R54" s="117">
        <f t="shared" si="2"/>
        <v>63</v>
      </c>
      <c r="S54" s="117">
        <f t="shared" si="2"/>
        <v>40</v>
      </c>
      <c r="T54" s="117">
        <f t="shared" si="2"/>
        <v>85</v>
      </c>
      <c r="U54" s="117">
        <f t="shared" ref="U54:Y54" si="3">U5</f>
        <v>153</v>
      </c>
      <c r="V54" s="117">
        <f t="shared" si="3"/>
        <v>92</v>
      </c>
      <c r="W54" s="117">
        <f t="shared" si="3"/>
        <v>57</v>
      </c>
      <c r="X54" s="117">
        <f t="shared" si="3"/>
        <v>33</v>
      </c>
      <c r="Y54" s="117">
        <f t="shared" si="3"/>
        <v>41</v>
      </c>
      <c r="Z54" s="118"/>
      <c r="AA54" s="118"/>
      <c r="AB54" s="118"/>
    </row>
    <row r="55" spans="1:28" x14ac:dyDescent="0.35">
      <c r="B55" s="119" t="str">
        <f>B7</f>
        <v>00753</v>
      </c>
      <c r="C55" s="34">
        <v>102</v>
      </c>
      <c r="D55" s="34" t="s">
        <v>89</v>
      </c>
      <c r="E55" s="120">
        <f>E7</f>
        <v>14345</v>
      </c>
      <c r="F55" s="34">
        <v>504</v>
      </c>
      <c r="G55" s="116" t="str">
        <f t="shared" ref="G55:O55" si="4">G7</f>
        <v>Trinity River (CVP)</v>
      </c>
      <c r="H55" s="116">
        <f t="shared" si="4"/>
        <v>851.4</v>
      </c>
      <c r="I55" s="117">
        <f t="shared" si="4"/>
        <v>1008</v>
      </c>
      <c r="J55" s="117">
        <f t="shared" si="4"/>
        <v>1110.5</v>
      </c>
      <c r="K55" s="116">
        <f t="shared" si="4"/>
        <v>668.5</v>
      </c>
      <c r="L55" s="117">
        <f t="shared" si="4"/>
        <v>630</v>
      </c>
      <c r="M55" s="117">
        <f t="shared" si="4"/>
        <v>859</v>
      </c>
      <c r="N55" s="117">
        <f t="shared" si="4"/>
        <v>989</v>
      </c>
      <c r="O55" s="117">
        <f t="shared" si="4"/>
        <v>467</v>
      </c>
      <c r="P55" s="117">
        <f t="shared" ref="P55:T55" si="5">P7</f>
        <v>1353</v>
      </c>
      <c r="Q55" s="117">
        <f t="shared" si="5"/>
        <v>616</v>
      </c>
      <c r="R55" s="117">
        <f t="shared" si="5"/>
        <v>556</v>
      </c>
      <c r="S55" s="117">
        <f t="shared" si="5"/>
        <v>540</v>
      </c>
      <c r="T55" s="117">
        <f t="shared" si="5"/>
        <v>275</v>
      </c>
      <c r="U55" s="117">
        <f t="shared" ref="U55:Y55" si="6">U7</f>
        <v>574</v>
      </c>
      <c r="V55" s="117">
        <f t="shared" si="6"/>
        <v>433</v>
      </c>
      <c r="W55" s="117">
        <f t="shared" si="6"/>
        <v>420</v>
      </c>
      <c r="X55" s="117">
        <f t="shared" si="6"/>
        <v>353</v>
      </c>
      <c r="Y55" s="117">
        <f t="shared" si="6"/>
        <v>351</v>
      </c>
      <c r="Z55" s="118"/>
      <c r="AA55" s="118"/>
      <c r="AB55" s="118"/>
    </row>
    <row r="56" spans="1:28" x14ac:dyDescent="0.35">
      <c r="B56" s="119" t="str">
        <f>B8</f>
        <v>03749</v>
      </c>
      <c r="C56" s="34">
        <v>103</v>
      </c>
      <c r="D56" s="34" t="s">
        <v>90</v>
      </c>
      <c r="E56" s="120">
        <f>E8</f>
        <v>39149</v>
      </c>
      <c r="F56" s="34">
        <v>201</v>
      </c>
      <c r="G56" s="116" t="str">
        <f t="shared" ref="G56:O56" si="7">G8</f>
        <v>Sonoma Petaluma Aqueduct</v>
      </c>
      <c r="H56" s="116">
        <f t="shared" si="7"/>
        <v>32</v>
      </c>
      <c r="I56" s="117">
        <f t="shared" si="7"/>
        <v>0</v>
      </c>
      <c r="J56" s="117">
        <f t="shared" si="7"/>
        <v>33</v>
      </c>
      <c r="K56" s="116">
        <f t="shared" si="7"/>
        <v>34</v>
      </c>
      <c r="L56" s="117">
        <f t="shared" si="7"/>
        <v>41.1</v>
      </c>
      <c r="M56" s="117">
        <f t="shared" si="7"/>
        <v>36</v>
      </c>
      <c r="N56" s="117">
        <f t="shared" si="7"/>
        <v>34.432000000000002</v>
      </c>
      <c r="O56" s="117">
        <f t="shared" si="7"/>
        <v>30.8</v>
      </c>
      <c r="P56" s="117">
        <f t="shared" ref="P56:T56" si="8">P8</f>
        <v>33</v>
      </c>
      <c r="Q56" s="117">
        <f t="shared" si="8"/>
        <v>32</v>
      </c>
      <c r="R56" s="117">
        <f t="shared" si="8"/>
        <v>31</v>
      </c>
      <c r="S56" s="117">
        <f t="shared" si="8"/>
        <v>27</v>
      </c>
      <c r="T56" s="117">
        <f t="shared" si="8"/>
        <v>24</v>
      </c>
      <c r="U56" s="117">
        <f t="shared" ref="U56:Y56" si="9">U8</f>
        <v>23</v>
      </c>
      <c r="V56" s="117">
        <f t="shared" si="9"/>
        <v>27</v>
      </c>
      <c r="W56" s="117">
        <f t="shared" si="9"/>
        <v>28</v>
      </c>
      <c r="X56" s="117">
        <f t="shared" si="9"/>
        <v>30</v>
      </c>
      <c r="Y56" s="117">
        <f t="shared" si="9"/>
        <v>22</v>
      </c>
      <c r="Z56" s="118"/>
      <c r="AA56" s="118"/>
      <c r="AB56" s="118"/>
    </row>
    <row r="57" spans="1:28" x14ac:dyDescent="0.35">
      <c r="G57" s="111" t="s">
        <v>92</v>
      </c>
      <c r="H57" s="121">
        <f t="shared" ref="H57:O57" si="10">SUM(H54:H56)</f>
        <v>1067.0999999999999</v>
      </c>
      <c r="I57" s="122">
        <f t="shared" si="10"/>
        <v>1213</v>
      </c>
      <c r="J57" s="122">
        <f t="shared" si="10"/>
        <v>1257.5</v>
      </c>
      <c r="K57" s="121">
        <f t="shared" si="10"/>
        <v>768.5</v>
      </c>
      <c r="L57" s="122">
        <f t="shared" si="10"/>
        <v>734.1</v>
      </c>
      <c r="M57" s="122">
        <f t="shared" si="10"/>
        <v>937</v>
      </c>
      <c r="N57" s="122">
        <f t="shared" si="10"/>
        <v>1074.432</v>
      </c>
      <c r="O57" s="122">
        <f t="shared" si="10"/>
        <v>544.79999999999995</v>
      </c>
      <c r="P57" s="122">
        <f t="shared" ref="P57:T57" si="11">SUM(P54:P56)</f>
        <v>1471</v>
      </c>
      <c r="Q57" s="122">
        <f t="shared" si="11"/>
        <v>711</v>
      </c>
      <c r="R57" s="122">
        <f t="shared" si="11"/>
        <v>650</v>
      </c>
      <c r="S57" s="122">
        <f t="shared" si="11"/>
        <v>607</v>
      </c>
      <c r="T57" s="122">
        <f t="shared" si="11"/>
        <v>384</v>
      </c>
      <c r="U57" s="122">
        <f t="shared" ref="U57:Y57" si="12">SUM(U54:U56)</f>
        <v>750</v>
      </c>
      <c r="V57" s="122">
        <f t="shared" si="12"/>
        <v>552</v>
      </c>
      <c r="W57" s="122">
        <f t="shared" si="12"/>
        <v>505</v>
      </c>
      <c r="X57" s="122">
        <f t="shared" si="12"/>
        <v>416</v>
      </c>
      <c r="Y57" s="122">
        <f t="shared" si="12"/>
        <v>414</v>
      </c>
      <c r="Z57" s="118"/>
      <c r="AA57" s="118"/>
      <c r="AB57" s="118"/>
    </row>
    <row r="58" spans="1:28" x14ac:dyDescent="0.35">
      <c r="A58" s="34" t="s">
        <v>91</v>
      </c>
      <c r="H58" s="116"/>
      <c r="I58" s="117"/>
      <c r="J58" s="117"/>
      <c r="K58" s="116"/>
      <c r="L58" s="117"/>
      <c r="M58" s="117"/>
      <c r="N58" s="117"/>
      <c r="O58" s="117"/>
      <c r="P58" s="117"/>
      <c r="Q58" s="117"/>
      <c r="R58" s="117"/>
      <c r="S58" s="117"/>
      <c r="T58" s="117"/>
      <c r="U58" s="117"/>
      <c r="V58" s="117"/>
      <c r="W58" s="117"/>
      <c r="X58" s="117"/>
      <c r="Y58" s="117"/>
      <c r="Z58" s="123"/>
      <c r="AA58" s="118"/>
      <c r="AB58" s="118"/>
    </row>
    <row r="59" spans="1:28" x14ac:dyDescent="0.35">
      <c r="B59" s="120">
        <f>B6</f>
        <v>13647</v>
      </c>
      <c r="C59" s="34">
        <v>501</v>
      </c>
      <c r="D59" s="34" t="s">
        <v>88</v>
      </c>
      <c r="E59" s="124" t="str">
        <f>E6</f>
        <v>00447</v>
      </c>
      <c r="F59" s="34">
        <v>101</v>
      </c>
      <c r="G59" s="116" t="str">
        <f t="shared" ref="G59:O59" si="13">G6</f>
        <v>North Fork Ditch</v>
      </c>
      <c r="H59" s="116">
        <f t="shared" si="13"/>
        <v>2</v>
      </c>
      <c r="I59" s="117">
        <f>I6</f>
        <v>2</v>
      </c>
      <c r="J59" s="117">
        <f>J6</f>
        <v>2</v>
      </c>
      <c r="K59" s="116">
        <f>K6</f>
        <v>2</v>
      </c>
      <c r="L59" s="117">
        <f t="shared" si="13"/>
        <v>2</v>
      </c>
      <c r="M59" s="117">
        <f t="shared" si="13"/>
        <v>2</v>
      </c>
      <c r="N59" s="117">
        <f t="shared" si="13"/>
        <v>2</v>
      </c>
      <c r="O59" s="117">
        <f t="shared" si="13"/>
        <v>2</v>
      </c>
      <c r="P59" s="117">
        <f t="shared" ref="P59:T59" si="14">P6</f>
        <v>2</v>
      </c>
      <c r="Q59" s="117">
        <f t="shared" si="14"/>
        <v>2</v>
      </c>
      <c r="R59" s="117">
        <f t="shared" si="14"/>
        <v>2</v>
      </c>
      <c r="S59" s="117">
        <f t="shared" si="14"/>
        <v>2</v>
      </c>
      <c r="T59" s="117">
        <f t="shared" si="14"/>
        <v>1</v>
      </c>
      <c r="U59" s="117">
        <f t="shared" ref="U59:Y59" si="15">U6</f>
        <v>1</v>
      </c>
      <c r="V59" s="117">
        <f t="shared" si="15"/>
        <v>1</v>
      </c>
      <c r="W59" s="117">
        <f t="shared" si="15"/>
        <v>1</v>
      </c>
      <c r="X59" s="117">
        <f t="shared" si="15"/>
        <v>1</v>
      </c>
      <c r="Y59" s="117">
        <f t="shared" si="15"/>
        <v>1</v>
      </c>
      <c r="Z59" s="118"/>
      <c r="AA59" s="118"/>
      <c r="AB59" s="118"/>
    </row>
    <row r="60" spans="1:28" x14ac:dyDescent="0.35">
      <c r="B60" s="120">
        <f>B9</f>
        <v>19148</v>
      </c>
      <c r="C60" s="34">
        <v>509</v>
      </c>
      <c r="D60" s="34" t="s">
        <v>90</v>
      </c>
      <c r="E60" s="124" t="str">
        <f>E9</f>
        <v>04148</v>
      </c>
      <c r="F60" s="34">
        <v>201</v>
      </c>
      <c r="G60" s="125" t="str">
        <f>G9</f>
        <v>Putah South Canal</v>
      </c>
      <c r="H60" s="116">
        <f t="shared" ref="H60:O60" si="16">SUM(H9:H11)</f>
        <v>69</v>
      </c>
      <c r="I60" s="117">
        <f t="shared" si="16"/>
        <v>233.126</v>
      </c>
      <c r="J60" s="117">
        <f t="shared" si="16"/>
        <v>72</v>
      </c>
      <c r="K60" s="116">
        <f t="shared" si="16"/>
        <v>80</v>
      </c>
      <c r="L60" s="117">
        <f t="shared" si="16"/>
        <v>251.20999999999998</v>
      </c>
      <c r="M60" s="117">
        <f t="shared" si="16"/>
        <v>220.81399999999999</v>
      </c>
      <c r="N60" s="117">
        <f t="shared" si="16"/>
        <v>261.78100000000001</v>
      </c>
      <c r="O60" s="117">
        <f t="shared" si="16"/>
        <v>225.66400000000002</v>
      </c>
      <c r="P60" s="117">
        <f t="shared" ref="P60:T60" si="17">SUM(P9:P11)</f>
        <v>210</v>
      </c>
      <c r="Q60" s="117">
        <f t="shared" si="17"/>
        <v>267</v>
      </c>
      <c r="R60" s="117">
        <f t="shared" si="17"/>
        <v>277</v>
      </c>
      <c r="S60" s="117">
        <f t="shared" si="17"/>
        <v>244</v>
      </c>
      <c r="T60" s="117">
        <f t="shared" si="17"/>
        <v>219.35</v>
      </c>
      <c r="U60" s="117">
        <f t="shared" ref="U60:Y60" si="18">SUM(U9:U11)</f>
        <v>217.94</v>
      </c>
      <c r="V60" s="117">
        <f t="shared" si="18"/>
        <v>229.59</v>
      </c>
      <c r="W60" s="117">
        <f t="shared" si="18"/>
        <v>266.07</v>
      </c>
      <c r="X60" s="117">
        <f t="shared" si="18"/>
        <v>228.60251198019699</v>
      </c>
      <c r="Y60" s="117">
        <f t="shared" si="18"/>
        <v>221.51801611924</v>
      </c>
      <c r="Z60" s="118"/>
      <c r="AA60" s="118"/>
      <c r="AB60" s="118"/>
    </row>
    <row r="61" spans="1:28" x14ac:dyDescent="0.35">
      <c r="B61" s="120">
        <f>B10</f>
        <v>19148</v>
      </c>
      <c r="E61" s="124" t="str">
        <f>E10</f>
        <v>04148</v>
      </c>
      <c r="G61" s="125" t="str">
        <f>G10</f>
        <v>North Bay Aqueduct (SWP)</v>
      </c>
      <c r="H61" s="116"/>
      <c r="I61" s="117"/>
      <c r="J61" s="117"/>
      <c r="K61" s="116"/>
      <c r="L61" s="117"/>
      <c r="M61" s="117"/>
      <c r="N61" s="117"/>
      <c r="O61" s="117"/>
      <c r="P61" s="117"/>
      <c r="Q61" s="117"/>
      <c r="R61" s="117"/>
      <c r="S61" s="117"/>
      <c r="T61" s="117"/>
      <c r="U61" s="117"/>
      <c r="V61" s="117"/>
      <c r="W61" s="117"/>
      <c r="X61" s="117"/>
      <c r="Y61" s="117"/>
      <c r="Z61" s="118"/>
      <c r="AA61" s="118"/>
      <c r="AB61" s="118"/>
    </row>
    <row r="62" spans="1:28" x14ac:dyDescent="0.35">
      <c r="B62" s="120">
        <f>B11</f>
        <v>19148</v>
      </c>
      <c r="E62" s="124" t="str">
        <f>E11</f>
        <v>04148</v>
      </c>
      <c r="G62" s="125" t="str">
        <f>G11</f>
        <v>City of Vallejo</v>
      </c>
      <c r="H62" s="116"/>
      <c r="I62" s="117"/>
      <c r="J62" s="117"/>
      <c r="K62" s="116"/>
      <c r="L62" s="117"/>
      <c r="M62" s="117"/>
      <c r="N62" s="117"/>
      <c r="O62" s="117"/>
      <c r="P62" s="117"/>
      <c r="Q62" s="117"/>
      <c r="R62" s="117"/>
      <c r="S62" s="117"/>
      <c r="T62" s="117"/>
      <c r="U62" s="117"/>
      <c r="V62" s="117"/>
      <c r="W62" s="117"/>
      <c r="X62" s="117"/>
      <c r="Y62" s="117"/>
      <c r="Z62" s="118"/>
      <c r="AA62" s="118"/>
      <c r="AB62" s="118"/>
    </row>
    <row r="63" spans="1:28" x14ac:dyDescent="0.35">
      <c r="B63" s="120">
        <f>B23</f>
        <v>13418</v>
      </c>
      <c r="C63" s="34">
        <v>501</v>
      </c>
      <c r="D63" s="34" t="s">
        <v>93</v>
      </c>
      <c r="E63" s="120">
        <f>E23</f>
        <v>26618</v>
      </c>
      <c r="F63" s="34">
        <v>801</v>
      </c>
      <c r="G63" s="116" t="str">
        <f t="shared" ref="G63:O63" si="19">G23</f>
        <v>Pit River</v>
      </c>
      <c r="H63" s="116">
        <f t="shared" si="19"/>
        <v>3.3</v>
      </c>
      <c r="I63" s="117">
        <f>I23</f>
        <v>3</v>
      </c>
      <c r="J63" s="117">
        <f>J23</f>
        <v>3.3</v>
      </c>
      <c r="K63" s="116">
        <f>K23</f>
        <v>3.3</v>
      </c>
      <c r="L63" s="117">
        <f t="shared" si="19"/>
        <v>3</v>
      </c>
      <c r="M63" s="117">
        <f t="shared" si="19"/>
        <v>3</v>
      </c>
      <c r="N63" s="117">
        <f t="shared" si="19"/>
        <v>3</v>
      </c>
      <c r="O63" s="117">
        <f t="shared" si="19"/>
        <v>3</v>
      </c>
      <c r="P63" s="117">
        <f t="shared" ref="P63:T63" si="20">P23</f>
        <v>3</v>
      </c>
      <c r="Q63" s="117">
        <f t="shared" si="20"/>
        <v>3</v>
      </c>
      <c r="R63" s="117">
        <f t="shared" si="20"/>
        <v>3</v>
      </c>
      <c r="S63" s="117">
        <f t="shared" si="20"/>
        <v>3</v>
      </c>
      <c r="T63" s="117">
        <f t="shared" si="20"/>
        <v>3</v>
      </c>
      <c r="U63" s="117">
        <f t="shared" ref="U63:Y63" si="21">U23</f>
        <v>3</v>
      </c>
      <c r="V63" s="117">
        <f t="shared" si="21"/>
        <v>3</v>
      </c>
      <c r="W63" s="117">
        <f t="shared" si="21"/>
        <v>3</v>
      </c>
      <c r="X63" s="117">
        <f t="shared" si="21"/>
        <v>3</v>
      </c>
      <c r="Y63" s="117">
        <f t="shared" si="21"/>
        <v>3</v>
      </c>
      <c r="Z63" s="118"/>
      <c r="AA63" s="118"/>
      <c r="AB63" s="118"/>
    </row>
    <row r="64" spans="1:28" x14ac:dyDescent="0.35">
      <c r="B64" s="120">
        <f>B29</f>
        <v>17334</v>
      </c>
      <c r="C64" s="126">
        <v>511</v>
      </c>
      <c r="D64" s="34" t="s">
        <v>94</v>
      </c>
      <c r="E64" s="120">
        <f>E29</f>
        <v>18034</v>
      </c>
      <c r="F64" s="127">
        <v>603</v>
      </c>
      <c r="G64" s="116" t="str">
        <f t="shared" ref="G64:O64" si="22">G29</f>
        <v>Folsom South Canal</v>
      </c>
      <c r="H64" s="116">
        <f t="shared" si="22"/>
        <v>17.3</v>
      </c>
      <c r="I64" s="117">
        <f>I29</f>
        <v>23.934000000000001</v>
      </c>
      <c r="J64" s="117">
        <f>J29</f>
        <v>24.5</v>
      </c>
      <c r="K64" s="116">
        <f>K29</f>
        <v>25.8</v>
      </c>
      <c r="L64" s="117">
        <f t="shared" si="22"/>
        <v>60.582000000000001</v>
      </c>
      <c r="M64" s="117">
        <f t="shared" si="22"/>
        <v>28.934000000000001</v>
      </c>
      <c r="N64" s="117">
        <f t="shared" si="22"/>
        <v>25.542000000000002</v>
      </c>
      <c r="O64" s="117">
        <f t="shared" si="22"/>
        <v>31.327999999999999</v>
      </c>
      <c r="P64" s="117">
        <f t="shared" ref="P64:T64" si="23">P29</f>
        <v>34</v>
      </c>
      <c r="Q64" s="117">
        <f t="shared" si="23"/>
        <v>32</v>
      </c>
      <c r="R64" s="117">
        <f t="shared" si="23"/>
        <v>30</v>
      </c>
      <c r="S64" s="117">
        <f t="shared" si="23"/>
        <v>28</v>
      </c>
      <c r="T64" s="117">
        <f t="shared" si="23"/>
        <v>26</v>
      </c>
      <c r="U64" s="117">
        <f t="shared" ref="U64:Y64" si="24">U29</f>
        <v>26</v>
      </c>
      <c r="V64" s="117">
        <f t="shared" si="24"/>
        <v>24</v>
      </c>
      <c r="W64" s="117">
        <f t="shared" si="24"/>
        <v>21</v>
      </c>
      <c r="X64" s="117">
        <f t="shared" si="24"/>
        <v>18</v>
      </c>
      <c r="Y64" s="117">
        <f t="shared" si="24"/>
        <v>15</v>
      </c>
      <c r="Z64" s="123"/>
      <c r="AA64" s="123"/>
      <c r="AB64" s="118"/>
    </row>
    <row r="65" spans="1:28" x14ac:dyDescent="0.35">
      <c r="B65" s="120">
        <f>B28</f>
        <v>18634</v>
      </c>
      <c r="C65" s="126">
        <v>510</v>
      </c>
      <c r="D65" s="34" t="s">
        <v>94</v>
      </c>
      <c r="E65" s="120">
        <f>E28</f>
        <v>18539</v>
      </c>
      <c r="F65" s="127">
        <v>602</v>
      </c>
      <c r="G65" s="34" t="str">
        <f>G28</f>
        <v>Delta Mendota Canal</v>
      </c>
      <c r="H65" s="116">
        <f t="shared" ref="H65:O65" si="25">H28+H30</f>
        <v>5102</v>
      </c>
      <c r="I65" s="117">
        <f t="shared" si="25"/>
        <v>5322</v>
      </c>
      <c r="J65" s="117">
        <f t="shared" si="25"/>
        <v>6149</v>
      </c>
      <c r="K65" s="116">
        <f t="shared" si="25"/>
        <v>4546</v>
      </c>
      <c r="L65" s="117">
        <f t="shared" si="25"/>
        <v>6466</v>
      </c>
      <c r="M65" s="117">
        <f t="shared" si="25"/>
        <v>7431</v>
      </c>
      <c r="N65" s="117">
        <f t="shared" si="25"/>
        <v>7190</v>
      </c>
      <c r="O65" s="117">
        <f t="shared" si="25"/>
        <v>6118</v>
      </c>
      <c r="P65" s="117">
        <f t="shared" ref="P65:T65" si="26">P28+P30</f>
        <v>6427</v>
      </c>
      <c r="Q65" s="117">
        <f t="shared" si="26"/>
        <v>5654</v>
      </c>
      <c r="R65" s="117">
        <f t="shared" si="26"/>
        <v>3141</v>
      </c>
      <c r="S65" s="117">
        <f t="shared" si="26"/>
        <v>3852</v>
      </c>
      <c r="T65" s="117">
        <f t="shared" si="26"/>
        <v>6575</v>
      </c>
      <c r="U65" s="117">
        <f t="shared" ref="U65:Y65" si="27">U28+U30</f>
        <v>6314</v>
      </c>
      <c r="V65" s="117">
        <f t="shared" si="27"/>
        <v>4377</v>
      </c>
      <c r="W65" s="117">
        <f t="shared" si="27"/>
        <v>3642</v>
      </c>
      <c r="X65" s="117">
        <f t="shared" si="27"/>
        <v>1991</v>
      </c>
      <c r="Y65" s="117">
        <f t="shared" si="27"/>
        <v>1835</v>
      </c>
      <c r="Z65" s="123"/>
      <c r="AA65" s="123"/>
      <c r="AB65" s="118"/>
    </row>
    <row r="66" spans="1:28" x14ac:dyDescent="0.35">
      <c r="B66" s="128">
        <f>B30</f>
        <v>18634</v>
      </c>
      <c r="C66" s="126"/>
      <c r="E66" s="128">
        <f>E30</f>
        <v>18539</v>
      </c>
      <c r="F66" s="127"/>
      <c r="G66" s="34" t="str">
        <f>G30</f>
        <v>California Aqueduct</v>
      </c>
      <c r="H66" s="116"/>
      <c r="I66" s="117"/>
      <c r="J66" s="117"/>
      <c r="K66" s="116"/>
      <c r="L66" s="117"/>
      <c r="M66" s="117"/>
      <c r="N66" s="117"/>
      <c r="O66" s="117"/>
      <c r="P66" s="117"/>
      <c r="Q66" s="117"/>
      <c r="R66" s="117"/>
      <c r="S66" s="117"/>
      <c r="T66" s="117"/>
      <c r="U66" s="117"/>
      <c r="V66" s="117"/>
      <c r="W66" s="117"/>
      <c r="X66" s="117"/>
      <c r="Y66" s="117"/>
      <c r="Z66" s="123"/>
      <c r="AA66" s="123"/>
      <c r="AB66" s="118"/>
    </row>
    <row r="67" spans="1:28" x14ac:dyDescent="0.35">
      <c r="B67" s="128"/>
      <c r="E67" s="128"/>
      <c r="G67" s="111" t="s">
        <v>92</v>
      </c>
      <c r="H67" s="121">
        <f t="shared" ref="H67:O67" si="28">SUM(H59:H65)</f>
        <v>5193.6000000000004</v>
      </c>
      <c r="I67" s="122">
        <f t="shared" si="28"/>
        <v>5584.06</v>
      </c>
      <c r="J67" s="122">
        <f t="shared" si="28"/>
        <v>6250.8</v>
      </c>
      <c r="K67" s="121">
        <f t="shared" si="28"/>
        <v>4657.1000000000004</v>
      </c>
      <c r="L67" s="122">
        <f t="shared" si="28"/>
        <v>6782.7920000000004</v>
      </c>
      <c r="M67" s="122">
        <f t="shared" si="28"/>
        <v>7685.7479999999996</v>
      </c>
      <c r="N67" s="122">
        <f t="shared" si="28"/>
        <v>7482.3230000000003</v>
      </c>
      <c r="O67" s="122">
        <f t="shared" si="28"/>
        <v>6379.9920000000002</v>
      </c>
      <c r="P67" s="122">
        <f t="shared" ref="P67:T67" si="29">SUM(P59:P65)</f>
        <v>6676</v>
      </c>
      <c r="Q67" s="122">
        <f t="shared" si="29"/>
        <v>5958</v>
      </c>
      <c r="R67" s="122">
        <f t="shared" si="29"/>
        <v>3453</v>
      </c>
      <c r="S67" s="122">
        <f t="shared" si="29"/>
        <v>4129</v>
      </c>
      <c r="T67" s="122">
        <f t="shared" si="29"/>
        <v>6824.35</v>
      </c>
      <c r="U67" s="122">
        <f t="shared" ref="U67:Y67" si="30">SUM(U59:U65)</f>
        <v>6561.94</v>
      </c>
      <c r="V67" s="122">
        <f t="shared" si="30"/>
        <v>4634.59</v>
      </c>
      <c r="W67" s="122">
        <f t="shared" si="30"/>
        <v>3933.07</v>
      </c>
      <c r="X67" s="122">
        <f t="shared" si="30"/>
        <v>2241.6025119801971</v>
      </c>
      <c r="Y67" s="122">
        <f t="shared" si="30"/>
        <v>2075.5180161192402</v>
      </c>
      <c r="Z67" s="118"/>
      <c r="AA67" s="118"/>
      <c r="AB67" s="118"/>
    </row>
    <row r="68" spans="1:28" x14ac:dyDescent="0.35">
      <c r="A68" s="34" t="s">
        <v>95</v>
      </c>
      <c r="B68" s="128"/>
      <c r="E68" s="128"/>
      <c r="H68" s="116"/>
      <c r="I68" s="117"/>
      <c r="J68" s="117"/>
      <c r="K68" s="116"/>
      <c r="L68" s="117"/>
      <c r="M68" s="117"/>
      <c r="N68" s="117"/>
      <c r="O68" s="117"/>
      <c r="P68" s="117"/>
      <c r="Q68" s="117"/>
      <c r="R68" s="117"/>
      <c r="S68" s="117"/>
      <c r="T68" s="117"/>
      <c r="U68" s="117"/>
      <c r="V68" s="117"/>
      <c r="W68" s="117"/>
      <c r="X68" s="117"/>
      <c r="Y68" s="117"/>
      <c r="Z68" s="118"/>
      <c r="AA68" s="118"/>
      <c r="AB68" s="118"/>
    </row>
    <row r="69" spans="1:28" x14ac:dyDescent="0.35">
      <c r="B69" s="129" t="str">
        <f>B17</f>
        <v>06243</v>
      </c>
      <c r="C69" s="34">
        <v>301</v>
      </c>
      <c r="D69" s="34" t="s">
        <v>90</v>
      </c>
      <c r="E69" s="129" t="str">
        <f>E17</f>
        <v>04443</v>
      </c>
      <c r="F69" s="34">
        <v>202</v>
      </c>
      <c r="G69" s="122" t="str">
        <f t="shared" ref="G69" si="31">G17</f>
        <v>San Felipe Unit CVP</v>
      </c>
      <c r="H69" s="121">
        <f t="shared" ref="H69:O69" si="32">H17</f>
        <v>65.8</v>
      </c>
      <c r="I69" s="122">
        <f t="shared" si="32"/>
        <v>118.1</v>
      </c>
      <c r="J69" s="122">
        <f t="shared" si="32"/>
        <v>88.9</v>
      </c>
      <c r="K69" s="121">
        <f t="shared" si="32"/>
        <v>132.69999999999999</v>
      </c>
      <c r="L69" s="122">
        <f t="shared" si="32"/>
        <v>126.9</v>
      </c>
      <c r="M69" s="122">
        <f t="shared" si="32"/>
        <v>109.8</v>
      </c>
      <c r="N69" s="122">
        <f t="shared" si="32"/>
        <v>135.1</v>
      </c>
      <c r="O69" s="122">
        <f t="shared" si="32"/>
        <v>88.1</v>
      </c>
      <c r="P69" s="122">
        <f t="shared" ref="P69:T69" si="33">P17</f>
        <v>64</v>
      </c>
      <c r="Q69" s="122">
        <f t="shared" si="33"/>
        <v>145</v>
      </c>
      <c r="R69" s="122">
        <f t="shared" si="33"/>
        <v>98</v>
      </c>
      <c r="S69" s="122">
        <f t="shared" si="33"/>
        <v>103</v>
      </c>
      <c r="T69" s="122">
        <f t="shared" si="33"/>
        <v>82</v>
      </c>
      <c r="U69" s="122">
        <f t="shared" ref="U69:Y69" si="34">U17</f>
        <v>67</v>
      </c>
      <c r="V69" s="122">
        <f t="shared" si="34"/>
        <v>141</v>
      </c>
      <c r="W69" s="122">
        <f t="shared" si="34"/>
        <v>121</v>
      </c>
      <c r="X69" s="122">
        <f t="shared" si="34"/>
        <v>82</v>
      </c>
      <c r="Y69" s="122">
        <f t="shared" si="34"/>
        <v>45</v>
      </c>
      <c r="Z69" s="118"/>
      <c r="AA69" s="118"/>
      <c r="AB69" s="118"/>
    </row>
    <row r="70" spans="1:28" x14ac:dyDescent="0.35">
      <c r="A70" s="34" t="s">
        <v>38</v>
      </c>
      <c r="B70" s="128"/>
      <c r="E70" s="128"/>
      <c r="H70" s="116"/>
      <c r="I70" s="117"/>
      <c r="J70" s="117"/>
      <c r="K70" s="116"/>
      <c r="L70" s="117"/>
      <c r="M70" s="117"/>
      <c r="N70" s="117"/>
      <c r="O70" s="117"/>
      <c r="P70" s="117"/>
      <c r="Q70" s="117"/>
      <c r="R70" s="117"/>
      <c r="S70" s="117"/>
      <c r="T70" s="117"/>
      <c r="U70" s="117"/>
      <c r="V70" s="117"/>
      <c r="W70" s="117"/>
      <c r="X70" s="117"/>
      <c r="Y70" s="117"/>
      <c r="Z70" s="118"/>
      <c r="AA70" s="118"/>
      <c r="AB70" s="118"/>
    </row>
    <row r="71" spans="1:28" x14ac:dyDescent="0.35">
      <c r="B71" s="128">
        <f>B12</f>
        <v>19207</v>
      </c>
      <c r="C71" s="34">
        <v>601</v>
      </c>
      <c r="D71" s="34" t="s">
        <v>90</v>
      </c>
      <c r="E71" s="130" t="str">
        <f>E12</f>
        <v>04607</v>
      </c>
      <c r="F71" s="34">
        <v>202</v>
      </c>
      <c r="G71" s="34" t="str">
        <f>G12</f>
        <v>Contra Costa Canal</v>
      </c>
      <c r="H71" s="116">
        <f>SUM(H12:H15)</f>
        <v>894</v>
      </c>
      <c r="I71" s="117">
        <f t="shared" ref="I71:O71" si="35">SUM(I12:I15)</f>
        <v>738</v>
      </c>
      <c r="J71" s="117">
        <f t="shared" si="35"/>
        <v>688</v>
      </c>
      <c r="K71" s="116">
        <f t="shared" si="35"/>
        <v>485</v>
      </c>
      <c r="L71" s="117">
        <f t="shared" si="35"/>
        <v>551.92499999999995</v>
      </c>
      <c r="M71" s="117">
        <f t="shared" si="35"/>
        <v>739</v>
      </c>
      <c r="N71" s="117">
        <f t="shared" si="35"/>
        <v>579</v>
      </c>
      <c r="O71" s="117">
        <f t="shared" si="35"/>
        <v>946</v>
      </c>
      <c r="P71" s="117">
        <f t="shared" ref="P71:T71" si="36">SUM(P12:P15)</f>
        <v>1165.8</v>
      </c>
      <c r="Q71" s="117">
        <f t="shared" si="36"/>
        <v>653.4</v>
      </c>
      <c r="R71" s="117">
        <f t="shared" si="36"/>
        <v>616.6</v>
      </c>
      <c r="S71" s="117">
        <f t="shared" si="36"/>
        <v>852.7</v>
      </c>
      <c r="T71" s="117">
        <f t="shared" si="36"/>
        <v>831</v>
      </c>
      <c r="U71" s="117">
        <f t="shared" ref="U71:Y71" si="37">SUM(U12:U15)</f>
        <v>954.8</v>
      </c>
      <c r="V71" s="117">
        <f t="shared" si="37"/>
        <v>506.9</v>
      </c>
      <c r="W71" s="117">
        <f t="shared" si="37"/>
        <v>480.3</v>
      </c>
      <c r="X71" s="117">
        <f t="shared" si="37"/>
        <v>363.8</v>
      </c>
      <c r="Y71" s="117">
        <f t="shared" si="37"/>
        <v>349.8</v>
      </c>
      <c r="Z71" s="118"/>
      <c r="AA71" s="118"/>
      <c r="AB71" s="118"/>
    </row>
    <row r="72" spans="1:28" x14ac:dyDescent="0.35">
      <c r="B72" s="128">
        <f>B13</f>
        <v>19207</v>
      </c>
      <c r="E72" s="130" t="str">
        <f>E13</f>
        <v>04607</v>
      </c>
      <c r="G72" s="34" t="str">
        <f>G13</f>
        <v>Mokelumne Aqueduct</v>
      </c>
      <c r="H72" s="116"/>
      <c r="I72" s="117"/>
      <c r="J72" s="117"/>
      <c r="K72" s="116"/>
      <c r="L72" s="117"/>
      <c r="M72" s="117"/>
      <c r="N72" s="117"/>
      <c r="O72" s="117"/>
      <c r="P72" s="117"/>
      <c r="Q72" s="117"/>
      <c r="R72" s="117"/>
      <c r="S72" s="117"/>
      <c r="T72" s="117"/>
      <c r="U72" s="117"/>
      <c r="V72" s="117"/>
      <c r="W72" s="117"/>
      <c r="X72" s="117"/>
      <c r="Y72" s="117"/>
      <c r="Z72" s="118"/>
      <c r="AA72" s="118"/>
      <c r="AB72" s="118"/>
    </row>
    <row r="73" spans="1:28" x14ac:dyDescent="0.35">
      <c r="B73" s="128">
        <f>B14</f>
        <v>19207</v>
      </c>
      <c r="E73" s="130" t="str">
        <f>E14</f>
        <v>04607</v>
      </c>
      <c r="G73" s="34" t="str">
        <f>G14</f>
        <v>Hetch Hetchy Aqueduct</v>
      </c>
      <c r="H73" s="116"/>
      <c r="I73" s="117"/>
      <c r="J73" s="117"/>
      <c r="K73" s="116"/>
      <c r="L73" s="117"/>
      <c r="M73" s="117"/>
      <c r="N73" s="117"/>
      <c r="O73" s="117"/>
      <c r="P73" s="117"/>
      <c r="Q73" s="117"/>
      <c r="R73" s="117"/>
      <c r="S73" s="117"/>
      <c r="T73" s="117"/>
      <c r="U73" s="117"/>
      <c r="V73" s="117"/>
      <c r="W73" s="117"/>
      <c r="X73" s="117"/>
      <c r="Y73" s="117"/>
      <c r="Z73" s="118"/>
      <c r="AA73" s="118"/>
      <c r="AB73" s="118"/>
    </row>
    <row r="74" spans="1:28" x14ac:dyDescent="0.35">
      <c r="B74" s="128">
        <f>B15</f>
        <v>19207</v>
      </c>
      <c r="E74" s="130" t="str">
        <f>E15</f>
        <v>04607</v>
      </c>
      <c r="G74" s="34" t="str">
        <f>G15</f>
        <v>South Bay Aqueduct (SWP)</v>
      </c>
      <c r="H74" s="116"/>
      <c r="I74" s="117"/>
      <c r="J74" s="117"/>
      <c r="K74" s="116"/>
      <c r="L74" s="117"/>
      <c r="M74" s="117"/>
      <c r="N74" s="117"/>
      <c r="O74" s="117"/>
      <c r="P74" s="117"/>
      <c r="Q74" s="117"/>
      <c r="R74" s="117"/>
      <c r="S74" s="117"/>
      <c r="T74" s="117"/>
      <c r="U74" s="117"/>
      <c r="V74" s="117"/>
      <c r="W74" s="117"/>
      <c r="X74" s="117"/>
      <c r="Y74" s="117"/>
      <c r="Z74" s="118"/>
      <c r="AA74" s="118"/>
      <c r="AB74" s="118"/>
    </row>
    <row r="75" spans="1:28" x14ac:dyDescent="0.35">
      <c r="B75" s="120">
        <f>B16</f>
        <v>22024</v>
      </c>
      <c r="C75" s="34">
        <v>605</v>
      </c>
      <c r="D75" s="34" t="s">
        <v>95</v>
      </c>
      <c r="E75" s="124" t="str">
        <f>E16</f>
        <v>06343</v>
      </c>
      <c r="F75" s="34">
        <v>301</v>
      </c>
      <c r="G75" s="116" t="str">
        <f>G16</f>
        <v>San Felipe Unit CVP</v>
      </c>
      <c r="H75" s="116">
        <f t="shared" ref="H75:O75" si="38">H16</f>
        <v>83.4</v>
      </c>
      <c r="I75" s="117">
        <f t="shared" si="38"/>
        <v>139.5</v>
      </c>
      <c r="J75" s="117">
        <f t="shared" si="38"/>
        <v>112.8</v>
      </c>
      <c r="K75" s="116">
        <f t="shared" si="38"/>
        <v>152.30000000000001</v>
      </c>
      <c r="L75" s="117">
        <f t="shared" si="38"/>
        <v>150.6</v>
      </c>
      <c r="M75" s="117">
        <f t="shared" si="38"/>
        <v>134.1</v>
      </c>
      <c r="N75" s="117">
        <f t="shared" si="38"/>
        <v>164.2</v>
      </c>
      <c r="O75" s="117">
        <f t="shared" si="38"/>
        <v>110.2</v>
      </c>
      <c r="P75" s="117">
        <f t="shared" ref="P75:T75" si="39">P16</f>
        <v>91</v>
      </c>
      <c r="Q75" s="117">
        <f t="shared" si="39"/>
        <v>169</v>
      </c>
      <c r="R75" s="117">
        <f t="shared" si="39"/>
        <v>120</v>
      </c>
      <c r="S75" s="117">
        <f t="shared" si="39"/>
        <v>114</v>
      </c>
      <c r="T75" s="117">
        <f t="shared" si="39"/>
        <v>95</v>
      </c>
      <c r="U75" s="117">
        <f t="shared" ref="U75:Y75" si="40">U16</f>
        <v>86</v>
      </c>
      <c r="V75" s="117">
        <f t="shared" si="40"/>
        <v>162</v>
      </c>
      <c r="W75" s="117">
        <f t="shared" si="40"/>
        <v>140</v>
      </c>
      <c r="X75" s="117">
        <f t="shared" si="40"/>
        <v>90</v>
      </c>
      <c r="Y75" s="117">
        <f t="shared" si="40"/>
        <v>51</v>
      </c>
      <c r="Z75" s="118"/>
      <c r="AA75" s="118"/>
      <c r="AB75" s="118"/>
    </row>
    <row r="76" spans="1:28" x14ac:dyDescent="0.35">
      <c r="B76" s="120">
        <f>B27</f>
        <v>17609</v>
      </c>
      <c r="C76" s="34">
        <v>604</v>
      </c>
      <c r="D76" s="34" t="s">
        <v>89</v>
      </c>
      <c r="E76" s="120">
        <f>E27</f>
        <v>15809</v>
      </c>
      <c r="F76" s="34">
        <v>508</v>
      </c>
      <c r="G76" s="116" t="str">
        <f>G27</f>
        <v>Sly Park</v>
      </c>
      <c r="H76" s="116">
        <f>H27+H26</f>
        <v>44.7</v>
      </c>
      <c r="I76" s="117">
        <f t="shared" ref="I76:O76" si="41">I27+I26</f>
        <v>22.972999999999999</v>
      </c>
      <c r="J76" s="117">
        <f t="shared" si="41"/>
        <v>34.799999999999997</v>
      </c>
      <c r="K76" s="116">
        <f t="shared" si="41"/>
        <v>27.9</v>
      </c>
      <c r="L76" s="117">
        <f t="shared" si="41"/>
        <v>30.501000000000001</v>
      </c>
      <c r="M76" s="117">
        <f t="shared" si="41"/>
        <v>28.245000000000001</v>
      </c>
      <c r="N76" s="117">
        <f t="shared" si="41"/>
        <v>23</v>
      </c>
      <c r="O76" s="116">
        <f t="shared" si="41"/>
        <v>52</v>
      </c>
      <c r="P76" s="116">
        <f t="shared" ref="P76:T76" si="42">P27+P26</f>
        <v>25</v>
      </c>
      <c r="Q76" s="116">
        <f t="shared" si="42"/>
        <v>24</v>
      </c>
      <c r="R76" s="116">
        <f t="shared" si="42"/>
        <v>17</v>
      </c>
      <c r="S76" s="116">
        <f t="shared" si="42"/>
        <v>14</v>
      </c>
      <c r="T76" s="116">
        <f t="shared" si="42"/>
        <v>18</v>
      </c>
      <c r="U76" s="116">
        <f t="shared" ref="U76:Y76" si="43">U27+U26</f>
        <v>20.6</v>
      </c>
      <c r="V76" s="116">
        <f t="shared" si="43"/>
        <v>24.7</v>
      </c>
      <c r="W76" s="116">
        <f t="shared" si="43"/>
        <v>18.02</v>
      </c>
      <c r="X76" s="116">
        <f t="shared" si="43"/>
        <v>10.79</v>
      </c>
      <c r="Y76" s="116">
        <f t="shared" si="43"/>
        <v>10.74</v>
      </c>
      <c r="Z76" s="123"/>
      <c r="AA76" s="118"/>
      <c r="AB76" s="118"/>
    </row>
    <row r="77" spans="1:28" x14ac:dyDescent="0.35">
      <c r="B77" s="120">
        <f>B26</f>
        <v>17609</v>
      </c>
      <c r="E77" s="120">
        <f>E26</f>
        <v>15809</v>
      </c>
      <c r="G77" s="116" t="str">
        <f>G26</f>
        <v>Crawford Ditch</v>
      </c>
      <c r="H77" s="116"/>
      <c r="I77" s="117"/>
      <c r="J77" s="117"/>
      <c r="K77" s="116"/>
      <c r="L77" s="117"/>
      <c r="M77" s="117"/>
      <c r="N77" s="117"/>
      <c r="O77" s="117"/>
      <c r="P77" s="117"/>
      <c r="Q77" s="117"/>
      <c r="R77" s="117"/>
      <c r="S77" s="117"/>
      <c r="T77" s="117"/>
      <c r="U77" s="117"/>
      <c r="V77" s="117"/>
      <c r="W77" s="117"/>
      <c r="X77" s="117"/>
      <c r="Y77" s="117"/>
      <c r="Z77" s="123"/>
      <c r="AA77" s="118"/>
      <c r="AB77" s="118"/>
    </row>
    <row r="78" spans="1:28" x14ac:dyDescent="0.35">
      <c r="B78" s="120">
        <f>B36</f>
        <v>18539</v>
      </c>
      <c r="C78" s="34">
        <v>602</v>
      </c>
      <c r="D78" s="34" t="s">
        <v>89</v>
      </c>
      <c r="E78" s="120">
        <f>E36</f>
        <v>18634</v>
      </c>
      <c r="F78" s="34">
        <v>510</v>
      </c>
      <c r="G78" s="116" t="str">
        <f t="shared" ref="G78:O78" si="44">G36</f>
        <v xml:space="preserve">San Joaquin River </v>
      </c>
      <c r="H78" s="116">
        <f t="shared" si="44"/>
        <v>8491</v>
      </c>
      <c r="I78" s="117">
        <f>I36</f>
        <v>3570</v>
      </c>
      <c r="J78" s="117">
        <f>J36</f>
        <v>2846</v>
      </c>
      <c r="K78" s="116">
        <f>K36</f>
        <v>1732</v>
      </c>
      <c r="L78" s="117">
        <f t="shared" si="44"/>
        <v>1397</v>
      </c>
      <c r="M78" s="117">
        <f t="shared" si="44"/>
        <v>1366</v>
      </c>
      <c r="N78" s="117">
        <f t="shared" si="44"/>
        <v>1370</v>
      </c>
      <c r="O78" s="117">
        <f t="shared" si="44"/>
        <v>3790</v>
      </c>
      <c r="P78" s="117">
        <f t="shared" ref="P78:T78" si="45">P36</f>
        <v>7353</v>
      </c>
      <c r="Q78" s="117">
        <f t="shared" si="45"/>
        <v>1596</v>
      </c>
      <c r="R78" s="117">
        <f t="shared" si="45"/>
        <v>1234</v>
      </c>
      <c r="S78" s="117">
        <f t="shared" si="45"/>
        <v>865</v>
      </c>
      <c r="T78" s="117">
        <f t="shared" si="45"/>
        <v>1897</v>
      </c>
      <c r="U78" s="117">
        <f t="shared" ref="U78:Y78" si="46">U36</f>
        <v>6829</v>
      </c>
      <c r="V78" s="117">
        <f t="shared" si="46"/>
        <v>1478</v>
      </c>
      <c r="W78" s="117">
        <f t="shared" si="46"/>
        <v>1071</v>
      </c>
      <c r="X78" s="117">
        <f t="shared" si="46"/>
        <v>630</v>
      </c>
      <c r="Y78" s="117">
        <f t="shared" si="46"/>
        <v>422</v>
      </c>
      <c r="Z78" s="123"/>
      <c r="AA78" s="118"/>
      <c r="AB78" s="118"/>
    </row>
    <row r="79" spans="1:28" x14ac:dyDescent="0.35">
      <c r="B79" s="128">
        <f>B31</f>
        <v>21610</v>
      </c>
      <c r="C79" s="34">
        <v>606</v>
      </c>
      <c r="D79" s="34" t="s">
        <v>96</v>
      </c>
      <c r="E79" s="128">
        <f>E31</f>
        <v>24410</v>
      </c>
      <c r="F79" s="34">
        <v>702</v>
      </c>
      <c r="G79" s="34" t="str">
        <f>G31</f>
        <v>California Aqueduct (SWP)</v>
      </c>
      <c r="H79" s="116">
        <f>SUM(H31:H32, H34)</f>
        <v>2909</v>
      </c>
      <c r="I79" s="117">
        <f t="shared" ref="I79:O79" si="47">SUM(I31:I32, I34)</f>
        <v>3531.4</v>
      </c>
      <c r="J79" s="117">
        <f t="shared" si="47"/>
        <v>4308</v>
      </c>
      <c r="K79" s="116">
        <f t="shared" si="47"/>
        <v>2856</v>
      </c>
      <c r="L79" s="117">
        <f t="shared" si="47"/>
        <v>3347.6</v>
      </c>
      <c r="M79" s="117">
        <f t="shared" si="47"/>
        <v>4011.1</v>
      </c>
      <c r="N79" s="117">
        <f t="shared" si="47"/>
        <v>3882.1</v>
      </c>
      <c r="O79" s="117">
        <f t="shared" si="47"/>
        <v>4317.3999999999996</v>
      </c>
      <c r="P79" s="117">
        <f t="shared" ref="P79:T79" si="48">SUM(P31:P32, P34)</f>
        <v>4499</v>
      </c>
      <c r="Q79" s="117">
        <f t="shared" si="48"/>
        <v>3694</v>
      </c>
      <c r="R79" s="117">
        <f t="shared" si="48"/>
        <v>2030</v>
      </c>
      <c r="S79" s="117">
        <f t="shared" si="48"/>
        <v>1779</v>
      </c>
      <c r="T79" s="117">
        <f t="shared" si="48"/>
        <v>3103</v>
      </c>
      <c r="U79" s="117">
        <f t="shared" ref="U79:Y79" si="49">SUM(U31:U32, U34)</f>
        <v>4581</v>
      </c>
      <c r="V79" s="117">
        <f t="shared" si="49"/>
        <v>3663</v>
      </c>
      <c r="W79" s="117">
        <f t="shared" si="49"/>
        <v>2304</v>
      </c>
      <c r="X79" s="117">
        <f t="shared" si="49"/>
        <v>816</v>
      </c>
      <c r="Y79" s="117">
        <f t="shared" si="49"/>
        <v>1018.2</v>
      </c>
      <c r="Z79" s="123"/>
      <c r="AA79" s="118"/>
      <c r="AB79" s="118"/>
    </row>
    <row r="80" spans="1:28" x14ac:dyDescent="0.35">
      <c r="B80" s="128">
        <f>B32</f>
        <v>21610</v>
      </c>
      <c r="E80" s="128">
        <f>E32</f>
        <v>24410</v>
      </c>
      <c r="G80" s="34" t="str">
        <f>G32</f>
        <v>San Luis Unit (CVP)</v>
      </c>
      <c r="H80" s="116"/>
      <c r="I80" s="117"/>
      <c r="J80" s="117"/>
      <c r="K80" s="116"/>
      <c r="L80" s="117"/>
      <c r="M80" s="117"/>
      <c r="N80" s="117"/>
      <c r="O80" s="117"/>
      <c r="P80" s="117"/>
      <c r="Q80" s="117"/>
      <c r="R80" s="117"/>
      <c r="S80" s="117"/>
      <c r="T80" s="117"/>
      <c r="U80" s="117"/>
      <c r="V80" s="117"/>
      <c r="W80" s="117"/>
      <c r="X80" s="117"/>
      <c r="Y80" s="117"/>
      <c r="Z80" s="123"/>
      <c r="AA80" s="118"/>
      <c r="AB80" s="118"/>
    </row>
    <row r="81" spans="1:28" x14ac:dyDescent="0.35">
      <c r="B81" s="128">
        <f>B34</f>
        <v>21610</v>
      </c>
      <c r="E81" s="128">
        <f>E34</f>
        <v>24410</v>
      </c>
      <c r="G81" s="34" t="str">
        <f>G34</f>
        <v>Cross Valley Canal</v>
      </c>
      <c r="H81" s="116"/>
      <c r="I81" s="117"/>
      <c r="J81" s="117"/>
      <c r="K81" s="116"/>
      <c r="L81" s="117"/>
      <c r="M81" s="117"/>
      <c r="N81" s="117"/>
      <c r="O81" s="117"/>
      <c r="P81" s="117"/>
      <c r="Q81" s="117"/>
      <c r="R81" s="117"/>
      <c r="S81" s="117"/>
      <c r="T81" s="117"/>
      <c r="U81" s="117"/>
      <c r="V81" s="117"/>
      <c r="W81" s="117"/>
      <c r="X81" s="117"/>
      <c r="Y81" s="117"/>
      <c r="Z81" s="123"/>
      <c r="AA81" s="118"/>
      <c r="AB81" s="118"/>
    </row>
    <row r="82" spans="1:28" x14ac:dyDescent="0.35">
      <c r="B82" s="128">
        <f>B33</f>
        <v>21610</v>
      </c>
      <c r="E82" s="128">
        <f>E33</f>
        <v>23510</v>
      </c>
      <c r="F82" s="34">
        <v>703</v>
      </c>
      <c r="G82" s="34" t="str">
        <f t="shared" ref="G82:O82" si="50">G33</f>
        <v>DMC-Mendota Pool</v>
      </c>
      <c r="H82" s="116">
        <f t="shared" si="50"/>
        <v>43</v>
      </c>
      <c r="I82" s="117">
        <f t="shared" si="50"/>
        <v>134.5</v>
      </c>
      <c r="J82" s="117">
        <f t="shared" si="50"/>
        <v>106</v>
      </c>
      <c r="K82" s="116">
        <f t="shared" si="50"/>
        <v>105</v>
      </c>
      <c r="L82" s="117">
        <f t="shared" si="50"/>
        <v>130.69999999999999</v>
      </c>
      <c r="M82" s="117">
        <f t="shared" si="50"/>
        <v>158.30000000000001</v>
      </c>
      <c r="N82" s="117">
        <f t="shared" si="50"/>
        <v>151.69999999999999</v>
      </c>
      <c r="O82" s="117">
        <f t="shared" si="50"/>
        <v>128.5</v>
      </c>
      <c r="P82" s="117">
        <f t="shared" ref="P82:T82" si="51">P33</f>
        <v>145</v>
      </c>
      <c r="Q82" s="117">
        <f t="shared" si="51"/>
        <v>126</v>
      </c>
      <c r="R82" s="117">
        <f t="shared" si="51"/>
        <v>88</v>
      </c>
      <c r="S82" s="117">
        <f t="shared" si="51"/>
        <v>80</v>
      </c>
      <c r="T82" s="117">
        <f t="shared" si="51"/>
        <v>86</v>
      </c>
      <c r="U82" s="117">
        <f t="shared" ref="U82:Y82" si="52">U33</f>
        <v>114</v>
      </c>
      <c r="V82" s="117">
        <f t="shared" si="52"/>
        <v>103</v>
      </c>
      <c r="W82" s="117">
        <f t="shared" si="52"/>
        <v>98</v>
      </c>
      <c r="X82" s="117">
        <f t="shared" si="52"/>
        <v>77</v>
      </c>
      <c r="Y82" s="117">
        <f t="shared" si="52"/>
        <v>75</v>
      </c>
      <c r="Z82" s="123"/>
      <c r="AA82" s="118"/>
      <c r="AB82" s="118"/>
    </row>
    <row r="83" spans="1:28" x14ac:dyDescent="0.35">
      <c r="B83" s="120">
        <f>B35</f>
        <v>20410</v>
      </c>
      <c r="C83" s="34">
        <v>610</v>
      </c>
      <c r="D83" s="34" t="s">
        <v>96</v>
      </c>
      <c r="E83" s="120">
        <f>E35</f>
        <v>22110</v>
      </c>
      <c r="F83" s="34">
        <v>707</v>
      </c>
      <c r="G83" s="110" t="s">
        <v>37</v>
      </c>
      <c r="H83" s="116">
        <f t="shared" ref="H83:O83" si="53">H35</f>
        <v>764</v>
      </c>
      <c r="I83" s="117">
        <f t="shared" si="53"/>
        <v>1151.3</v>
      </c>
      <c r="J83" s="117">
        <f t="shared" si="53"/>
        <v>1212</v>
      </c>
      <c r="K83" s="116">
        <f t="shared" si="53"/>
        <v>735</v>
      </c>
      <c r="L83" s="117">
        <f t="shared" si="53"/>
        <v>759.6</v>
      </c>
      <c r="M83" s="117">
        <f t="shared" si="53"/>
        <v>1005.1</v>
      </c>
      <c r="N83" s="117">
        <f t="shared" si="53"/>
        <v>782.2</v>
      </c>
      <c r="O83" s="117">
        <f t="shared" si="53"/>
        <v>1650</v>
      </c>
      <c r="P83" s="117">
        <f t="shared" ref="P83:T83" si="54">P35</f>
        <v>1300</v>
      </c>
      <c r="Q83" s="117">
        <f t="shared" si="54"/>
        <v>614</v>
      </c>
      <c r="R83" s="117">
        <f t="shared" si="54"/>
        <v>682</v>
      </c>
      <c r="S83" s="117">
        <f t="shared" si="54"/>
        <v>845</v>
      </c>
      <c r="T83" s="117">
        <f t="shared" si="54"/>
        <v>1267</v>
      </c>
      <c r="U83" s="117">
        <f t="shared" ref="U83:Y83" si="55">U35</f>
        <v>1319</v>
      </c>
      <c r="V83" s="117">
        <f t="shared" si="55"/>
        <v>784</v>
      </c>
      <c r="W83" s="117">
        <f t="shared" si="55"/>
        <v>455</v>
      </c>
      <c r="X83" s="117">
        <f t="shared" si="55"/>
        <v>240</v>
      </c>
      <c r="Y83" s="117">
        <f t="shared" si="55"/>
        <v>93</v>
      </c>
      <c r="Z83" s="123"/>
      <c r="AA83" s="118"/>
      <c r="AB83" s="118"/>
    </row>
    <row r="84" spans="1:28" x14ac:dyDescent="0.35">
      <c r="B84" s="128"/>
      <c r="E84" s="128"/>
      <c r="G84" s="111" t="s">
        <v>92</v>
      </c>
      <c r="H84" s="121">
        <f t="shared" ref="H84:O84" si="56">SUM(H71:H83)</f>
        <v>13229.1</v>
      </c>
      <c r="I84" s="122">
        <f t="shared" si="56"/>
        <v>9287.6729999999989</v>
      </c>
      <c r="J84" s="122">
        <f t="shared" si="56"/>
        <v>9307.6</v>
      </c>
      <c r="K84" s="121">
        <f t="shared" si="56"/>
        <v>6093.2</v>
      </c>
      <c r="L84" s="122">
        <f t="shared" si="56"/>
        <v>6367.9260000000004</v>
      </c>
      <c r="M84" s="122">
        <f t="shared" si="56"/>
        <v>7441.8450000000003</v>
      </c>
      <c r="N84" s="122">
        <f t="shared" si="56"/>
        <v>6952.1999999999989</v>
      </c>
      <c r="O84" s="122">
        <f t="shared" si="56"/>
        <v>10994.099999999999</v>
      </c>
      <c r="P84" s="122">
        <f t="shared" ref="P84:T84" si="57">SUM(P71:P83)</f>
        <v>14578.8</v>
      </c>
      <c r="Q84" s="122">
        <f t="shared" si="57"/>
        <v>6876.4</v>
      </c>
      <c r="R84" s="122">
        <f t="shared" si="57"/>
        <v>4787.6000000000004</v>
      </c>
      <c r="S84" s="122">
        <f t="shared" si="57"/>
        <v>4549.7</v>
      </c>
      <c r="T84" s="122">
        <f t="shared" si="57"/>
        <v>7297</v>
      </c>
      <c r="U84" s="122">
        <f t="shared" ref="U84:Y84" si="58">SUM(U71:U83)</f>
        <v>13904.4</v>
      </c>
      <c r="V84" s="122">
        <f t="shared" si="58"/>
        <v>6721.6</v>
      </c>
      <c r="W84" s="122">
        <f t="shared" si="58"/>
        <v>4566.32</v>
      </c>
      <c r="X84" s="122">
        <f t="shared" si="58"/>
        <v>2227.59</v>
      </c>
      <c r="Y84" s="122">
        <f t="shared" si="58"/>
        <v>2019.74</v>
      </c>
      <c r="Z84" s="118"/>
      <c r="AA84" s="118"/>
      <c r="AB84" s="118"/>
    </row>
    <row r="85" spans="1:28" x14ac:dyDescent="0.35">
      <c r="A85" s="34" t="s">
        <v>96</v>
      </c>
      <c r="B85" s="128"/>
      <c r="E85" s="128"/>
      <c r="H85" s="116"/>
      <c r="I85" s="117"/>
      <c r="J85" s="117"/>
      <c r="K85" s="116"/>
      <c r="L85" s="117"/>
      <c r="M85" s="117"/>
      <c r="N85" s="117"/>
      <c r="O85" s="117"/>
      <c r="P85" s="117"/>
      <c r="Q85" s="117"/>
      <c r="R85" s="117"/>
      <c r="S85" s="117"/>
      <c r="T85" s="117"/>
      <c r="U85" s="117"/>
      <c r="V85" s="117"/>
      <c r="W85" s="117"/>
      <c r="X85" s="117"/>
      <c r="Y85" s="117"/>
      <c r="Z85" s="118"/>
      <c r="AA85" s="118"/>
      <c r="AB85" s="118"/>
    </row>
    <row r="86" spans="1:28" x14ac:dyDescent="0.35">
      <c r="B86" s="120">
        <f>B18</f>
        <v>25316</v>
      </c>
      <c r="C86" s="34">
        <v>701</v>
      </c>
      <c r="D86" s="34" t="s">
        <v>95</v>
      </c>
      <c r="E86" s="124" t="str">
        <f t="shared" ref="E86:O86" si="59">E18</f>
        <v>06540</v>
      </c>
      <c r="F86" s="34">
        <v>302</v>
      </c>
      <c r="G86" s="116" t="str">
        <f t="shared" si="59"/>
        <v>Coastal Branch Ca Aqueduct (SWP)</v>
      </c>
      <c r="H86" s="116">
        <f t="shared" si="59"/>
        <v>22.200000000000003</v>
      </c>
      <c r="I86" s="117">
        <f>I18</f>
        <v>23.8</v>
      </c>
      <c r="J86" s="117">
        <f>J18</f>
        <v>26.7</v>
      </c>
      <c r="K86" s="116">
        <f>K18</f>
        <v>23.2</v>
      </c>
      <c r="L86" s="117">
        <f t="shared" si="59"/>
        <v>32</v>
      </c>
      <c r="M86" s="117">
        <f t="shared" si="59"/>
        <v>31.5</v>
      </c>
      <c r="N86" s="117">
        <f t="shared" si="59"/>
        <v>33.9</v>
      </c>
      <c r="O86" s="117">
        <f t="shared" si="59"/>
        <v>27.6</v>
      </c>
      <c r="P86" s="117">
        <f t="shared" ref="P86:T86" si="60">P18</f>
        <v>27.5</v>
      </c>
      <c r="Q86" s="117">
        <f t="shared" si="60"/>
        <v>31.5</v>
      </c>
      <c r="R86" s="117">
        <f t="shared" si="60"/>
        <v>21.799999999999997</v>
      </c>
      <c r="S86" s="117">
        <f t="shared" si="60"/>
        <v>19.3</v>
      </c>
      <c r="T86" s="117">
        <f t="shared" si="60"/>
        <v>21.6</v>
      </c>
      <c r="U86" s="117">
        <f t="shared" ref="U86:Y86" si="61">U18</f>
        <v>24.900000000000002</v>
      </c>
      <c r="V86" s="117">
        <f t="shared" si="61"/>
        <v>24</v>
      </c>
      <c r="W86" s="117">
        <f t="shared" si="61"/>
        <v>21.7</v>
      </c>
      <c r="X86" s="117">
        <f t="shared" si="61"/>
        <v>20</v>
      </c>
      <c r="Y86" s="117">
        <f t="shared" si="61"/>
        <v>15</v>
      </c>
      <c r="Z86" s="118"/>
      <c r="AA86" s="118"/>
      <c r="AB86" s="118"/>
    </row>
    <row r="87" spans="1:28" x14ac:dyDescent="0.35">
      <c r="B87" s="128">
        <f>B38</f>
        <v>23215</v>
      </c>
      <c r="C87" s="34">
        <v>707</v>
      </c>
      <c r="D87" s="34" t="s">
        <v>97</v>
      </c>
      <c r="E87" s="130">
        <f>E38</f>
        <v>30515</v>
      </c>
      <c r="F87" s="34">
        <v>904</v>
      </c>
      <c r="G87" s="34" t="str">
        <f>G38</f>
        <v>California Aqueduct (SWP)</v>
      </c>
      <c r="H87" s="116">
        <f t="shared" ref="H87:O87" si="62">H38+H39</f>
        <v>917</v>
      </c>
      <c r="I87" s="117">
        <f t="shared" si="62"/>
        <v>795.3</v>
      </c>
      <c r="J87" s="117">
        <f t="shared" si="62"/>
        <v>1509</v>
      </c>
      <c r="K87" s="116">
        <f t="shared" si="62"/>
        <v>1065</v>
      </c>
      <c r="L87" s="117">
        <f t="shared" si="62"/>
        <v>1613.1</v>
      </c>
      <c r="M87" s="117">
        <f t="shared" si="62"/>
        <v>1863.8</v>
      </c>
      <c r="N87" s="117">
        <f t="shared" si="62"/>
        <v>1927.1</v>
      </c>
      <c r="O87" s="117">
        <f t="shared" si="62"/>
        <v>1575</v>
      </c>
      <c r="P87" s="117">
        <f t="shared" ref="P87:T87" si="63">P38+P39</f>
        <v>1933</v>
      </c>
      <c r="Q87" s="117">
        <f t="shared" si="63"/>
        <v>2021</v>
      </c>
      <c r="R87" s="117">
        <f t="shared" si="63"/>
        <v>1193</v>
      </c>
      <c r="S87" s="117">
        <f t="shared" si="63"/>
        <v>1185</v>
      </c>
      <c r="T87" s="117">
        <f t="shared" si="63"/>
        <v>1480</v>
      </c>
      <c r="U87" s="117">
        <f t="shared" ref="U87:Y87" si="64">U38+U39</f>
        <v>1678</v>
      </c>
      <c r="V87" s="117">
        <f t="shared" si="64"/>
        <v>1568</v>
      </c>
      <c r="W87" s="117">
        <f t="shared" si="64"/>
        <v>1211</v>
      </c>
      <c r="X87" s="117">
        <f t="shared" si="64"/>
        <v>544</v>
      </c>
      <c r="Y87" s="117">
        <f t="shared" si="64"/>
        <v>759</v>
      </c>
      <c r="Z87" s="123"/>
      <c r="AA87" s="118"/>
      <c r="AB87" s="118"/>
    </row>
    <row r="88" spans="1:28" x14ac:dyDescent="0.35">
      <c r="B88" s="128">
        <f>B39</f>
        <v>23215</v>
      </c>
      <c r="E88" s="130">
        <f>E39</f>
        <v>30515</v>
      </c>
      <c r="G88" s="34" t="str">
        <f>G39</f>
        <v>Kern River thru Ca Aqueduct</v>
      </c>
      <c r="H88" s="116"/>
      <c r="I88" s="117"/>
      <c r="J88" s="117"/>
      <c r="K88" s="116"/>
      <c r="L88" s="117"/>
      <c r="M88" s="117"/>
      <c r="N88" s="117"/>
      <c r="O88" s="117"/>
      <c r="P88" s="117"/>
      <c r="Q88" s="117"/>
      <c r="R88" s="117"/>
      <c r="S88" s="117"/>
      <c r="T88" s="117"/>
      <c r="U88" s="117"/>
      <c r="V88" s="117"/>
      <c r="W88" s="117"/>
      <c r="X88" s="117"/>
      <c r="Y88" s="117"/>
      <c r="Z88" s="123"/>
      <c r="AA88" s="118"/>
      <c r="AB88" s="118"/>
    </row>
    <row r="89" spans="1:28" x14ac:dyDescent="0.35">
      <c r="B89" s="120">
        <f>B37</f>
        <v>23510</v>
      </c>
      <c r="C89" s="34">
        <v>703</v>
      </c>
      <c r="D89" s="34" t="s">
        <v>94</v>
      </c>
      <c r="E89" s="124">
        <f t="shared" ref="E89:O89" si="65">E37</f>
        <v>21610</v>
      </c>
      <c r="F89" s="34">
        <v>606</v>
      </c>
      <c r="G89" s="116" t="str">
        <f t="shared" si="65"/>
        <v>Kings River</v>
      </c>
      <c r="H89" s="116">
        <f t="shared" si="65"/>
        <v>915</v>
      </c>
      <c r="I89" s="117">
        <f>I37</f>
        <v>0</v>
      </c>
      <c r="J89" s="117">
        <f>J37</f>
        <v>0</v>
      </c>
      <c r="K89" s="116">
        <f>K37</f>
        <v>0</v>
      </c>
      <c r="L89" s="117">
        <f t="shared" si="65"/>
        <v>0</v>
      </c>
      <c r="M89" s="117">
        <f t="shared" si="65"/>
        <v>0</v>
      </c>
      <c r="N89" s="117">
        <f t="shared" si="65"/>
        <v>0</v>
      </c>
      <c r="O89" s="117">
        <f t="shared" si="65"/>
        <v>60.6</v>
      </c>
      <c r="P89" s="117">
        <f t="shared" ref="P89:T89" si="66">P37</f>
        <v>309</v>
      </c>
      <c r="Q89" s="117">
        <f t="shared" si="66"/>
        <v>0</v>
      </c>
      <c r="R89" s="117">
        <f t="shared" si="66"/>
        <v>0</v>
      </c>
      <c r="S89" s="117">
        <f t="shared" si="66"/>
        <v>0</v>
      </c>
      <c r="T89" s="117">
        <f t="shared" si="66"/>
        <v>0</v>
      </c>
      <c r="U89" s="117">
        <f t="shared" ref="U89:Y89" si="67">U37</f>
        <v>637</v>
      </c>
      <c r="V89" s="117">
        <f t="shared" si="67"/>
        <v>0</v>
      </c>
      <c r="W89" s="117">
        <f t="shared" si="67"/>
        <v>0</v>
      </c>
      <c r="X89" s="117">
        <f t="shared" si="67"/>
        <v>0</v>
      </c>
      <c r="Y89" s="117">
        <f t="shared" si="67"/>
        <v>0</v>
      </c>
      <c r="Z89" s="123"/>
      <c r="AA89" s="118"/>
      <c r="AB89" s="118"/>
    </row>
    <row r="90" spans="1:28" x14ac:dyDescent="0.35">
      <c r="B90" s="128"/>
      <c r="E90" s="130"/>
      <c r="G90" s="111" t="s">
        <v>92</v>
      </c>
      <c r="H90" s="121">
        <f t="shared" ref="H90:O90" si="68">SUM(H86:H89)</f>
        <v>1854.2</v>
      </c>
      <c r="I90" s="122">
        <f t="shared" si="68"/>
        <v>819.09999999999991</v>
      </c>
      <c r="J90" s="122">
        <f t="shared" si="68"/>
        <v>1535.7</v>
      </c>
      <c r="K90" s="121">
        <f t="shared" si="68"/>
        <v>1088.2</v>
      </c>
      <c r="L90" s="122">
        <f t="shared" si="68"/>
        <v>1645.1</v>
      </c>
      <c r="M90" s="122">
        <f t="shared" si="68"/>
        <v>1895.3</v>
      </c>
      <c r="N90" s="122">
        <f t="shared" si="68"/>
        <v>1961</v>
      </c>
      <c r="O90" s="122">
        <f t="shared" si="68"/>
        <v>1663.1999999999998</v>
      </c>
      <c r="P90" s="122">
        <f t="shared" ref="P90:T90" si="69">SUM(P86:P89)</f>
        <v>2269.5</v>
      </c>
      <c r="Q90" s="122">
        <f t="shared" si="69"/>
        <v>2052.5</v>
      </c>
      <c r="R90" s="122">
        <f t="shared" si="69"/>
        <v>1214.8</v>
      </c>
      <c r="S90" s="122">
        <f t="shared" si="69"/>
        <v>1204.3</v>
      </c>
      <c r="T90" s="122">
        <f t="shared" si="69"/>
        <v>1501.6</v>
      </c>
      <c r="U90" s="122">
        <f t="shared" ref="U90:Y90" si="70">SUM(U86:U89)</f>
        <v>2339.9</v>
      </c>
      <c r="V90" s="122">
        <f t="shared" si="70"/>
        <v>1592</v>
      </c>
      <c r="W90" s="122">
        <f t="shared" si="70"/>
        <v>1232.7</v>
      </c>
      <c r="X90" s="122">
        <f t="shared" si="70"/>
        <v>564</v>
      </c>
      <c r="Y90" s="122">
        <f t="shared" si="70"/>
        <v>774</v>
      </c>
      <c r="Z90" s="118"/>
      <c r="AA90" s="118"/>
      <c r="AB90" s="118"/>
    </row>
    <row r="91" spans="1:28" x14ac:dyDescent="0.35">
      <c r="A91" s="34" t="s">
        <v>97</v>
      </c>
      <c r="B91" s="128"/>
      <c r="E91" s="130"/>
      <c r="H91" s="116"/>
      <c r="I91" s="117"/>
      <c r="J91" s="117"/>
      <c r="K91" s="116"/>
      <c r="L91" s="117"/>
      <c r="M91" s="117"/>
      <c r="N91" s="117"/>
      <c r="O91" s="117"/>
      <c r="P91" s="117"/>
      <c r="Q91" s="117"/>
      <c r="R91" s="117"/>
      <c r="S91" s="117"/>
      <c r="T91" s="117"/>
      <c r="U91" s="117"/>
      <c r="V91" s="117"/>
      <c r="W91" s="117"/>
      <c r="X91" s="117"/>
      <c r="Y91" s="117"/>
      <c r="Z91" s="118"/>
      <c r="AA91" s="118"/>
      <c r="AB91" s="118"/>
    </row>
    <row r="92" spans="1:28" x14ac:dyDescent="0.35">
      <c r="B92" s="128">
        <f>B19</f>
        <v>30519</v>
      </c>
      <c r="C92" s="34">
        <v>904</v>
      </c>
      <c r="D92" s="34" t="s">
        <v>98</v>
      </c>
      <c r="E92" s="130" t="str">
        <f>E19</f>
        <v>08319</v>
      </c>
      <c r="F92" s="34">
        <v>401</v>
      </c>
      <c r="G92" s="34" t="str">
        <f>G19</f>
        <v>LA Aqueduct</v>
      </c>
      <c r="H92" s="116">
        <f t="shared" ref="H92:O92" si="71">SUM(H19:H20)</f>
        <v>663</v>
      </c>
      <c r="I92" s="117">
        <f t="shared" si="71"/>
        <v>799.7</v>
      </c>
      <c r="J92" s="117">
        <f t="shared" si="71"/>
        <v>866</v>
      </c>
      <c r="K92" s="116">
        <f t="shared" si="71"/>
        <v>874</v>
      </c>
      <c r="L92" s="117">
        <f t="shared" si="71"/>
        <v>1028.0999999999999</v>
      </c>
      <c r="M92" s="117">
        <f t="shared" si="71"/>
        <v>973.2</v>
      </c>
      <c r="N92" s="117">
        <f t="shared" si="71"/>
        <v>1050.0999999999999</v>
      </c>
      <c r="O92" s="117">
        <f t="shared" si="71"/>
        <v>862.6</v>
      </c>
      <c r="P92" s="117">
        <f t="shared" ref="P92:T92" si="72">SUM(P19:P20)</f>
        <v>709.10300000000007</v>
      </c>
      <c r="Q92" s="117">
        <f t="shared" si="72"/>
        <v>1106.1089999999999</v>
      </c>
      <c r="R92" s="117">
        <f t="shared" si="72"/>
        <v>665.60299999999995</v>
      </c>
      <c r="S92" s="117">
        <f t="shared" si="72"/>
        <v>763.28</v>
      </c>
      <c r="T92" s="117">
        <f t="shared" si="72"/>
        <v>676.60199999999998</v>
      </c>
      <c r="U92" s="117">
        <f t="shared" ref="U92:Y92" si="73">SUM(U19:U20)</f>
        <v>595.41599999999994</v>
      </c>
      <c r="V92" s="117">
        <f t="shared" si="73"/>
        <v>854.14099999999996</v>
      </c>
      <c r="W92" s="117">
        <f t="shared" si="73"/>
        <v>781.28300000000002</v>
      </c>
      <c r="X92" s="117">
        <f t="shared" si="73"/>
        <v>404.48500000000001</v>
      </c>
      <c r="Y92" s="117">
        <f t="shared" si="73"/>
        <v>544.87099999999998</v>
      </c>
      <c r="Z92" s="123"/>
      <c r="AA92" s="118"/>
      <c r="AB92" s="118"/>
    </row>
    <row r="93" spans="1:28" x14ac:dyDescent="0.35">
      <c r="B93" s="128">
        <f>B20</f>
        <v>30519</v>
      </c>
      <c r="E93" s="130" t="str">
        <f>E20</f>
        <v>08319</v>
      </c>
      <c r="G93" s="34" t="str">
        <f>G20</f>
        <v>California Aqueduct (SWP) W Branch</v>
      </c>
      <c r="H93" s="116"/>
      <c r="I93" s="117"/>
      <c r="J93" s="117"/>
      <c r="K93" s="116"/>
      <c r="L93" s="117"/>
      <c r="M93" s="117"/>
      <c r="N93" s="117"/>
      <c r="O93" s="117"/>
      <c r="P93" s="117"/>
      <c r="Q93" s="117"/>
      <c r="R93" s="117"/>
      <c r="S93" s="117"/>
      <c r="T93" s="117"/>
      <c r="U93" s="117"/>
      <c r="V93" s="117"/>
      <c r="W93" s="117"/>
      <c r="X93" s="117"/>
      <c r="Y93" s="117"/>
      <c r="Z93" s="123"/>
      <c r="AA93" s="118"/>
      <c r="AB93" s="118"/>
    </row>
    <row r="94" spans="1:28" x14ac:dyDescent="0.35">
      <c r="B94" s="120">
        <f>B21</f>
        <v>30936</v>
      </c>
      <c r="C94" s="34">
        <v>905</v>
      </c>
      <c r="D94" s="34" t="s">
        <v>98</v>
      </c>
      <c r="E94" s="124">
        <f>E21</f>
        <v>10036</v>
      </c>
      <c r="F94" s="34">
        <v>403</v>
      </c>
      <c r="G94" s="34" t="str">
        <f>G21</f>
        <v>California Aqueduct (SWP) E Branch</v>
      </c>
      <c r="H94" s="116">
        <f t="shared" ref="H94:O94" si="74">H21</f>
        <v>623</v>
      </c>
      <c r="I94" s="117">
        <f t="shared" si="74"/>
        <v>380.4</v>
      </c>
      <c r="J94" s="117">
        <f t="shared" si="74"/>
        <v>829</v>
      </c>
      <c r="K94" s="116">
        <f t="shared" si="74"/>
        <v>381</v>
      </c>
      <c r="L94" s="117">
        <f t="shared" si="74"/>
        <v>758.4</v>
      </c>
      <c r="M94" s="117">
        <f t="shared" si="74"/>
        <v>1035.5999999999999</v>
      </c>
      <c r="N94" s="117">
        <f t="shared" si="74"/>
        <v>987.4</v>
      </c>
      <c r="O94" s="117">
        <f t="shared" si="74"/>
        <v>831</v>
      </c>
      <c r="P94" s="117">
        <f t="shared" ref="P94:T94" si="75">P21</f>
        <v>987</v>
      </c>
      <c r="Q94" s="117">
        <f t="shared" si="75"/>
        <v>809</v>
      </c>
      <c r="R94" s="117">
        <f t="shared" si="75"/>
        <v>477</v>
      </c>
      <c r="S94" s="117">
        <f t="shared" si="75"/>
        <v>346</v>
      </c>
      <c r="T94" s="117">
        <f t="shared" si="75"/>
        <v>814</v>
      </c>
      <c r="U94" s="117">
        <f t="shared" ref="U94:Y94" si="76">U21</f>
        <v>1026</v>
      </c>
      <c r="V94" s="117">
        <f t="shared" si="76"/>
        <v>721</v>
      </c>
      <c r="W94" s="117">
        <f t="shared" si="76"/>
        <v>417</v>
      </c>
      <c r="X94" s="117">
        <f t="shared" si="76"/>
        <v>114</v>
      </c>
      <c r="Y94" s="117">
        <f t="shared" si="76"/>
        <v>194.3</v>
      </c>
      <c r="Z94" s="123"/>
      <c r="AA94" s="118"/>
      <c r="AB94" s="118"/>
    </row>
    <row r="95" spans="1:28" x14ac:dyDescent="0.35">
      <c r="B95" s="120">
        <f>B44</f>
        <v>30936</v>
      </c>
      <c r="C95" s="34">
        <v>905</v>
      </c>
      <c r="D95" s="34" t="s">
        <v>41</v>
      </c>
      <c r="E95" s="120">
        <f>E44</f>
        <v>0</v>
      </c>
      <c r="F95" s="34">
        <v>1001</v>
      </c>
      <c r="G95" s="34" t="str">
        <f t="shared" ref="G95:O95" si="77">G44</f>
        <v>California Aqueduct (SWP)</v>
      </c>
      <c r="H95" s="116">
        <f t="shared" si="77"/>
        <v>0</v>
      </c>
      <c r="I95" s="117">
        <f>I44</f>
        <v>0</v>
      </c>
      <c r="J95" s="117">
        <f>J44</f>
        <v>0</v>
      </c>
      <c r="K95" s="116">
        <f>K44</f>
        <v>0</v>
      </c>
      <c r="L95" s="117">
        <f t="shared" si="77"/>
        <v>0</v>
      </c>
      <c r="M95" s="117">
        <f t="shared" si="77"/>
        <v>0</v>
      </c>
      <c r="N95" s="117">
        <f t="shared" si="77"/>
        <v>0</v>
      </c>
      <c r="O95" s="117">
        <f t="shared" si="77"/>
        <v>0</v>
      </c>
      <c r="P95" s="117">
        <f t="shared" ref="P95:T95" si="78">P44</f>
        <v>0</v>
      </c>
      <c r="Q95" s="117">
        <f t="shared" si="78"/>
        <v>0</v>
      </c>
      <c r="R95" s="117">
        <f t="shared" si="78"/>
        <v>0</v>
      </c>
      <c r="S95" s="117">
        <f t="shared" si="78"/>
        <v>0</v>
      </c>
      <c r="T95" s="117">
        <f t="shared" si="78"/>
        <v>0</v>
      </c>
      <c r="U95" s="117">
        <f t="shared" ref="U95:Y95" si="79">U44</f>
        <v>0</v>
      </c>
      <c r="V95" s="117">
        <f t="shared" si="79"/>
        <v>0</v>
      </c>
      <c r="W95" s="117">
        <f t="shared" si="79"/>
        <v>0</v>
      </c>
      <c r="X95" s="117">
        <f t="shared" si="79"/>
        <v>0</v>
      </c>
      <c r="Y95" s="117">
        <f t="shared" si="79"/>
        <v>0</v>
      </c>
      <c r="Z95" s="118"/>
      <c r="AA95" s="118"/>
      <c r="AB95" s="118"/>
    </row>
    <row r="96" spans="1:28" x14ac:dyDescent="0.35">
      <c r="B96" s="128"/>
      <c r="E96" s="128"/>
      <c r="G96" s="111" t="s">
        <v>92</v>
      </c>
      <c r="H96" s="121">
        <f t="shared" ref="H96:O96" si="80">SUM(H92:H95)</f>
        <v>1286</v>
      </c>
      <c r="I96" s="122">
        <f t="shared" si="80"/>
        <v>1180.0999999999999</v>
      </c>
      <c r="J96" s="122">
        <f t="shared" si="80"/>
        <v>1695</v>
      </c>
      <c r="K96" s="121">
        <f t="shared" si="80"/>
        <v>1255</v>
      </c>
      <c r="L96" s="122">
        <f t="shared" si="80"/>
        <v>1786.5</v>
      </c>
      <c r="M96" s="122">
        <f t="shared" si="80"/>
        <v>2008.8</v>
      </c>
      <c r="N96" s="122">
        <f t="shared" si="80"/>
        <v>2037.5</v>
      </c>
      <c r="O96" s="122">
        <f t="shared" si="80"/>
        <v>1693.6</v>
      </c>
      <c r="P96" s="122">
        <f t="shared" ref="P96:T96" si="81">SUM(P92:P95)</f>
        <v>1696.1030000000001</v>
      </c>
      <c r="Q96" s="122">
        <f t="shared" si="81"/>
        <v>1915.1089999999999</v>
      </c>
      <c r="R96" s="122">
        <f t="shared" si="81"/>
        <v>1142.6030000000001</v>
      </c>
      <c r="S96" s="122">
        <f t="shared" si="81"/>
        <v>1109.28</v>
      </c>
      <c r="T96" s="122">
        <f t="shared" si="81"/>
        <v>1490.6019999999999</v>
      </c>
      <c r="U96" s="122">
        <f t="shared" ref="U96:Y96" si="82">SUM(U92:U95)</f>
        <v>1621.4159999999999</v>
      </c>
      <c r="V96" s="122">
        <f t="shared" si="82"/>
        <v>1575.1410000000001</v>
      </c>
      <c r="W96" s="122">
        <f t="shared" si="82"/>
        <v>1198.2829999999999</v>
      </c>
      <c r="X96" s="122">
        <f t="shared" si="82"/>
        <v>518.48500000000001</v>
      </c>
      <c r="Y96" s="122">
        <f t="shared" si="82"/>
        <v>739.17100000000005</v>
      </c>
      <c r="Z96" s="118"/>
      <c r="AA96" s="118"/>
      <c r="AB96" s="118"/>
    </row>
    <row r="97" spans="1:29" x14ac:dyDescent="0.35">
      <c r="A97" s="34" t="s">
        <v>41</v>
      </c>
      <c r="B97" s="128"/>
      <c r="E97" s="128"/>
      <c r="H97" s="116"/>
      <c r="I97" s="117"/>
      <c r="J97" s="117"/>
      <c r="K97" s="116"/>
      <c r="L97" s="117"/>
      <c r="M97" s="117"/>
      <c r="N97" s="117"/>
      <c r="O97" s="117"/>
      <c r="P97" s="117"/>
      <c r="Q97" s="117"/>
      <c r="R97" s="117"/>
      <c r="S97" s="117"/>
      <c r="T97" s="117"/>
      <c r="U97" s="117"/>
      <c r="V97" s="117"/>
      <c r="W97" s="117"/>
      <c r="X97" s="117"/>
      <c r="Y97" s="117"/>
      <c r="Z97" s="118"/>
      <c r="AA97" s="118"/>
      <c r="AB97" s="118"/>
    </row>
    <row r="98" spans="1:29" x14ac:dyDescent="0.35">
      <c r="B98" s="120">
        <f>B22</f>
        <v>34833</v>
      </c>
      <c r="C98" s="34">
        <v>1002</v>
      </c>
      <c r="D98" s="34" t="s">
        <v>98</v>
      </c>
      <c r="E98" s="120">
        <f t="shared" ref="E98:O98" si="83">E22</f>
        <v>10433</v>
      </c>
      <c r="F98" s="34">
        <v>403</v>
      </c>
      <c r="G98" s="34" t="str">
        <f t="shared" si="83"/>
        <v>Colorado R. Aqueduct</v>
      </c>
      <c r="H98" s="121">
        <f t="shared" si="83"/>
        <v>1081</v>
      </c>
      <c r="I98" s="122">
        <f>I22</f>
        <v>1180.5999999999999</v>
      </c>
      <c r="J98" s="122">
        <f>J22</f>
        <v>1296</v>
      </c>
      <c r="K98" s="121">
        <f>K22</f>
        <v>1250</v>
      </c>
      <c r="L98" s="122">
        <f t="shared" si="83"/>
        <v>1307.0999999999999</v>
      </c>
      <c r="M98" s="122">
        <f t="shared" si="83"/>
        <v>731.1</v>
      </c>
      <c r="N98" s="122">
        <f t="shared" si="83"/>
        <v>1099.8</v>
      </c>
      <c r="O98" s="122">
        <f t="shared" si="83"/>
        <v>658.3</v>
      </c>
      <c r="P98" s="122">
        <f t="shared" ref="P98:T98" si="84">P22</f>
        <v>808</v>
      </c>
      <c r="Q98" s="122">
        <f t="shared" si="84"/>
        <v>1082</v>
      </c>
      <c r="R98" s="122">
        <f t="shared" si="84"/>
        <v>1257</v>
      </c>
      <c r="S98" s="122">
        <f t="shared" si="84"/>
        <v>1219</v>
      </c>
      <c r="T98" s="122">
        <f t="shared" si="84"/>
        <v>990</v>
      </c>
      <c r="U98" s="122">
        <f t="shared" ref="U98:Y98" si="85">U22</f>
        <v>352</v>
      </c>
      <c r="V98" s="122">
        <f t="shared" si="85"/>
        <v>905</v>
      </c>
      <c r="W98" s="122">
        <f t="shared" si="85"/>
        <v>1037</v>
      </c>
      <c r="X98" s="122">
        <f t="shared" si="85"/>
        <v>1733</v>
      </c>
      <c r="Y98" s="122">
        <f t="shared" si="85"/>
        <v>1601</v>
      </c>
      <c r="Z98" s="123"/>
      <c r="AA98" s="123"/>
      <c r="AB98" s="123"/>
    </row>
    <row r="99" spans="1:29" x14ac:dyDescent="0.35">
      <c r="A99" s="34" t="s">
        <v>93</v>
      </c>
      <c r="B99" s="128"/>
      <c r="E99" s="128"/>
      <c r="H99" s="116"/>
      <c r="I99" s="117"/>
      <c r="J99" s="117"/>
      <c r="K99" s="116"/>
      <c r="L99" s="117"/>
      <c r="M99" s="117"/>
      <c r="N99" s="117"/>
      <c r="O99" s="117"/>
      <c r="P99" s="117"/>
      <c r="Q99" s="117"/>
      <c r="R99" s="117"/>
      <c r="S99" s="117"/>
      <c r="T99" s="117"/>
      <c r="U99" s="117"/>
      <c r="V99" s="117"/>
      <c r="W99" s="117"/>
      <c r="X99" s="117"/>
      <c r="Y99" s="117"/>
      <c r="Z99" s="118"/>
      <c r="AA99" s="118"/>
      <c r="AB99" s="118"/>
    </row>
    <row r="100" spans="1:29" x14ac:dyDescent="0.35">
      <c r="B100" s="128">
        <f>B24</f>
        <v>26846</v>
      </c>
      <c r="C100" s="34">
        <v>802</v>
      </c>
      <c r="D100" s="34" t="s">
        <v>89</v>
      </c>
      <c r="E100" s="128">
        <f>E24</f>
        <v>15446</v>
      </c>
      <c r="F100" s="34">
        <v>508</v>
      </c>
      <c r="G100" s="34" t="str">
        <f>G24</f>
        <v>Little Truckee</v>
      </c>
      <c r="H100" s="125">
        <f>ROUND(H24,0)</f>
        <v>10</v>
      </c>
      <c r="I100" s="131">
        <f t="shared" ref="I100:O100" si="86">ROUND(I24,0)</f>
        <v>10</v>
      </c>
      <c r="J100" s="131">
        <f t="shared" si="86"/>
        <v>9</v>
      </c>
      <c r="K100" s="125">
        <f t="shared" si="86"/>
        <v>7</v>
      </c>
      <c r="L100" s="117">
        <f t="shared" si="86"/>
        <v>9</v>
      </c>
      <c r="M100" s="131">
        <f t="shared" si="86"/>
        <v>7</v>
      </c>
      <c r="N100" s="131">
        <f t="shared" si="86"/>
        <v>9</v>
      </c>
      <c r="O100" s="131">
        <f t="shared" si="86"/>
        <v>6</v>
      </c>
      <c r="P100" s="131">
        <f t="shared" ref="P100:T100" si="87">ROUND(P24,0)</f>
        <v>7</v>
      </c>
      <c r="Q100" s="131">
        <f t="shared" si="87"/>
        <v>10</v>
      </c>
      <c r="R100" s="131">
        <f t="shared" si="87"/>
        <v>9</v>
      </c>
      <c r="S100" s="131">
        <f t="shared" si="87"/>
        <v>10</v>
      </c>
      <c r="T100" s="131">
        <f t="shared" si="87"/>
        <v>7</v>
      </c>
      <c r="U100" s="131">
        <f t="shared" ref="U100:Y100" si="88">ROUND(U24,0)</f>
        <v>9</v>
      </c>
      <c r="V100" s="131">
        <f t="shared" si="88"/>
        <v>9</v>
      </c>
      <c r="W100" s="131">
        <f t="shared" si="88"/>
        <v>9</v>
      </c>
      <c r="X100" s="131">
        <f t="shared" si="88"/>
        <v>9</v>
      </c>
      <c r="Y100" s="131">
        <f t="shared" si="88"/>
        <v>8</v>
      </c>
      <c r="Z100" s="118"/>
      <c r="AA100" s="118"/>
      <c r="AB100" s="118"/>
    </row>
    <row r="101" spans="1:29" x14ac:dyDescent="0.35">
      <c r="B101" s="128">
        <f>B25</f>
        <v>26809</v>
      </c>
      <c r="C101" s="34">
        <v>802</v>
      </c>
      <c r="D101" s="34" t="s">
        <v>89</v>
      </c>
      <c r="E101" s="128">
        <f>E25</f>
        <v>15809</v>
      </c>
      <c r="F101" s="34">
        <v>508</v>
      </c>
      <c r="G101" s="34" t="str">
        <f>G25</f>
        <v>Echo Lake Conduit</v>
      </c>
      <c r="H101" s="125">
        <f t="shared" ref="H101:O101" si="89">ROUND(H25,0)</f>
        <v>0</v>
      </c>
      <c r="I101" s="131">
        <f t="shared" si="89"/>
        <v>1</v>
      </c>
      <c r="J101" s="131">
        <f t="shared" si="89"/>
        <v>1</v>
      </c>
      <c r="K101" s="125">
        <f t="shared" si="89"/>
        <v>2</v>
      </c>
      <c r="L101" s="117">
        <f t="shared" si="89"/>
        <v>0</v>
      </c>
      <c r="M101" s="131">
        <f t="shared" si="89"/>
        <v>0</v>
      </c>
      <c r="N101" s="131">
        <f t="shared" si="89"/>
        <v>1</v>
      </c>
      <c r="O101" s="131">
        <f t="shared" si="89"/>
        <v>0</v>
      </c>
      <c r="P101" s="131">
        <f t="shared" ref="P101:T101" si="90">ROUND(P25,0)</f>
        <v>1</v>
      </c>
      <c r="Q101" s="131">
        <f t="shared" si="90"/>
        <v>1</v>
      </c>
      <c r="R101" s="131">
        <f t="shared" si="90"/>
        <v>1</v>
      </c>
      <c r="S101" s="131">
        <f t="shared" si="90"/>
        <v>1</v>
      </c>
      <c r="T101" s="131">
        <f t="shared" si="90"/>
        <v>1</v>
      </c>
      <c r="U101" s="131">
        <f t="shared" ref="U101:Y101" si="91">ROUND(U25,0)</f>
        <v>2</v>
      </c>
      <c r="V101" s="131">
        <f t="shared" si="91"/>
        <v>2</v>
      </c>
      <c r="W101" s="131">
        <f t="shared" si="91"/>
        <v>1</v>
      </c>
      <c r="X101" s="131">
        <f t="shared" si="91"/>
        <v>1</v>
      </c>
      <c r="Y101" s="131">
        <f t="shared" si="91"/>
        <v>1</v>
      </c>
      <c r="Z101" s="118"/>
      <c r="AA101" s="118"/>
      <c r="AB101" s="118"/>
    </row>
    <row r="102" spans="1:29" x14ac:dyDescent="0.35">
      <c r="B102" s="120">
        <f>B40</f>
        <v>27002</v>
      </c>
      <c r="C102" s="34">
        <v>802</v>
      </c>
      <c r="D102" s="34" t="s">
        <v>97</v>
      </c>
      <c r="E102" s="120">
        <f>E40</f>
        <v>27426</v>
      </c>
      <c r="F102" s="34">
        <v>901</v>
      </c>
      <c r="G102" s="34" t="str">
        <f t="shared" ref="G102:O102" si="92">G40</f>
        <v>Virginia Creek</v>
      </c>
      <c r="H102" s="116">
        <f t="shared" si="92"/>
        <v>0.7</v>
      </c>
      <c r="I102" s="117">
        <f t="shared" si="92"/>
        <v>1</v>
      </c>
      <c r="J102" s="117">
        <f t="shared" si="92"/>
        <v>0.7</v>
      </c>
      <c r="K102" s="116">
        <f t="shared" si="92"/>
        <v>0.7</v>
      </c>
      <c r="L102" s="117">
        <f t="shared" si="92"/>
        <v>1</v>
      </c>
      <c r="M102" s="117">
        <f t="shared" si="92"/>
        <v>1</v>
      </c>
      <c r="N102" s="117">
        <f t="shared" si="92"/>
        <v>1</v>
      </c>
      <c r="O102" s="117">
        <f t="shared" si="92"/>
        <v>1</v>
      </c>
      <c r="P102" s="117">
        <f t="shared" ref="P102:T102" si="93">P40</f>
        <v>1</v>
      </c>
      <c r="Q102" s="117">
        <f t="shared" si="93"/>
        <v>1</v>
      </c>
      <c r="R102" s="117">
        <f t="shared" si="93"/>
        <v>1</v>
      </c>
      <c r="S102" s="117">
        <f t="shared" si="93"/>
        <v>1</v>
      </c>
      <c r="T102" s="117">
        <f t="shared" si="93"/>
        <v>1</v>
      </c>
      <c r="U102" s="117">
        <f t="shared" ref="U102:Y102" si="94">U40</f>
        <v>1</v>
      </c>
      <c r="V102" s="117">
        <f t="shared" si="94"/>
        <v>1</v>
      </c>
      <c r="W102" s="117">
        <f t="shared" si="94"/>
        <v>1</v>
      </c>
      <c r="X102" s="117">
        <f t="shared" si="94"/>
        <v>1</v>
      </c>
      <c r="Y102" s="117">
        <f t="shared" si="94"/>
        <v>1</v>
      </c>
      <c r="Z102" s="118"/>
      <c r="AA102" s="118"/>
      <c r="AB102" s="118"/>
      <c r="AC102" s="116"/>
    </row>
    <row r="103" spans="1:29" x14ac:dyDescent="0.35">
      <c r="B103" s="120">
        <f>B41</f>
        <v>27026</v>
      </c>
      <c r="C103" s="34">
        <v>802</v>
      </c>
      <c r="D103" s="34" t="s">
        <v>40</v>
      </c>
      <c r="E103" s="120"/>
      <c r="G103" s="34" t="str">
        <f t="shared" ref="G103:O103" si="95">G41</f>
        <v>E Walker, W Walker</v>
      </c>
      <c r="H103" s="116">
        <f t="shared" si="95"/>
        <v>524.79999999999995</v>
      </c>
      <c r="I103" s="117">
        <f t="shared" si="95"/>
        <v>368.3</v>
      </c>
      <c r="J103" s="117">
        <f t="shared" si="95"/>
        <v>278</v>
      </c>
      <c r="K103" s="116">
        <f t="shared" si="95"/>
        <v>193.4</v>
      </c>
      <c r="L103" s="117">
        <f t="shared" si="95"/>
        <v>200.89999999999998</v>
      </c>
      <c r="M103" s="117">
        <f t="shared" si="95"/>
        <v>262.89999999999998</v>
      </c>
      <c r="N103" s="117">
        <f t="shared" si="95"/>
        <v>221.5</v>
      </c>
      <c r="O103" s="117">
        <f t="shared" si="95"/>
        <v>474</v>
      </c>
      <c r="P103" s="117">
        <f t="shared" ref="P103:T103" si="96">P41</f>
        <v>567</v>
      </c>
      <c r="Q103" s="117">
        <f t="shared" si="96"/>
        <v>150</v>
      </c>
      <c r="R103" s="117">
        <f t="shared" si="96"/>
        <v>189</v>
      </c>
      <c r="S103" s="117">
        <f t="shared" si="96"/>
        <v>244</v>
      </c>
      <c r="T103" s="117">
        <f t="shared" si="96"/>
        <v>305</v>
      </c>
      <c r="U103" s="117">
        <f t="shared" ref="U103:Y103" si="97">U41</f>
        <v>555.26600000000008</v>
      </c>
      <c r="V103" s="117">
        <f t="shared" si="97"/>
        <v>152.01299999999998</v>
      </c>
      <c r="W103" s="117">
        <f t="shared" si="97"/>
        <v>148.89599999999999</v>
      </c>
      <c r="X103" s="117">
        <f t="shared" si="97"/>
        <v>100.572</v>
      </c>
      <c r="Y103" s="117">
        <f t="shared" si="97"/>
        <v>96.191999999999993</v>
      </c>
      <c r="Z103" s="118"/>
      <c r="AA103" s="118"/>
      <c r="AB103" s="118"/>
      <c r="AC103" s="116"/>
    </row>
    <row r="104" spans="1:29" x14ac:dyDescent="0.35">
      <c r="B104" s="120">
        <f>B42</f>
        <v>26846</v>
      </c>
      <c r="C104" s="34">
        <v>802</v>
      </c>
      <c r="D104" s="34" t="s">
        <v>40</v>
      </c>
      <c r="E104" s="120"/>
      <c r="G104" s="34" t="str">
        <f>G42</f>
        <v>Truckee</v>
      </c>
      <c r="H104" s="116">
        <f t="shared" ref="H104:O104" si="98">H42</f>
        <v>547.1</v>
      </c>
      <c r="I104" s="117">
        <f t="shared" si="98"/>
        <v>529.29999999999995</v>
      </c>
      <c r="J104" s="117">
        <f t="shared" si="98"/>
        <v>329.8</v>
      </c>
      <c r="K104" s="116">
        <f t="shared" si="98"/>
        <v>136.9</v>
      </c>
      <c r="L104" s="117">
        <f t="shared" si="98"/>
        <v>269.5</v>
      </c>
      <c r="M104" s="117">
        <f t="shared" si="98"/>
        <v>346.7</v>
      </c>
      <c r="N104" s="117">
        <f t="shared" si="98"/>
        <v>259.39999999999998</v>
      </c>
      <c r="O104" s="117">
        <f t="shared" si="98"/>
        <v>439</v>
      </c>
      <c r="P104" s="117">
        <f t="shared" ref="P104:T104" si="99">P42</f>
        <v>856</v>
      </c>
      <c r="Q104" s="117">
        <f t="shared" si="99"/>
        <v>406</v>
      </c>
      <c r="R104" s="117">
        <f t="shared" si="99"/>
        <v>361</v>
      </c>
      <c r="S104" s="117">
        <f t="shared" si="99"/>
        <v>352</v>
      </c>
      <c r="T104" s="117">
        <f t="shared" si="99"/>
        <v>357</v>
      </c>
      <c r="U104" s="117">
        <f t="shared" ref="U104:Y104" si="100">U42</f>
        <v>703.53899999999999</v>
      </c>
      <c r="V104" s="117">
        <f t="shared" si="100"/>
        <v>390.51</v>
      </c>
      <c r="W104" s="117">
        <f t="shared" si="100"/>
        <v>396.17500000000001</v>
      </c>
      <c r="X104" s="117">
        <f t="shared" si="100"/>
        <v>299.327</v>
      </c>
      <c r="Y104" s="117">
        <f t="shared" si="100"/>
        <v>162.47200000000001</v>
      </c>
      <c r="Z104" s="118"/>
      <c r="AA104" s="118"/>
      <c r="AB104" s="118"/>
      <c r="AC104" s="116"/>
    </row>
    <row r="105" spans="1:29" x14ac:dyDescent="0.35">
      <c r="B105" s="120">
        <f>B43</f>
        <v>27002</v>
      </c>
      <c r="C105" s="34">
        <v>802</v>
      </c>
      <c r="D105" s="34" t="s">
        <v>40</v>
      </c>
      <c r="E105" s="120"/>
      <c r="G105" s="34" t="str">
        <f>G43</f>
        <v>East &amp; West Fork Carson</v>
      </c>
      <c r="H105" s="116">
        <f t="shared" ref="H105:O105" si="101">H43</f>
        <v>469</v>
      </c>
      <c r="I105" s="117">
        <f t="shared" si="101"/>
        <v>417.5</v>
      </c>
      <c r="J105" s="117">
        <f t="shared" si="101"/>
        <v>266.8</v>
      </c>
      <c r="K105" s="116">
        <f t="shared" si="101"/>
        <v>171.39999999999998</v>
      </c>
      <c r="L105" s="117">
        <f t="shared" si="101"/>
        <v>238.1</v>
      </c>
      <c r="M105" s="117">
        <f t="shared" si="101"/>
        <v>290.7</v>
      </c>
      <c r="N105" s="117">
        <f t="shared" si="101"/>
        <v>235.8</v>
      </c>
      <c r="O105" s="117">
        <f t="shared" si="101"/>
        <v>415.8</v>
      </c>
      <c r="P105" s="117">
        <f t="shared" ref="P105:T105" si="102">P43</f>
        <v>553</v>
      </c>
      <c r="Q105" s="117">
        <f t="shared" si="102"/>
        <v>159</v>
      </c>
      <c r="R105" s="117">
        <f t="shared" si="102"/>
        <v>195</v>
      </c>
      <c r="S105" s="117">
        <f t="shared" si="102"/>
        <v>286</v>
      </c>
      <c r="T105" s="117">
        <f t="shared" si="102"/>
        <v>335</v>
      </c>
      <c r="U105" s="117">
        <f t="shared" ref="U105:Y105" si="103">U43</f>
        <v>582.36</v>
      </c>
      <c r="V105" s="117">
        <f t="shared" si="103"/>
        <v>179.82600000000002</v>
      </c>
      <c r="W105" s="117">
        <f t="shared" si="103"/>
        <v>192.35499999999999</v>
      </c>
      <c r="X105" s="117">
        <f t="shared" si="103"/>
        <v>132.166</v>
      </c>
      <c r="Y105" s="117">
        <f t="shared" si="103"/>
        <v>105.892</v>
      </c>
      <c r="Z105" s="118"/>
      <c r="AA105" s="118"/>
      <c r="AB105" s="118"/>
      <c r="AC105" s="116"/>
    </row>
    <row r="106" spans="1:29" x14ac:dyDescent="0.35">
      <c r="B106" s="128"/>
      <c r="E106" s="128"/>
      <c r="G106" s="111" t="s">
        <v>92</v>
      </c>
      <c r="H106" s="121">
        <f>SUM(H100:H105)</f>
        <v>1551.6</v>
      </c>
      <c r="I106" s="122">
        <f t="shared" ref="I106:O106" si="104">SUM(I100:I105)</f>
        <v>1327.1</v>
      </c>
      <c r="J106" s="122">
        <f t="shared" si="104"/>
        <v>885.3</v>
      </c>
      <c r="K106" s="121">
        <f t="shared" si="104"/>
        <v>511.4</v>
      </c>
      <c r="L106" s="122">
        <f t="shared" si="104"/>
        <v>718.5</v>
      </c>
      <c r="M106" s="122">
        <f t="shared" si="104"/>
        <v>908.3</v>
      </c>
      <c r="N106" s="117">
        <f t="shared" si="104"/>
        <v>727.7</v>
      </c>
      <c r="O106" s="122">
        <f t="shared" si="104"/>
        <v>1335.8</v>
      </c>
      <c r="P106" s="122">
        <f t="shared" ref="P106:T106" si="105">SUM(P100:P105)</f>
        <v>1985</v>
      </c>
      <c r="Q106" s="122">
        <f t="shared" si="105"/>
        <v>727</v>
      </c>
      <c r="R106" s="122">
        <f t="shared" si="105"/>
        <v>756</v>
      </c>
      <c r="S106" s="122">
        <f t="shared" si="105"/>
        <v>894</v>
      </c>
      <c r="T106" s="122">
        <f t="shared" si="105"/>
        <v>1006</v>
      </c>
      <c r="U106" s="122">
        <f t="shared" ref="U106:Y106" si="106">SUM(U100:U105)</f>
        <v>1853.165</v>
      </c>
      <c r="V106" s="122">
        <f t="shared" si="106"/>
        <v>734.34899999999993</v>
      </c>
      <c r="W106" s="122">
        <f t="shared" si="106"/>
        <v>748.42600000000004</v>
      </c>
      <c r="X106" s="122">
        <f t="shared" si="106"/>
        <v>543.06500000000005</v>
      </c>
      <c r="Y106" s="122">
        <f t="shared" si="106"/>
        <v>374.55599999999998</v>
      </c>
      <c r="Z106" s="118"/>
      <c r="AA106" s="118"/>
      <c r="AB106" s="118"/>
      <c r="AC106" s="116"/>
    </row>
    <row r="107" spans="1:29" x14ac:dyDescent="0.35">
      <c r="A107" s="34" t="s">
        <v>40</v>
      </c>
      <c r="B107" s="128"/>
      <c r="E107" s="128"/>
      <c r="P107" s="107"/>
      <c r="Q107" s="107"/>
      <c r="R107" s="107"/>
      <c r="S107" s="107"/>
      <c r="T107" s="107"/>
      <c r="U107" s="107"/>
      <c r="V107" s="107"/>
      <c r="W107" s="107"/>
      <c r="X107" s="107"/>
      <c r="Y107" s="107"/>
      <c r="Z107" s="118"/>
      <c r="AA107" s="118"/>
      <c r="AB107" s="118"/>
      <c r="AC107" s="116"/>
    </row>
    <row r="108" spans="1:29" x14ac:dyDescent="0.35">
      <c r="B108" s="128"/>
      <c r="D108" s="34" t="s">
        <v>41</v>
      </c>
      <c r="E108" s="128">
        <f>E45</f>
        <v>34336</v>
      </c>
      <c r="F108" s="34">
        <v>1006</v>
      </c>
      <c r="G108" s="34" t="str">
        <f t="shared" ref="G108:O108" si="107">G45</f>
        <v>Colorado River</v>
      </c>
      <c r="H108" s="132">
        <f t="shared" si="107"/>
        <v>4986</v>
      </c>
      <c r="I108" s="133">
        <f>I45</f>
        <v>5145.5</v>
      </c>
      <c r="J108" s="133">
        <f>J45</f>
        <v>5349</v>
      </c>
      <c r="K108" s="132">
        <f>K45</f>
        <v>5104</v>
      </c>
      <c r="L108" s="133">
        <f t="shared" si="107"/>
        <v>4069.7</v>
      </c>
      <c r="M108" s="133">
        <f t="shared" si="107"/>
        <v>6269.9</v>
      </c>
      <c r="N108" s="133">
        <f t="shared" si="107"/>
        <v>5637.5</v>
      </c>
      <c r="O108" s="133">
        <f t="shared" si="107"/>
        <v>11343.36</v>
      </c>
      <c r="P108" s="133">
        <f t="shared" ref="P108:T108" si="108">P45</f>
        <v>8711.2000000000007</v>
      </c>
      <c r="Q108" s="133">
        <f t="shared" si="108"/>
        <v>8082</v>
      </c>
      <c r="R108" s="133">
        <f t="shared" si="108"/>
        <v>12453.632</v>
      </c>
      <c r="S108" s="133">
        <f t="shared" si="108"/>
        <v>10130.700000000001</v>
      </c>
      <c r="T108" s="133">
        <f t="shared" si="108"/>
        <v>8772.7999999999993</v>
      </c>
      <c r="U108" s="133">
        <f t="shared" ref="U108:Y108" si="109">U45</f>
        <v>16338.3</v>
      </c>
      <c r="V108" s="133">
        <f t="shared" si="109"/>
        <v>6086.3</v>
      </c>
      <c r="W108" s="133">
        <f t="shared" si="109"/>
        <v>5127.8</v>
      </c>
      <c r="X108" s="133">
        <f t="shared" si="109"/>
        <v>9270.9</v>
      </c>
      <c r="Y108" s="133">
        <f t="shared" si="109"/>
        <v>9418.2999999999993</v>
      </c>
      <c r="Z108" s="118"/>
      <c r="AA108" s="118"/>
      <c r="AB108" s="118"/>
      <c r="AC108" s="116"/>
    </row>
    <row r="109" spans="1:29" x14ac:dyDescent="0.35">
      <c r="A109" s="34" t="s">
        <v>50</v>
      </c>
      <c r="B109" s="128"/>
      <c r="E109" s="128"/>
      <c r="P109" s="107"/>
      <c r="Q109" s="107"/>
      <c r="R109" s="107"/>
      <c r="S109" s="107"/>
      <c r="T109" s="107"/>
      <c r="U109" s="107"/>
      <c r="V109" s="107"/>
      <c r="W109" s="107"/>
      <c r="X109" s="107"/>
      <c r="Y109" s="107"/>
      <c r="Z109" s="118"/>
      <c r="AA109" s="118"/>
      <c r="AB109" s="118"/>
      <c r="AC109" s="116"/>
    </row>
    <row r="110" spans="1:29" x14ac:dyDescent="0.35">
      <c r="B110" s="128"/>
      <c r="D110" s="34" t="s">
        <v>41</v>
      </c>
      <c r="E110" s="128">
        <f>E46</f>
        <v>35313</v>
      </c>
      <c r="F110" s="34">
        <v>1006</v>
      </c>
      <c r="G110" s="34" t="str">
        <f t="shared" ref="G110:O110" si="110">G46</f>
        <v>New River</v>
      </c>
      <c r="H110" s="132">
        <f t="shared" si="110"/>
        <v>182</v>
      </c>
      <c r="I110" s="133">
        <f>I46</f>
        <v>178</v>
      </c>
      <c r="J110" s="133">
        <f>J46</f>
        <v>166</v>
      </c>
      <c r="K110" s="132">
        <f>K46</f>
        <v>155</v>
      </c>
      <c r="L110" s="133">
        <f t="shared" si="110"/>
        <v>123</v>
      </c>
      <c r="M110" s="133">
        <f t="shared" si="110"/>
        <v>111</v>
      </c>
      <c r="N110" s="133">
        <f t="shared" si="110"/>
        <v>111</v>
      </c>
      <c r="O110" s="133">
        <f t="shared" si="110"/>
        <v>128</v>
      </c>
      <c r="P110" s="133">
        <f t="shared" ref="P110:T110" si="111">P46</f>
        <v>117.9</v>
      </c>
      <c r="Q110" s="133">
        <f t="shared" si="111"/>
        <v>92.63</v>
      </c>
      <c r="R110" s="133">
        <f t="shared" si="111"/>
        <v>89.03</v>
      </c>
      <c r="S110" s="133">
        <f t="shared" si="111"/>
        <v>83.6</v>
      </c>
      <c r="T110" s="133">
        <f t="shared" si="111"/>
        <v>87.61</v>
      </c>
      <c r="U110" s="133">
        <f t="shared" ref="U110:Y110" si="112">U46</f>
        <v>82.78</v>
      </c>
      <c r="V110" s="133">
        <f t="shared" si="112"/>
        <v>71.45</v>
      </c>
      <c r="W110" s="133">
        <f t="shared" si="112"/>
        <v>81.59</v>
      </c>
      <c r="X110" s="133">
        <f t="shared" si="112"/>
        <v>76.644999999999996</v>
      </c>
      <c r="Y110" s="133">
        <f t="shared" si="112"/>
        <v>74.994</v>
      </c>
      <c r="Z110" s="118"/>
      <c r="AA110" s="118"/>
      <c r="AB110" s="118"/>
      <c r="AC110" s="116"/>
    </row>
    <row r="111" spans="1:29" x14ac:dyDescent="0.35">
      <c r="A111" s="34" t="s">
        <v>3</v>
      </c>
      <c r="B111" s="128"/>
      <c r="E111" s="128"/>
      <c r="P111" s="107"/>
      <c r="Q111" s="107"/>
      <c r="R111" s="107"/>
      <c r="S111" s="107"/>
      <c r="T111" s="107"/>
      <c r="U111" s="107"/>
      <c r="V111" s="107"/>
      <c r="W111" s="107"/>
      <c r="X111" s="107"/>
      <c r="Y111" s="107"/>
      <c r="Z111" s="118"/>
      <c r="AA111" s="118"/>
      <c r="AB111" s="118"/>
      <c r="AC111" s="116"/>
    </row>
    <row r="112" spans="1:29" x14ac:dyDescent="0.35">
      <c r="B112" s="128"/>
      <c r="D112" s="34" t="s">
        <v>88</v>
      </c>
      <c r="E112" s="130" t="str">
        <f>E4</f>
        <v>00247</v>
      </c>
      <c r="F112" s="34">
        <v>101</v>
      </c>
      <c r="G112" s="34" t="str">
        <f t="shared" ref="G112:O112" si="113">G4</f>
        <v>Klamath and Lost Rivers</v>
      </c>
      <c r="H112" s="132">
        <f t="shared" si="113"/>
        <v>2104.5</v>
      </c>
      <c r="I112" s="133">
        <f>I4</f>
        <v>2189</v>
      </c>
      <c r="J112" s="133">
        <f>J4</f>
        <v>1498</v>
      </c>
      <c r="K112" s="132">
        <f>K4</f>
        <v>988</v>
      </c>
      <c r="L112" s="133">
        <f t="shared" si="113"/>
        <v>995</v>
      </c>
      <c r="M112" s="133">
        <f t="shared" si="113"/>
        <v>1000</v>
      </c>
      <c r="N112" s="133">
        <f t="shared" si="113"/>
        <v>973</v>
      </c>
      <c r="O112" s="133">
        <f t="shared" si="113"/>
        <v>909</v>
      </c>
      <c r="P112" s="133">
        <f t="shared" ref="P112:T112" si="114">P4</f>
        <v>2241</v>
      </c>
      <c r="Q112" s="133">
        <f t="shared" si="114"/>
        <v>1145</v>
      </c>
      <c r="R112" s="133">
        <f t="shared" si="114"/>
        <v>1182</v>
      </c>
      <c r="S112" s="133">
        <f t="shared" si="114"/>
        <v>966</v>
      </c>
      <c r="T112" s="133">
        <f t="shared" si="114"/>
        <v>874</v>
      </c>
      <c r="U112" s="133">
        <f t="shared" ref="U112:Y112" si="115">U4</f>
        <v>1196</v>
      </c>
      <c r="V112" s="133">
        <f t="shared" si="115"/>
        <v>953</v>
      </c>
      <c r="W112" s="133">
        <f t="shared" si="115"/>
        <v>702</v>
      </c>
      <c r="X112" s="133">
        <f t="shared" si="115"/>
        <v>686</v>
      </c>
      <c r="Y112" s="133">
        <f t="shared" si="115"/>
        <v>662</v>
      </c>
      <c r="Z112" s="118"/>
      <c r="AA112" s="118"/>
      <c r="AB112" s="118"/>
      <c r="AC112" s="116"/>
    </row>
    <row r="113" spans="1:29" x14ac:dyDescent="0.35">
      <c r="E113" s="128"/>
      <c r="Q113" s="118"/>
      <c r="R113" s="118"/>
      <c r="S113" s="118"/>
      <c r="T113" s="118"/>
      <c r="U113" s="118"/>
      <c r="V113" s="118"/>
      <c r="W113" s="118"/>
      <c r="X113" s="118"/>
      <c r="Y113" s="118"/>
      <c r="Z113" s="118"/>
      <c r="AA113" s="118"/>
      <c r="AB113" s="118"/>
      <c r="AC113" s="116"/>
    </row>
    <row r="114" spans="1:29" x14ac:dyDescent="0.35">
      <c r="G114" s="107"/>
      <c r="Q114" s="118"/>
      <c r="R114" s="118"/>
      <c r="S114" s="118"/>
      <c r="T114" s="118"/>
      <c r="U114" s="118"/>
      <c r="V114" s="118"/>
      <c r="W114" s="118"/>
      <c r="X114" s="118"/>
      <c r="Y114" s="118"/>
      <c r="Z114" s="118"/>
      <c r="AA114" s="118"/>
      <c r="AB114" s="118"/>
      <c r="AC114" s="116"/>
    </row>
    <row r="115" spans="1:29" x14ac:dyDescent="0.35">
      <c r="Q115" s="110"/>
      <c r="R115" s="110"/>
      <c r="S115" s="110"/>
      <c r="T115" s="110"/>
      <c r="U115" s="110"/>
      <c r="V115" s="110"/>
      <c r="W115" s="110"/>
      <c r="X115" s="110"/>
      <c r="Y115" s="110"/>
      <c r="Z115" s="110"/>
      <c r="AA115" s="110"/>
      <c r="AB115" s="110"/>
    </row>
    <row r="116" spans="1:29" ht="16" thickBot="1" x14ac:dyDescent="0.4">
      <c r="A116" s="34" t="s">
        <v>161</v>
      </c>
      <c r="H116" s="112">
        <f>H2</f>
        <v>1998</v>
      </c>
      <c r="I116" s="112">
        <f t="shared" ref="I116:T116" si="116">I2</f>
        <v>1999</v>
      </c>
      <c r="J116" s="112">
        <f t="shared" si="116"/>
        <v>2000</v>
      </c>
      <c r="K116" s="112">
        <f t="shared" si="116"/>
        <v>2001</v>
      </c>
      <c r="L116" s="112">
        <f t="shared" si="116"/>
        <v>2002</v>
      </c>
      <c r="M116" s="112">
        <f t="shared" si="116"/>
        <v>2003</v>
      </c>
      <c r="N116" s="112">
        <f t="shared" si="116"/>
        <v>2004</v>
      </c>
      <c r="O116" s="112">
        <f t="shared" si="116"/>
        <v>2005</v>
      </c>
      <c r="P116" s="112">
        <f t="shared" si="116"/>
        <v>2006</v>
      </c>
      <c r="Q116" s="112">
        <f t="shared" si="116"/>
        <v>2007</v>
      </c>
      <c r="R116" s="112">
        <f t="shared" si="116"/>
        <v>2008</v>
      </c>
      <c r="S116" s="112">
        <f t="shared" si="116"/>
        <v>2009</v>
      </c>
      <c r="T116" s="112">
        <f t="shared" si="116"/>
        <v>2010</v>
      </c>
      <c r="U116" s="60">
        <v>2011</v>
      </c>
      <c r="V116" s="60">
        <v>2012</v>
      </c>
      <c r="W116" s="60">
        <v>2013</v>
      </c>
      <c r="X116" s="60">
        <v>2014</v>
      </c>
      <c r="Y116" s="60">
        <v>2015</v>
      </c>
    </row>
    <row r="117" spans="1:29" x14ac:dyDescent="0.35">
      <c r="A117" s="34" t="s">
        <v>166</v>
      </c>
      <c r="G117" s="34" t="s">
        <v>162</v>
      </c>
      <c r="H117" s="125">
        <f>H13</f>
        <v>199</v>
      </c>
      <c r="I117" s="125">
        <f t="shared" ref="I117:T117" si="117">I13</f>
        <v>202</v>
      </c>
      <c r="J117" s="125">
        <f t="shared" si="117"/>
        <v>206</v>
      </c>
      <c r="K117" s="125">
        <f t="shared" si="117"/>
        <v>216</v>
      </c>
      <c r="L117" s="125">
        <f t="shared" si="117"/>
        <v>206</v>
      </c>
      <c r="M117" s="125">
        <f t="shared" si="117"/>
        <v>210</v>
      </c>
      <c r="N117" s="125">
        <f t="shared" si="117"/>
        <v>210</v>
      </c>
      <c r="O117" s="125">
        <f t="shared" si="117"/>
        <v>204</v>
      </c>
      <c r="P117" s="125">
        <f t="shared" si="117"/>
        <v>189.8</v>
      </c>
      <c r="Q117" s="125">
        <f t="shared" si="117"/>
        <v>186.4</v>
      </c>
      <c r="R117" s="125">
        <f t="shared" si="117"/>
        <v>168.6</v>
      </c>
      <c r="S117" s="125">
        <f t="shared" si="117"/>
        <v>182.7</v>
      </c>
      <c r="T117" s="125">
        <f t="shared" si="117"/>
        <v>165</v>
      </c>
      <c r="U117" s="125">
        <f t="shared" ref="U117:Y117" si="118">U13</f>
        <v>80.8</v>
      </c>
      <c r="V117" s="125">
        <f t="shared" si="118"/>
        <v>95.9</v>
      </c>
      <c r="W117" s="125">
        <f t="shared" si="118"/>
        <v>93.3</v>
      </c>
      <c r="X117" s="125">
        <f t="shared" si="118"/>
        <v>116.8</v>
      </c>
      <c r="Y117" s="125">
        <f t="shared" si="118"/>
        <v>116.8</v>
      </c>
      <c r="Z117" s="110"/>
      <c r="AA117" s="110"/>
      <c r="AB117" s="110"/>
    </row>
    <row r="118" spans="1:29" x14ac:dyDescent="0.35">
      <c r="A118" s="34" t="s">
        <v>167</v>
      </c>
      <c r="G118" s="34" t="s">
        <v>163</v>
      </c>
      <c r="H118" s="125">
        <f>H14</f>
        <v>558</v>
      </c>
      <c r="I118" s="125">
        <f t="shared" ref="I118:T118" si="119">I14</f>
        <v>312</v>
      </c>
      <c r="J118" s="125">
        <f t="shared" si="119"/>
        <v>220</v>
      </c>
      <c r="K118" s="125">
        <f t="shared" si="119"/>
        <v>70</v>
      </c>
      <c r="L118" s="125">
        <f t="shared" si="119"/>
        <v>101</v>
      </c>
      <c r="M118" s="125">
        <f t="shared" si="119"/>
        <v>258</v>
      </c>
      <c r="N118" s="125">
        <f t="shared" si="119"/>
        <v>123</v>
      </c>
      <c r="O118" s="125">
        <f t="shared" si="119"/>
        <v>516</v>
      </c>
      <c r="P118" s="125">
        <f t="shared" si="119"/>
        <v>682</v>
      </c>
      <c r="Q118" s="125">
        <f t="shared" si="119"/>
        <v>80</v>
      </c>
      <c r="R118" s="125">
        <f t="shared" si="119"/>
        <v>103</v>
      </c>
      <c r="S118" s="125">
        <f t="shared" si="119"/>
        <v>358</v>
      </c>
      <c r="T118" s="125">
        <f t="shared" si="119"/>
        <v>401</v>
      </c>
      <c r="U118" s="125">
        <f t="shared" ref="U118:Y118" si="120">U14</f>
        <v>695</v>
      </c>
      <c r="V118" s="125">
        <f t="shared" si="120"/>
        <v>127</v>
      </c>
      <c r="W118" s="125">
        <f t="shared" si="120"/>
        <v>88</v>
      </c>
      <c r="X118" s="125">
        <f t="shared" si="120"/>
        <v>54</v>
      </c>
      <c r="Y118" s="125">
        <f t="shared" si="120"/>
        <v>46</v>
      </c>
      <c r="Z118" s="110"/>
      <c r="AA118" s="110"/>
      <c r="AB118" s="110"/>
    </row>
    <row r="119" spans="1:29" x14ac:dyDescent="0.35">
      <c r="G119" s="34" t="s">
        <v>164</v>
      </c>
      <c r="H119" s="125">
        <f>H35</f>
        <v>764</v>
      </c>
      <c r="I119" s="125">
        <f t="shared" ref="I119:T119" si="121">I35</f>
        <v>1151.3</v>
      </c>
      <c r="J119" s="125">
        <f t="shared" si="121"/>
        <v>1212</v>
      </c>
      <c r="K119" s="125">
        <f t="shared" si="121"/>
        <v>735</v>
      </c>
      <c r="L119" s="125">
        <f t="shared" si="121"/>
        <v>759.6</v>
      </c>
      <c r="M119" s="125">
        <f t="shared" si="121"/>
        <v>1005.1</v>
      </c>
      <c r="N119" s="125">
        <f t="shared" si="121"/>
        <v>782.2</v>
      </c>
      <c r="O119" s="125">
        <f t="shared" si="121"/>
        <v>1650</v>
      </c>
      <c r="P119" s="125">
        <f t="shared" si="121"/>
        <v>1300</v>
      </c>
      <c r="Q119" s="125">
        <f t="shared" si="121"/>
        <v>614</v>
      </c>
      <c r="R119" s="125">
        <f t="shared" si="121"/>
        <v>682</v>
      </c>
      <c r="S119" s="125">
        <f t="shared" si="121"/>
        <v>845</v>
      </c>
      <c r="T119" s="125">
        <f t="shared" si="121"/>
        <v>1267</v>
      </c>
      <c r="U119" s="125">
        <f t="shared" ref="U119:Y119" si="122">U35</f>
        <v>1319</v>
      </c>
      <c r="V119" s="125">
        <f t="shared" si="122"/>
        <v>784</v>
      </c>
      <c r="W119" s="125">
        <f t="shared" si="122"/>
        <v>455</v>
      </c>
      <c r="X119" s="125">
        <f t="shared" si="122"/>
        <v>240</v>
      </c>
      <c r="Y119" s="125">
        <f t="shared" si="122"/>
        <v>93</v>
      </c>
      <c r="Z119" s="110"/>
      <c r="AA119" s="110"/>
      <c r="AB119" s="110"/>
    </row>
    <row r="120" spans="1:29" x14ac:dyDescent="0.35">
      <c r="G120" s="111" t="s">
        <v>165</v>
      </c>
      <c r="H120" s="132">
        <f>SUM(H117:H119)</f>
        <v>1521</v>
      </c>
      <c r="I120" s="132">
        <f t="shared" ref="I120:T120" si="123">SUM(I117:I119)</f>
        <v>1665.3</v>
      </c>
      <c r="J120" s="132">
        <f t="shared" si="123"/>
        <v>1638</v>
      </c>
      <c r="K120" s="132">
        <f t="shared" si="123"/>
        <v>1021</v>
      </c>
      <c r="L120" s="132">
        <f t="shared" si="123"/>
        <v>1066.5999999999999</v>
      </c>
      <c r="M120" s="132">
        <f t="shared" si="123"/>
        <v>1473.1</v>
      </c>
      <c r="N120" s="132">
        <f t="shared" si="123"/>
        <v>1115.2</v>
      </c>
      <c r="O120" s="132">
        <f t="shared" si="123"/>
        <v>2370</v>
      </c>
      <c r="P120" s="132">
        <f t="shared" si="123"/>
        <v>2171.8000000000002</v>
      </c>
      <c r="Q120" s="132">
        <f t="shared" si="123"/>
        <v>880.4</v>
      </c>
      <c r="R120" s="132">
        <f t="shared" si="123"/>
        <v>953.6</v>
      </c>
      <c r="S120" s="132">
        <f t="shared" si="123"/>
        <v>1385.7</v>
      </c>
      <c r="T120" s="132">
        <f t="shared" si="123"/>
        <v>1833</v>
      </c>
      <c r="U120" s="132">
        <f t="shared" ref="U120:Y120" si="124">SUM(U117:U119)</f>
        <v>2094.8000000000002</v>
      </c>
      <c r="V120" s="132">
        <f t="shared" si="124"/>
        <v>1006.9</v>
      </c>
      <c r="W120" s="132">
        <f t="shared" si="124"/>
        <v>636.29999999999995</v>
      </c>
      <c r="X120" s="132">
        <f t="shared" si="124"/>
        <v>410.8</v>
      </c>
      <c r="Y120" s="132">
        <f t="shared" si="124"/>
        <v>255.8</v>
      </c>
    </row>
    <row r="395" spans="7:7" x14ac:dyDescent="0.35">
      <c r="G395" s="127" t="s">
        <v>139</v>
      </c>
    </row>
  </sheetData>
  <mergeCells count="3">
    <mergeCell ref="Z51:AB51"/>
    <mergeCell ref="H1:T1"/>
    <mergeCell ref="H51:T51"/>
  </mergeCells>
  <phoneticPr fontId="2" type="noConversion"/>
  <printOptions gridLines="1"/>
  <pageMargins left="0.75" right="0.75" top="1" bottom="1" header="0.5" footer="0.5"/>
  <pageSetup paperSize="152" scale="21" fitToHeight="2"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5"/>
  <sheetViews>
    <sheetView workbookViewId="0">
      <pane xSplit="3" ySplit="2" topLeftCell="D3" activePane="bottomRight" state="frozen"/>
      <selection pane="topRight" activeCell="D1" sqref="D1"/>
      <selection pane="bottomLeft" activeCell="A3" sqref="A3"/>
      <selection pane="bottomRight" activeCell="V27" sqref="V27"/>
    </sheetView>
  </sheetViews>
  <sheetFormatPr defaultRowHeight="12.5" x14ac:dyDescent="0.25"/>
  <cols>
    <col min="2" max="2" width="12.7265625" customWidth="1"/>
    <col min="3" max="3" width="29.08984375" customWidth="1"/>
    <col min="4" max="4" width="8.7265625" customWidth="1"/>
    <col min="5" max="5" width="9.26953125" bestFit="1" customWidth="1"/>
    <col min="6" max="7" width="9.26953125" customWidth="1"/>
    <col min="8" max="8" width="9.26953125" bestFit="1" customWidth="1"/>
    <col min="9" max="10" width="9.26953125" customWidth="1"/>
    <col min="11" max="16" width="9.26953125" bestFit="1" customWidth="1"/>
  </cols>
  <sheetData>
    <row r="1" spans="1:18" x14ac:dyDescent="0.25">
      <c r="B1" s="4"/>
      <c r="C1" s="4"/>
      <c r="D1" s="159" t="s">
        <v>49</v>
      </c>
      <c r="E1" s="159"/>
      <c r="F1" s="159"/>
      <c r="G1" s="159"/>
      <c r="H1" s="159"/>
      <c r="I1" s="159"/>
      <c r="J1" s="159"/>
      <c r="K1" s="159"/>
      <c r="L1" s="159"/>
      <c r="M1" s="159"/>
      <c r="N1" s="159"/>
      <c r="O1" s="159"/>
      <c r="P1" s="160"/>
    </row>
    <row r="2" spans="1:18" ht="25.5" thickBot="1" x14ac:dyDescent="0.3">
      <c r="A2" s="12" t="s">
        <v>103</v>
      </c>
      <c r="B2" s="12" t="s">
        <v>52</v>
      </c>
      <c r="C2" s="5" t="s">
        <v>0</v>
      </c>
      <c r="D2" s="10">
        <v>1998</v>
      </c>
      <c r="E2" s="10">
        <v>1999</v>
      </c>
      <c r="F2" s="10">
        <v>2000</v>
      </c>
      <c r="G2" s="10">
        <v>2001</v>
      </c>
      <c r="H2" s="10">
        <v>2002</v>
      </c>
      <c r="I2" s="10">
        <v>2003</v>
      </c>
      <c r="J2" s="10">
        <v>2004</v>
      </c>
      <c r="K2" s="10">
        <v>2005</v>
      </c>
      <c r="L2" s="10">
        <v>2006</v>
      </c>
      <c r="M2" s="10">
        <v>2007</v>
      </c>
      <c r="N2" s="10">
        <v>2008</v>
      </c>
      <c r="O2" s="10">
        <v>2009</v>
      </c>
      <c r="P2" s="2">
        <v>2010</v>
      </c>
      <c r="Q2" s="135" t="s">
        <v>229</v>
      </c>
    </row>
    <row r="3" spans="1:18" x14ac:dyDescent="0.25">
      <c r="A3">
        <v>15404</v>
      </c>
      <c r="B3" s="3">
        <v>508</v>
      </c>
      <c r="C3" t="s">
        <v>53</v>
      </c>
      <c r="D3" s="8">
        <v>6116</v>
      </c>
      <c r="E3" s="6">
        <v>5054</v>
      </c>
      <c r="F3" s="6">
        <v>4611</v>
      </c>
      <c r="G3" s="6">
        <v>2411</v>
      </c>
      <c r="H3" s="6">
        <v>2604</v>
      </c>
      <c r="I3" s="6">
        <v>3193</v>
      </c>
      <c r="J3" s="6">
        <v>3941</v>
      </c>
      <c r="K3" s="6">
        <f>215.2+209.4+198.6+130.4+71.6+100.8+69.4+241.2+342.3+398.1+393.5+304.7</f>
        <v>2675.2</v>
      </c>
      <c r="L3" s="6">
        <v>7791</v>
      </c>
      <c r="M3" s="6">
        <v>3536</v>
      </c>
      <c r="N3" s="6">
        <v>2365</v>
      </c>
      <c r="O3" s="6">
        <v>2509</v>
      </c>
      <c r="P3" s="6">
        <v>2790</v>
      </c>
    </row>
    <row r="4" spans="1:18" x14ac:dyDescent="0.25">
      <c r="A4">
        <v>17234</v>
      </c>
      <c r="B4" s="3">
        <v>508</v>
      </c>
      <c r="C4" t="s">
        <v>54</v>
      </c>
      <c r="D4" s="8">
        <v>4191</v>
      </c>
      <c r="E4" s="6">
        <v>3219</v>
      </c>
      <c r="F4" s="6">
        <v>2619</v>
      </c>
      <c r="G4" s="6">
        <v>1357</v>
      </c>
      <c r="H4" s="6">
        <v>1538.6</v>
      </c>
      <c r="I4" s="6">
        <v>2025</v>
      </c>
      <c r="J4" s="6">
        <v>1832</v>
      </c>
      <c r="K4" s="6">
        <v>2780</v>
      </c>
      <c r="L4" s="6">
        <v>5375</v>
      </c>
      <c r="M4" s="6">
        <v>1771</v>
      </c>
      <c r="N4" s="6">
        <v>1279</v>
      </c>
      <c r="O4" s="6">
        <v>1788</v>
      </c>
      <c r="P4" s="6">
        <v>2013</v>
      </c>
    </row>
    <row r="5" spans="1:18" x14ac:dyDescent="0.25">
      <c r="A5">
        <v>18239</v>
      </c>
      <c r="B5" s="3">
        <v>604</v>
      </c>
      <c r="C5" t="s">
        <v>55</v>
      </c>
      <c r="D5" s="8">
        <v>1268</v>
      </c>
      <c r="E5" s="6">
        <v>670.1</v>
      </c>
      <c r="F5" s="6">
        <v>741</v>
      </c>
      <c r="G5" s="6">
        <v>380</v>
      </c>
      <c r="H5" s="6">
        <v>226.6</v>
      </c>
      <c r="I5" s="6">
        <v>326.5</v>
      </c>
      <c r="J5" s="6">
        <v>301</v>
      </c>
      <c r="K5" s="6">
        <v>737.9</v>
      </c>
      <c r="L5" s="6">
        <v>1183</v>
      </c>
      <c r="M5" s="6">
        <v>255</v>
      </c>
      <c r="N5" s="6">
        <v>188</v>
      </c>
      <c r="O5" s="6">
        <v>211</v>
      </c>
      <c r="P5" s="6">
        <v>419</v>
      </c>
    </row>
    <row r="6" spans="1:18" x14ac:dyDescent="0.25">
      <c r="A6">
        <v>19405</v>
      </c>
      <c r="B6" s="3">
        <v>604</v>
      </c>
      <c r="C6" t="s">
        <v>56</v>
      </c>
      <c r="D6" s="8">
        <v>2091</v>
      </c>
      <c r="E6" s="6">
        <v>1537</v>
      </c>
      <c r="F6" s="6">
        <v>1162</v>
      </c>
      <c r="G6" s="6">
        <v>565</v>
      </c>
      <c r="H6" s="6">
        <v>870</v>
      </c>
      <c r="I6" s="6">
        <v>849</v>
      </c>
      <c r="J6" s="6">
        <v>786</v>
      </c>
      <c r="K6" s="6">
        <v>704</v>
      </c>
      <c r="L6" s="6">
        <v>1892</v>
      </c>
      <c r="M6" s="6">
        <v>1158</v>
      </c>
      <c r="N6" s="6">
        <v>870</v>
      </c>
      <c r="O6" s="6">
        <v>817</v>
      </c>
      <c r="P6" s="6">
        <v>804</v>
      </c>
    </row>
    <row r="7" spans="1:18" x14ac:dyDescent="0.25">
      <c r="A7">
        <v>19650</v>
      </c>
      <c r="B7" s="3">
        <v>604</v>
      </c>
      <c r="C7" t="s">
        <v>57</v>
      </c>
      <c r="D7" s="8">
        <v>3338</v>
      </c>
      <c r="E7" s="6">
        <v>161.69999999999999</v>
      </c>
      <c r="F7" s="6">
        <v>2019</v>
      </c>
      <c r="G7" s="6">
        <v>1033</v>
      </c>
      <c r="H7" s="6">
        <v>149.9</v>
      </c>
      <c r="I7" s="6">
        <v>196.5</v>
      </c>
      <c r="J7" s="6">
        <v>252</v>
      </c>
      <c r="K7" s="6">
        <v>1366</v>
      </c>
      <c r="L7" s="6">
        <v>2930</v>
      </c>
      <c r="M7" s="6">
        <v>986</v>
      </c>
      <c r="N7" s="6">
        <v>878</v>
      </c>
      <c r="O7" s="6">
        <v>927</v>
      </c>
      <c r="P7" s="9">
        <v>1397</v>
      </c>
    </row>
    <row r="8" spans="1:18" x14ac:dyDescent="0.25">
      <c r="A8">
        <v>21420</v>
      </c>
      <c r="B8" s="3">
        <v>610</v>
      </c>
      <c r="C8" t="s">
        <v>58</v>
      </c>
      <c r="D8" s="8">
        <v>176</v>
      </c>
      <c r="E8" s="6">
        <v>323</v>
      </c>
      <c r="F8" s="6">
        <v>273</v>
      </c>
      <c r="G8" s="6">
        <v>188</v>
      </c>
      <c r="H8" s="6">
        <v>199.6</v>
      </c>
      <c r="I8" s="6">
        <v>407</v>
      </c>
      <c r="J8" s="6">
        <v>214</v>
      </c>
      <c r="K8" s="6">
        <v>287</v>
      </c>
      <c r="L8" s="6">
        <v>341</v>
      </c>
      <c r="M8" s="6">
        <v>158</v>
      </c>
      <c r="N8" s="6">
        <v>187</v>
      </c>
      <c r="O8" s="6">
        <v>231</v>
      </c>
      <c r="P8" s="9">
        <v>309</v>
      </c>
    </row>
    <row r="9" spans="1:18" x14ac:dyDescent="0.25">
      <c r="A9">
        <v>19920</v>
      </c>
      <c r="B9" s="3">
        <v>610</v>
      </c>
      <c r="C9" t="s">
        <v>59</v>
      </c>
      <c r="D9" s="8">
        <v>155</v>
      </c>
      <c r="E9" s="6">
        <v>80</v>
      </c>
      <c r="F9" s="6">
        <v>81</v>
      </c>
      <c r="G9" s="6">
        <v>46</v>
      </c>
      <c r="H9" s="6">
        <v>25</v>
      </c>
      <c r="I9" s="6">
        <v>26</v>
      </c>
      <c r="J9" s="6">
        <v>25</v>
      </c>
      <c r="K9" s="22">
        <v>82</v>
      </c>
      <c r="L9" s="6">
        <v>134</v>
      </c>
      <c r="M9" s="6">
        <v>107</v>
      </c>
      <c r="N9" s="6">
        <v>52</v>
      </c>
      <c r="O9" s="6">
        <v>13</v>
      </c>
      <c r="P9" s="9">
        <v>51</v>
      </c>
    </row>
    <row r="10" spans="1:18" x14ac:dyDescent="0.25">
      <c r="A10">
        <v>19920</v>
      </c>
      <c r="B10" s="3">
        <v>610</v>
      </c>
      <c r="C10" t="s">
        <v>60</v>
      </c>
      <c r="D10" s="8">
        <v>195</v>
      </c>
      <c r="E10" s="6">
        <v>50</v>
      </c>
      <c r="F10" s="6">
        <v>65</v>
      </c>
      <c r="G10" s="6">
        <v>83</v>
      </c>
      <c r="H10" s="6">
        <v>23</v>
      </c>
      <c r="I10" s="6">
        <v>13</v>
      </c>
      <c r="J10" s="6">
        <v>20</v>
      </c>
      <c r="K10" s="22">
        <v>48</v>
      </c>
      <c r="L10" s="6">
        <v>128</v>
      </c>
      <c r="M10" s="6">
        <v>81</v>
      </c>
      <c r="N10" s="6">
        <v>23</v>
      </c>
      <c r="O10" s="6">
        <v>16</v>
      </c>
      <c r="P10" s="9">
        <v>20</v>
      </c>
    </row>
    <row r="11" spans="1:18" x14ac:dyDescent="0.25">
      <c r="A11">
        <v>21024</v>
      </c>
      <c r="B11" s="3">
        <v>610</v>
      </c>
      <c r="C11" t="s">
        <v>61</v>
      </c>
      <c r="D11" s="8">
        <v>92</v>
      </c>
      <c r="E11" s="6">
        <v>33</v>
      </c>
      <c r="F11" s="6">
        <v>53</v>
      </c>
      <c r="G11" s="6">
        <v>13</v>
      </c>
      <c r="H11" s="6">
        <v>9</v>
      </c>
      <c r="I11" s="6">
        <v>7</v>
      </c>
      <c r="J11" s="6">
        <v>4</v>
      </c>
      <c r="K11" s="22">
        <v>83</v>
      </c>
      <c r="L11" s="6">
        <v>54</v>
      </c>
      <c r="M11" s="6">
        <v>2</v>
      </c>
      <c r="N11" s="6">
        <v>8</v>
      </c>
      <c r="O11" s="6">
        <v>14</v>
      </c>
      <c r="P11" s="9">
        <v>44</v>
      </c>
    </row>
    <row r="12" spans="1:18" x14ac:dyDescent="0.25">
      <c r="A12">
        <v>21024</v>
      </c>
      <c r="B12" s="3">
        <v>610</v>
      </c>
      <c r="C12" t="s">
        <v>62</v>
      </c>
      <c r="D12" s="8">
        <v>19</v>
      </c>
      <c r="E12" s="6">
        <v>8</v>
      </c>
      <c r="F12" s="6">
        <v>10</v>
      </c>
      <c r="G12" s="6">
        <v>1</v>
      </c>
      <c r="H12" s="6">
        <v>1</v>
      </c>
      <c r="I12" s="6">
        <v>1</v>
      </c>
      <c r="J12" s="6">
        <v>2</v>
      </c>
      <c r="K12" s="22">
        <v>14</v>
      </c>
      <c r="L12" s="6">
        <v>6</v>
      </c>
      <c r="M12" s="6">
        <v>3</v>
      </c>
      <c r="N12" s="6">
        <v>1</v>
      </c>
      <c r="O12" s="6">
        <v>6</v>
      </c>
      <c r="P12" s="9">
        <v>4</v>
      </c>
    </row>
    <row r="13" spans="1:18" x14ac:dyDescent="0.25">
      <c r="A13">
        <v>17603</v>
      </c>
      <c r="B13" s="3">
        <v>610</v>
      </c>
      <c r="C13" t="s">
        <v>63</v>
      </c>
      <c r="D13" s="8">
        <v>62</v>
      </c>
      <c r="E13" s="6">
        <v>16</v>
      </c>
      <c r="F13" s="6">
        <v>33</v>
      </c>
      <c r="G13" s="6">
        <v>7</v>
      </c>
      <c r="H13" s="6">
        <v>9</v>
      </c>
      <c r="I13" s="6">
        <v>6</v>
      </c>
      <c r="J13" s="6">
        <v>10</v>
      </c>
      <c r="K13" s="6">
        <v>51</v>
      </c>
      <c r="L13" s="6">
        <v>162</v>
      </c>
      <c r="M13" s="6">
        <v>59</v>
      </c>
      <c r="N13" s="6">
        <v>79</v>
      </c>
      <c r="O13" s="6">
        <v>73</v>
      </c>
      <c r="P13" s="9">
        <v>130</v>
      </c>
    </row>
    <row r="14" spans="1:18" x14ac:dyDescent="0.25">
      <c r="A14">
        <v>19622</v>
      </c>
      <c r="B14" s="3">
        <v>610</v>
      </c>
      <c r="C14" t="s">
        <v>64</v>
      </c>
      <c r="D14" s="17">
        <v>1692</v>
      </c>
      <c r="E14" s="18">
        <v>455.4</v>
      </c>
      <c r="F14" s="18">
        <v>942</v>
      </c>
      <c r="G14" s="18">
        <v>745</v>
      </c>
      <c r="H14" s="18">
        <v>701.2</v>
      </c>
      <c r="I14" s="18">
        <v>664</v>
      </c>
      <c r="J14" s="18">
        <v>772</v>
      </c>
      <c r="K14" s="18">
        <v>1192</v>
      </c>
      <c r="L14" s="18">
        <v>1394</v>
      </c>
      <c r="M14" s="1">
        <v>741</v>
      </c>
      <c r="N14" s="1">
        <v>602</v>
      </c>
      <c r="O14" s="1">
        <v>712</v>
      </c>
      <c r="P14" s="1">
        <v>685</v>
      </c>
      <c r="R14" s="20" t="s">
        <v>150</v>
      </c>
    </row>
    <row r="15" spans="1:18" x14ac:dyDescent="0.25">
      <c r="B15" s="3"/>
      <c r="D15" s="6">
        <f>SUM(D3:D14)</f>
        <v>19395</v>
      </c>
      <c r="E15" s="6">
        <f>SUM(E3:E14)</f>
        <v>11607.2</v>
      </c>
      <c r="F15" s="6">
        <f t="shared" ref="F15:K15" si="0">SUM(F3:F14)</f>
        <v>12609</v>
      </c>
      <c r="G15" s="6">
        <f t="shared" si="0"/>
        <v>6829</v>
      </c>
      <c r="H15" s="6">
        <f t="shared" si="0"/>
        <v>6356.9000000000005</v>
      </c>
      <c r="I15" s="6">
        <f t="shared" si="0"/>
        <v>7714</v>
      </c>
      <c r="J15" s="6">
        <f t="shared" si="0"/>
        <v>8159</v>
      </c>
      <c r="K15" s="6">
        <f t="shared" si="0"/>
        <v>10020.099999999999</v>
      </c>
    </row>
    <row r="16" spans="1:18" x14ac:dyDescent="0.25">
      <c r="A16">
        <v>21420</v>
      </c>
      <c r="B16" s="3">
        <v>610</v>
      </c>
      <c r="C16" t="s">
        <v>104</v>
      </c>
      <c r="E16" s="6">
        <v>223.2</v>
      </c>
      <c r="F16" s="6"/>
      <c r="G16" s="6"/>
      <c r="H16" s="6">
        <v>114</v>
      </c>
      <c r="I16" s="6">
        <v>121.5</v>
      </c>
      <c r="J16" s="6">
        <v>116.5</v>
      </c>
      <c r="K16" s="6">
        <v>713.8</v>
      </c>
      <c r="L16" s="9">
        <v>3161</v>
      </c>
      <c r="M16" s="6">
        <v>902</v>
      </c>
      <c r="N16" s="6">
        <v>1067</v>
      </c>
      <c r="O16" s="6">
        <v>1429</v>
      </c>
      <c r="P16" s="9">
        <v>1936</v>
      </c>
    </row>
    <row r="17" spans="2:11" x14ac:dyDescent="0.25">
      <c r="B17" s="7"/>
      <c r="E17" s="6"/>
      <c r="F17" s="6"/>
      <c r="G17" s="6"/>
      <c r="H17" s="6"/>
      <c r="I17" s="6"/>
      <c r="J17" s="6"/>
      <c r="K17" s="6"/>
    </row>
    <row r="18" spans="2:11" x14ac:dyDescent="0.25">
      <c r="B18" s="3"/>
      <c r="E18" s="6"/>
      <c r="F18" s="6"/>
      <c r="G18" s="6"/>
      <c r="H18" s="6"/>
      <c r="I18" s="6"/>
      <c r="J18" s="6"/>
      <c r="K18" s="6"/>
    </row>
    <row r="19" spans="2:11" x14ac:dyDescent="0.25">
      <c r="B19" s="3"/>
      <c r="E19" s="6"/>
      <c r="F19" s="6"/>
      <c r="G19" s="6"/>
      <c r="H19" s="6"/>
      <c r="I19" s="6"/>
      <c r="J19" s="6"/>
      <c r="K19" s="6"/>
    </row>
    <row r="20" spans="2:11" x14ac:dyDescent="0.25">
      <c r="B20" s="3"/>
      <c r="E20" s="6"/>
      <c r="F20" s="6"/>
      <c r="G20" s="6"/>
      <c r="H20" s="6"/>
      <c r="I20" s="6"/>
      <c r="J20" s="6"/>
      <c r="K20" s="6"/>
    </row>
    <row r="21" spans="2:11" x14ac:dyDescent="0.25">
      <c r="B21" s="3"/>
      <c r="E21" s="6"/>
      <c r="F21" s="6"/>
      <c r="G21" s="6"/>
      <c r="H21" s="6"/>
      <c r="I21" s="6"/>
      <c r="J21" s="6"/>
      <c r="K21" s="6"/>
    </row>
    <row r="22" spans="2:11" x14ac:dyDescent="0.25">
      <c r="B22" s="3"/>
      <c r="E22" s="6"/>
      <c r="F22" s="6"/>
      <c r="G22" s="6"/>
      <c r="H22" s="6"/>
      <c r="I22" s="6"/>
      <c r="J22" s="6"/>
      <c r="K22" s="6"/>
    </row>
    <row r="23" spans="2:11" x14ac:dyDescent="0.25">
      <c r="B23" s="3"/>
      <c r="E23" s="6"/>
      <c r="F23" s="6"/>
      <c r="G23" s="6"/>
      <c r="H23" s="6"/>
      <c r="I23" s="6"/>
      <c r="J23" s="6"/>
      <c r="K23" s="6"/>
    </row>
    <row r="24" spans="2:11" x14ac:dyDescent="0.25">
      <c r="B24" s="3"/>
      <c r="E24" s="6"/>
      <c r="F24" s="6"/>
      <c r="G24" s="6"/>
      <c r="H24" s="6"/>
      <c r="I24" s="6"/>
      <c r="J24" s="6"/>
      <c r="K24" s="6"/>
    </row>
    <row r="25" spans="2:11" x14ac:dyDescent="0.25">
      <c r="B25" s="3"/>
      <c r="E25" s="6"/>
      <c r="F25" s="6"/>
      <c r="G25" s="6"/>
      <c r="H25" s="6"/>
      <c r="I25" s="6"/>
      <c r="J25" s="6"/>
      <c r="K25" s="6"/>
    </row>
    <row r="26" spans="2:11" x14ac:dyDescent="0.25">
      <c r="E26" s="6"/>
      <c r="F26" s="6"/>
      <c r="G26" s="6"/>
      <c r="H26" s="6"/>
      <c r="I26" s="6"/>
      <c r="J26" s="6"/>
      <c r="K26" s="6"/>
    </row>
    <row r="27" spans="2:11" x14ac:dyDescent="0.25">
      <c r="E27" s="6"/>
      <c r="F27" s="6"/>
      <c r="G27" s="6"/>
      <c r="H27" s="6"/>
      <c r="I27" s="6"/>
      <c r="J27" s="6"/>
      <c r="K27" s="6"/>
    </row>
    <row r="28" spans="2:11" x14ac:dyDescent="0.25">
      <c r="E28" s="6"/>
      <c r="F28" s="6"/>
      <c r="G28" s="6"/>
      <c r="H28" s="6"/>
      <c r="I28" s="6"/>
      <c r="J28" s="6"/>
      <c r="K28" s="6"/>
    </row>
    <row r="29" spans="2:11" x14ac:dyDescent="0.25">
      <c r="E29" s="6"/>
      <c r="F29" s="6"/>
      <c r="G29" s="6"/>
      <c r="H29" s="6"/>
      <c r="I29" s="6"/>
      <c r="J29" s="6"/>
      <c r="K29" s="6"/>
    </row>
    <row r="30" spans="2:11" x14ac:dyDescent="0.25">
      <c r="E30" s="6"/>
      <c r="F30" s="6"/>
      <c r="G30" s="6"/>
      <c r="H30" s="6"/>
      <c r="I30" s="6"/>
      <c r="J30" s="6"/>
      <c r="K30" s="6"/>
    </row>
    <row r="31" spans="2:11" x14ac:dyDescent="0.25">
      <c r="E31" s="6"/>
      <c r="F31" s="6"/>
      <c r="G31" s="6"/>
      <c r="H31" s="6"/>
      <c r="I31" s="6"/>
      <c r="J31" s="6"/>
      <c r="K31" s="6"/>
    </row>
    <row r="32" spans="2:11" x14ac:dyDescent="0.25">
      <c r="E32" s="6"/>
      <c r="F32" s="6"/>
      <c r="G32" s="6"/>
      <c r="H32" s="6"/>
      <c r="I32" s="6"/>
      <c r="J32" s="6"/>
      <c r="K32" s="6"/>
    </row>
    <row r="33" spans="5:11" x14ac:dyDescent="0.25">
      <c r="E33" s="6"/>
      <c r="F33" s="6"/>
      <c r="G33" s="6"/>
      <c r="H33" s="6"/>
      <c r="I33" s="6"/>
      <c r="J33" s="6"/>
      <c r="K33" s="6"/>
    </row>
    <row r="34" spans="5:11" x14ac:dyDescent="0.25">
      <c r="E34" s="6"/>
      <c r="F34" s="6"/>
      <c r="G34" s="6"/>
      <c r="H34" s="6"/>
      <c r="I34" s="6"/>
      <c r="J34" s="6"/>
      <c r="K34" s="6"/>
    </row>
    <row r="35" spans="5:11" x14ac:dyDescent="0.25">
      <c r="E35" s="6"/>
      <c r="F35" s="6"/>
      <c r="G35" s="6"/>
      <c r="H35" s="6"/>
      <c r="I35" s="6"/>
      <c r="J35" s="6"/>
      <c r="K35" s="6"/>
    </row>
  </sheetData>
  <mergeCells count="1">
    <mergeCell ref="D1:P1"/>
  </mergeCells>
  <phoneticPr fontId="2" type="noConversion"/>
  <pageMargins left="0.75" right="0.75" top="1" bottom="1" header="0.5" footer="0.5"/>
  <pageSetup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pane xSplit="4" ySplit="1" topLeftCell="J2" activePane="bottomRight" state="frozen"/>
      <selection pane="topRight" activeCell="E1" sqref="E1"/>
      <selection pane="bottomLeft" activeCell="A2" sqref="A2"/>
      <selection pane="bottomRight" activeCell="A16" sqref="A16"/>
    </sheetView>
  </sheetViews>
  <sheetFormatPr defaultRowHeight="12.5" x14ac:dyDescent="0.25"/>
  <cols>
    <col min="1" max="1" width="10" customWidth="1"/>
    <col min="2" max="2" width="15.36328125" customWidth="1"/>
    <col min="5" max="5" width="9.26953125" bestFit="1" customWidth="1"/>
    <col min="6" max="6" width="9.36328125" bestFit="1" customWidth="1"/>
    <col min="7" max="8" width="9.26953125" customWidth="1"/>
    <col min="9" max="9" width="9.26953125" bestFit="1" customWidth="1"/>
    <col min="10" max="11" width="9.26953125" customWidth="1"/>
    <col min="13" max="17" width="9.26953125" bestFit="1" customWidth="1"/>
    <col min="18" max="20" width="9.1796875" bestFit="1" customWidth="1"/>
  </cols>
  <sheetData>
    <row r="1" spans="1:22" x14ac:dyDescent="0.25">
      <c r="A1" s="19" t="s">
        <v>67</v>
      </c>
      <c r="B1" s="19" t="s">
        <v>72</v>
      </c>
      <c r="C1" s="19" t="s">
        <v>68</v>
      </c>
      <c r="D1" s="19" t="s">
        <v>69</v>
      </c>
      <c r="E1" s="19">
        <v>1998</v>
      </c>
      <c r="F1" s="19">
        <v>1999</v>
      </c>
      <c r="G1" s="19">
        <v>2000</v>
      </c>
      <c r="H1" s="19">
        <v>2001</v>
      </c>
      <c r="I1" s="19">
        <v>2002</v>
      </c>
      <c r="J1" s="19">
        <v>2003</v>
      </c>
      <c r="K1" s="19">
        <v>2004</v>
      </c>
      <c r="L1" s="19">
        <v>2005</v>
      </c>
      <c r="M1" s="19">
        <v>2006</v>
      </c>
      <c r="N1" s="19">
        <v>2007</v>
      </c>
      <c r="O1" s="19">
        <v>2008</v>
      </c>
      <c r="P1" s="19">
        <v>2009</v>
      </c>
      <c r="Q1" s="19">
        <v>2010</v>
      </c>
      <c r="R1" s="134">
        <v>2011</v>
      </c>
      <c r="S1" s="134">
        <v>2012</v>
      </c>
      <c r="T1" s="134">
        <v>2013</v>
      </c>
      <c r="U1" s="134">
        <v>2014</v>
      </c>
      <c r="V1" s="134">
        <v>2015</v>
      </c>
    </row>
    <row r="2" spans="1:22" x14ac:dyDescent="0.25">
      <c r="A2" s="3">
        <v>4</v>
      </c>
      <c r="B2" t="s">
        <v>73</v>
      </c>
      <c r="C2" t="s">
        <v>70</v>
      </c>
      <c r="D2" t="s">
        <v>71</v>
      </c>
      <c r="E2" s="6">
        <v>1423</v>
      </c>
      <c r="F2" s="6">
        <v>2846</v>
      </c>
      <c r="G2" s="6">
        <v>3420</v>
      </c>
      <c r="H2" s="6">
        <v>1749</v>
      </c>
      <c r="I2" s="6">
        <v>2776</v>
      </c>
      <c r="J2" s="6">
        <v>2941</v>
      </c>
      <c r="K2" s="6">
        <v>2838</v>
      </c>
      <c r="L2" s="6">
        <v>3327</v>
      </c>
      <c r="M2" s="6">
        <v>3369</v>
      </c>
      <c r="N2" s="6">
        <v>2585</v>
      </c>
      <c r="O2" s="6">
        <v>1396</v>
      </c>
      <c r="P2" s="6">
        <v>1395</v>
      </c>
      <c r="Q2" s="6">
        <v>2433</v>
      </c>
      <c r="R2" s="6">
        <v>3393</v>
      </c>
      <c r="S2" s="6">
        <v>2667</v>
      </c>
      <c r="T2" s="6">
        <v>1724</v>
      </c>
      <c r="U2" s="6">
        <v>574</v>
      </c>
      <c r="V2" s="149">
        <v>829.2</v>
      </c>
    </row>
    <row r="3" spans="1:22" x14ac:dyDescent="0.25">
      <c r="A3" s="3" t="s">
        <v>74</v>
      </c>
      <c r="B3" t="s">
        <v>75</v>
      </c>
      <c r="C3" t="s">
        <v>71</v>
      </c>
      <c r="D3" t="s">
        <v>76</v>
      </c>
      <c r="E3" s="6">
        <v>551</v>
      </c>
      <c r="F3" s="6">
        <v>1001</v>
      </c>
      <c r="G3" s="6">
        <v>1682</v>
      </c>
      <c r="H3" s="6">
        <v>1209</v>
      </c>
      <c r="I3" s="6">
        <v>1795</v>
      </c>
      <c r="J3" s="6">
        <v>1787</v>
      </c>
      <c r="K3" s="6">
        <v>2032</v>
      </c>
      <c r="L3" s="6">
        <v>1575</v>
      </c>
      <c r="M3" s="6">
        <v>1831</v>
      </c>
      <c r="N3" s="6">
        <v>2021</v>
      </c>
      <c r="O3" s="6">
        <v>1193</v>
      </c>
      <c r="P3" s="6">
        <v>1185</v>
      </c>
      <c r="Q3" s="6">
        <v>1480</v>
      </c>
      <c r="R3" s="6">
        <v>1678</v>
      </c>
      <c r="S3" s="6">
        <v>1568</v>
      </c>
      <c r="T3" s="6">
        <v>1211</v>
      </c>
      <c r="U3" s="6">
        <v>544</v>
      </c>
      <c r="V3" s="149">
        <v>759</v>
      </c>
    </row>
    <row r="4" spans="1:22" x14ac:dyDescent="0.25">
      <c r="A4" s="3" t="s">
        <v>77</v>
      </c>
      <c r="B4" t="s">
        <v>78</v>
      </c>
      <c r="C4" t="s">
        <v>76</v>
      </c>
      <c r="D4" t="s">
        <v>79</v>
      </c>
      <c r="E4" s="6">
        <v>114</v>
      </c>
      <c r="F4" s="6">
        <v>390</v>
      </c>
      <c r="G4" s="6">
        <v>717</v>
      </c>
      <c r="H4" s="6">
        <v>473</v>
      </c>
      <c r="I4" s="6">
        <v>860</v>
      </c>
      <c r="J4" s="6">
        <v>747</v>
      </c>
      <c r="K4" s="6">
        <v>867</v>
      </c>
      <c r="L4" s="6">
        <v>497</v>
      </c>
      <c r="M4" s="6">
        <v>512</v>
      </c>
      <c r="N4" s="6">
        <v>914</v>
      </c>
      <c r="O4" s="6">
        <v>559</v>
      </c>
      <c r="P4" s="6">
        <v>668</v>
      </c>
      <c r="Q4" s="6">
        <v>481</v>
      </c>
      <c r="R4" s="6">
        <v>424</v>
      </c>
      <c r="S4" s="6">
        <v>638</v>
      </c>
      <c r="T4" s="6">
        <v>640</v>
      </c>
      <c r="U4" s="6">
        <v>316</v>
      </c>
      <c r="V4" s="149">
        <v>497</v>
      </c>
    </row>
    <row r="5" spans="1:22" x14ac:dyDescent="0.25">
      <c r="A5" s="3">
        <v>25</v>
      </c>
      <c r="B5" t="s">
        <v>80</v>
      </c>
      <c r="C5" t="s">
        <v>76</v>
      </c>
      <c r="D5" t="s">
        <v>85</v>
      </c>
      <c r="E5" s="6"/>
      <c r="F5" s="6"/>
      <c r="G5" s="6"/>
      <c r="H5" s="6"/>
      <c r="I5" s="6"/>
      <c r="J5" s="6"/>
      <c r="K5" s="6"/>
      <c r="L5" s="6"/>
      <c r="R5" s="6"/>
      <c r="S5" s="6"/>
      <c r="T5" s="6"/>
      <c r="U5" s="6"/>
      <c r="V5" s="149"/>
    </row>
    <row r="6" spans="1:22" x14ac:dyDescent="0.25">
      <c r="A6" s="3" t="s">
        <v>81</v>
      </c>
      <c r="E6" s="6">
        <f>37+2+9+78+58</f>
        <v>184</v>
      </c>
      <c r="F6" s="6">
        <f>140+13+22+50+58</f>
        <v>283</v>
      </c>
      <c r="G6" s="6">
        <f>42+58+327+15</f>
        <v>442</v>
      </c>
      <c r="H6" s="6">
        <f>9+15+284+2</f>
        <v>310</v>
      </c>
      <c r="I6" s="6">
        <f>17+28+302+26+25</f>
        <v>398</v>
      </c>
      <c r="J6" s="6">
        <f>14+24+465+5+22</f>
        <v>530</v>
      </c>
      <c r="K6" s="6">
        <f>15+21+428+40+13</f>
        <v>517</v>
      </c>
      <c r="L6" s="6">
        <f>34+49+362+16+14</f>
        <v>475</v>
      </c>
      <c r="M6">
        <f>121+50+405+20+16</f>
        <v>612</v>
      </c>
      <c r="N6">
        <f>66+27+371+10+4</f>
        <v>478</v>
      </c>
      <c r="O6">
        <f>40+25+211+7</f>
        <v>283</v>
      </c>
      <c r="P6">
        <f>45+18+138+12</f>
        <v>213</v>
      </c>
      <c r="Q6">
        <f>54+18+464+20+19</f>
        <v>575</v>
      </c>
      <c r="R6" s="6">
        <f>85+34+610+24</f>
        <v>753</v>
      </c>
      <c r="S6" s="6">
        <f>99+34+362+51+22</f>
        <v>568</v>
      </c>
      <c r="T6" s="6">
        <f>33+18+235+1+9</f>
        <v>296</v>
      </c>
      <c r="U6" s="6">
        <f>10+3+95+1+1</f>
        <v>110</v>
      </c>
      <c r="V6" s="149">
        <f>26.6+110.8+2.1+5.8</f>
        <v>145.30000000000001</v>
      </c>
    </row>
    <row r="7" spans="1:22" x14ac:dyDescent="0.25">
      <c r="A7" s="3" t="s">
        <v>82</v>
      </c>
      <c r="E7" s="6">
        <v>0</v>
      </c>
      <c r="F7" s="6">
        <v>0</v>
      </c>
      <c r="G7" s="6">
        <v>0</v>
      </c>
      <c r="H7" s="6">
        <v>0</v>
      </c>
      <c r="I7" s="6">
        <v>0</v>
      </c>
      <c r="J7" s="6">
        <v>0</v>
      </c>
      <c r="K7" s="6">
        <v>0</v>
      </c>
      <c r="L7" s="6">
        <v>0</v>
      </c>
      <c r="M7" s="6">
        <v>0</v>
      </c>
      <c r="N7" s="6">
        <v>0</v>
      </c>
      <c r="O7" s="6">
        <v>0</v>
      </c>
      <c r="P7" s="6">
        <v>0</v>
      </c>
      <c r="Q7" s="6">
        <v>0</v>
      </c>
      <c r="R7" s="6">
        <v>0</v>
      </c>
      <c r="S7" s="6">
        <v>0</v>
      </c>
      <c r="T7" s="6">
        <v>0</v>
      </c>
      <c r="U7" s="6">
        <v>0</v>
      </c>
      <c r="V7" s="149">
        <v>0</v>
      </c>
    </row>
    <row r="8" spans="1:22" x14ac:dyDescent="0.25">
      <c r="A8" s="3" t="s">
        <v>83</v>
      </c>
      <c r="E8" s="6">
        <f>15+77</f>
        <v>92</v>
      </c>
      <c r="F8" s="6">
        <v>207</v>
      </c>
      <c r="G8" s="6">
        <v>380</v>
      </c>
      <c r="H8" s="6">
        <v>261</v>
      </c>
      <c r="I8" s="6">
        <v>341</v>
      </c>
      <c r="J8" s="6">
        <v>246</v>
      </c>
      <c r="K8" s="6">
        <v>358</v>
      </c>
      <c r="L8" s="6">
        <v>242</v>
      </c>
      <c r="M8">
        <v>343</v>
      </c>
      <c r="N8">
        <f>10+272</f>
        <v>282</v>
      </c>
      <c r="O8">
        <v>184</v>
      </c>
      <c r="P8">
        <v>127</v>
      </c>
      <c r="Q8">
        <f>43+129</f>
        <v>172</v>
      </c>
      <c r="R8" s="6">
        <f>8+213</f>
        <v>221</v>
      </c>
      <c r="S8" s="6">
        <f>17+8+86</f>
        <v>111</v>
      </c>
      <c r="T8" s="6">
        <f>31+45</f>
        <v>76</v>
      </c>
      <c r="U8" s="6">
        <f>1</f>
        <v>1</v>
      </c>
      <c r="V8" s="149">
        <f>11+9.6+25.9</f>
        <v>46.5</v>
      </c>
    </row>
    <row r="9" spans="1:22" x14ac:dyDescent="0.25">
      <c r="A9" s="3" t="s">
        <v>84</v>
      </c>
      <c r="E9" s="6">
        <f>1+5+50</f>
        <v>56</v>
      </c>
      <c r="F9" s="6">
        <v>8</v>
      </c>
      <c r="G9" s="6">
        <v>8</v>
      </c>
      <c r="H9" s="6">
        <v>33</v>
      </c>
      <c r="I9" s="6">
        <v>42</v>
      </c>
      <c r="J9" s="6">
        <v>51</v>
      </c>
      <c r="K9" s="6">
        <v>20</v>
      </c>
      <c r="L9" s="6">
        <v>114</v>
      </c>
      <c r="M9" s="6">
        <v>32</v>
      </c>
      <c r="N9" s="6">
        <v>49</v>
      </c>
      <c r="O9" s="6">
        <v>10</v>
      </c>
      <c r="P9" s="6">
        <v>6</v>
      </c>
      <c r="Q9" s="6">
        <v>67</v>
      </c>
      <c r="R9" s="6">
        <v>52</v>
      </c>
      <c r="S9" s="6">
        <v>42</v>
      </c>
      <c r="T9" s="6">
        <v>45</v>
      </c>
      <c r="U9" s="6">
        <v>3</v>
      </c>
      <c r="V9" s="149">
        <v>2.5</v>
      </c>
    </row>
    <row r="10" spans="1:22" x14ac:dyDescent="0.25">
      <c r="E10" s="6"/>
      <c r="F10" s="6"/>
      <c r="G10" s="6"/>
      <c r="H10" s="6"/>
      <c r="I10" s="6"/>
      <c r="J10" s="6"/>
      <c r="K10" s="6"/>
      <c r="L10" s="6"/>
      <c r="R10" s="6"/>
      <c r="S10" s="6"/>
      <c r="T10" s="6"/>
      <c r="U10" s="6"/>
      <c r="V10" s="149"/>
    </row>
    <row r="11" spans="1:22" x14ac:dyDescent="0.25">
      <c r="B11" t="s">
        <v>86</v>
      </c>
      <c r="E11" s="6">
        <f>SUM(E5:E9)</f>
        <v>332</v>
      </c>
      <c r="F11" s="6">
        <f t="shared" ref="F11:V11" si="0">SUM(F5:F9)</f>
        <v>498</v>
      </c>
      <c r="G11" s="6">
        <f t="shared" si="0"/>
        <v>830</v>
      </c>
      <c r="H11" s="6">
        <f t="shared" si="0"/>
        <v>604</v>
      </c>
      <c r="I11" s="6">
        <f t="shared" si="0"/>
        <v>781</v>
      </c>
      <c r="J11" s="6">
        <f t="shared" si="0"/>
        <v>827</v>
      </c>
      <c r="K11" s="6">
        <f t="shared" si="0"/>
        <v>895</v>
      </c>
      <c r="L11" s="6">
        <f t="shared" si="0"/>
        <v>831</v>
      </c>
      <c r="M11" s="6">
        <f t="shared" si="0"/>
        <v>987</v>
      </c>
      <c r="N11" s="6">
        <f t="shared" si="0"/>
        <v>809</v>
      </c>
      <c r="O11" s="6">
        <f t="shared" si="0"/>
        <v>477</v>
      </c>
      <c r="P11" s="6">
        <f t="shared" si="0"/>
        <v>346</v>
      </c>
      <c r="Q11" s="6">
        <f t="shared" si="0"/>
        <v>814</v>
      </c>
      <c r="R11" s="6">
        <f t="shared" si="0"/>
        <v>1026</v>
      </c>
      <c r="S11" s="6">
        <f t="shared" si="0"/>
        <v>721</v>
      </c>
      <c r="T11" s="6">
        <f t="shared" si="0"/>
        <v>417</v>
      </c>
      <c r="U11" s="6">
        <f t="shared" si="0"/>
        <v>114</v>
      </c>
      <c r="V11" s="149">
        <f t="shared" si="0"/>
        <v>194.3</v>
      </c>
    </row>
    <row r="12" spans="1:22" x14ac:dyDescent="0.25">
      <c r="E12" s="6"/>
      <c r="F12" s="6"/>
      <c r="G12" s="6"/>
      <c r="H12" s="6"/>
      <c r="I12" s="6"/>
      <c r="J12" s="6"/>
      <c r="K12" s="6"/>
      <c r="L12" s="6"/>
    </row>
    <row r="13" spans="1:22" x14ac:dyDescent="0.25">
      <c r="B13" t="s">
        <v>257</v>
      </c>
      <c r="E13" s="6">
        <v>71</v>
      </c>
      <c r="F13" s="6">
        <v>102</v>
      </c>
      <c r="G13" s="6">
        <v>136</v>
      </c>
      <c r="H13" s="6">
        <v>95</v>
      </c>
      <c r="I13" s="6">
        <v>124</v>
      </c>
      <c r="J13" s="6">
        <v>133</v>
      </c>
      <c r="K13" s="6">
        <v>126</v>
      </c>
      <c r="L13" s="6">
        <v>108</v>
      </c>
      <c r="M13" s="6">
        <v>118</v>
      </c>
      <c r="N13" s="6">
        <v>134</v>
      </c>
      <c r="O13" s="6">
        <v>117</v>
      </c>
      <c r="P13" s="6">
        <v>117</v>
      </c>
      <c r="Q13" s="6">
        <v>96</v>
      </c>
      <c r="R13" s="6">
        <v>113</v>
      </c>
      <c r="S13" s="6">
        <v>112</v>
      </c>
      <c r="T13" s="6">
        <v>147</v>
      </c>
      <c r="U13" s="6">
        <v>91</v>
      </c>
      <c r="V13" s="6">
        <v>117</v>
      </c>
    </row>
    <row r="14" spans="1:22" x14ac:dyDescent="0.25">
      <c r="E14" s="6"/>
      <c r="F14" s="6"/>
      <c r="G14" s="6"/>
      <c r="H14" s="6"/>
      <c r="I14" s="6"/>
      <c r="J14" s="6"/>
      <c r="K14" s="6"/>
      <c r="L14" s="6"/>
    </row>
    <row r="15" spans="1:22" x14ac:dyDescent="0.25">
      <c r="E15" s="6"/>
      <c r="F15" s="6"/>
      <c r="G15" s="6"/>
      <c r="H15" s="6"/>
      <c r="I15" s="6"/>
      <c r="J15" s="6"/>
      <c r="K15" s="6"/>
      <c r="L15" s="6"/>
    </row>
    <row r="16" spans="1:22" x14ac:dyDescent="0.25">
      <c r="E16" s="6"/>
      <c r="F16" s="6"/>
      <c r="G16" s="6"/>
      <c r="H16" s="6"/>
      <c r="I16" s="6"/>
      <c r="J16" s="6"/>
      <c r="K16" s="6"/>
      <c r="L16" s="6"/>
    </row>
    <row r="17" spans="2:12" x14ac:dyDescent="0.25">
      <c r="E17" s="6"/>
      <c r="F17" s="6"/>
      <c r="G17" s="6"/>
      <c r="H17" s="6"/>
      <c r="I17" s="6"/>
      <c r="J17" s="6"/>
      <c r="K17" s="6"/>
      <c r="L17" s="6"/>
    </row>
    <row r="18" spans="2:12" ht="15.5" customHeight="1" x14ac:dyDescent="0.25">
      <c r="F18" s="6"/>
      <c r="G18" s="6"/>
      <c r="H18" s="6"/>
      <c r="I18" s="6"/>
      <c r="J18" s="6"/>
      <c r="K18" s="6"/>
      <c r="L18" s="6"/>
    </row>
    <row r="19" spans="2:12" ht="15.5" customHeight="1" x14ac:dyDescent="0.25">
      <c r="B19" s="7" t="s">
        <v>231</v>
      </c>
    </row>
    <row r="20" spans="2:12" ht="15.5" customHeight="1" x14ac:dyDescent="0.25">
      <c r="B20" s="7" t="s">
        <v>258</v>
      </c>
    </row>
    <row r="21" spans="2:12" ht="15.5" customHeight="1" x14ac:dyDescent="0.25"/>
    <row r="22" spans="2:12" ht="15.5" customHeight="1" x14ac:dyDescent="0.25">
      <c r="B22" s="11"/>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23"/>
  <sheetViews>
    <sheetView workbookViewId="0">
      <pane xSplit="2" ySplit="2" topLeftCell="C162" activePane="bottomRight" state="frozen"/>
      <selection pane="topRight" activeCell="C1" sqref="C1"/>
      <selection pane="bottomLeft" activeCell="A3" sqref="A3"/>
      <selection pane="bottomRight" activeCell="E219" sqref="E219"/>
    </sheetView>
  </sheetViews>
  <sheetFormatPr defaultRowHeight="12.5" x14ac:dyDescent="0.25"/>
  <cols>
    <col min="2" max="2" width="9.1796875" customWidth="1"/>
  </cols>
  <sheetData>
    <row r="1" spans="1:22" x14ac:dyDescent="0.25">
      <c r="A1" s="135" t="s">
        <v>228</v>
      </c>
      <c r="B1" t="s">
        <v>134</v>
      </c>
      <c r="C1">
        <v>10293000</v>
      </c>
      <c r="E1" s="135" t="s">
        <v>228</v>
      </c>
      <c r="F1" t="s">
        <v>135</v>
      </c>
      <c r="G1">
        <v>10295200</v>
      </c>
      <c r="I1" s="135" t="s">
        <v>228</v>
      </c>
      <c r="J1" t="s">
        <v>136</v>
      </c>
      <c r="M1" s="135" t="s">
        <v>228</v>
      </c>
      <c r="N1" t="s">
        <v>230</v>
      </c>
      <c r="Q1" s="135" t="s">
        <v>228</v>
      </c>
      <c r="R1" t="s">
        <v>137</v>
      </c>
      <c r="S1">
        <v>10310000</v>
      </c>
    </row>
    <row r="2" spans="1:22" x14ac:dyDescent="0.25">
      <c r="A2">
        <v>27026</v>
      </c>
      <c r="B2" t="s">
        <v>120</v>
      </c>
      <c r="E2">
        <v>27026</v>
      </c>
      <c r="F2" t="s">
        <v>119</v>
      </c>
      <c r="I2">
        <v>27002</v>
      </c>
      <c r="J2" t="s">
        <v>121</v>
      </c>
      <c r="M2">
        <v>26846</v>
      </c>
      <c r="N2" t="s">
        <v>117</v>
      </c>
      <c r="Q2">
        <v>27002</v>
      </c>
      <c r="R2" t="s">
        <v>122</v>
      </c>
      <c r="V2" t="s">
        <v>118</v>
      </c>
    </row>
    <row r="3" spans="1:22" x14ac:dyDescent="0.25">
      <c r="B3" s="13">
        <v>35704</v>
      </c>
      <c r="C3" s="14">
        <v>5840</v>
      </c>
      <c r="D3" s="15"/>
      <c r="F3" s="13">
        <v>35704</v>
      </c>
      <c r="G3" s="14">
        <v>3520</v>
      </c>
      <c r="H3" s="15"/>
      <c r="J3" s="13">
        <v>35704</v>
      </c>
      <c r="K3" s="14">
        <v>3590</v>
      </c>
      <c r="L3" s="15"/>
      <c r="N3" s="13">
        <v>35704</v>
      </c>
      <c r="O3" s="14">
        <v>4770</v>
      </c>
      <c r="P3" s="15"/>
      <c r="R3" s="13">
        <v>35704</v>
      </c>
      <c r="S3" s="14">
        <v>1920</v>
      </c>
      <c r="T3" s="15"/>
    </row>
    <row r="4" spans="1:22" x14ac:dyDescent="0.25">
      <c r="B4" s="13">
        <v>35735</v>
      </c>
      <c r="C4" s="14">
        <v>5480</v>
      </c>
      <c r="D4" s="15"/>
      <c r="F4" s="13">
        <v>35735</v>
      </c>
      <c r="G4" s="14">
        <v>3230</v>
      </c>
      <c r="H4" s="15"/>
      <c r="J4" s="13">
        <v>35735</v>
      </c>
      <c r="K4" s="14">
        <v>4460</v>
      </c>
      <c r="L4" s="15"/>
      <c r="N4" s="13">
        <v>35735</v>
      </c>
      <c r="O4" s="14">
        <v>7769</v>
      </c>
      <c r="P4" s="15"/>
      <c r="R4" s="13">
        <v>35735</v>
      </c>
      <c r="S4" s="14">
        <v>1730</v>
      </c>
      <c r="T4" s="15"/>
    </row>
    <row r="5" spans="1:22" x14ac:dyDescent="0.25">
      <c r="B5" s="13">
        <v>35765</v>
      </c>
      <c r="C5" s="14">
        <v>7110</v>
      </c>
      <c r="D5" s="15"/>
      <c r="F5" s="13">
        <v>35765</v>
      </c>
      <c r="G5" s="14">
        <v>4500</v>
      </c>
      <c r="H5" s="15"/>
      <c r="J5" s="13">
        <v>35765</v>
      </c>
      <c r="K5" s="14">
        <v>4460</v>
      </c>
      <c r="L5" s="15"/>
      <c r="N5" s="13">
        <v>35765</v>
      </c>
      <c r="O5" s="14">
        <v>8634</v>
      </c>
      <c r="P5" s="15"/>
      <c r="R5" s="13">
        <v>35765</v>
      </c>
      <c r="S5" s="14">
        <v>1750</v>
      </c>
      <c r="T5" s="15"/>
    </row>
    <row r="6" spans="1:22" x14ac:dyDescent="0.25">
      <c r="B6" s="13">
        <v>35796</v>
      </c>
      <c r="C6" s="14">
        <v>6800</v>
      </c>
      <c r="D6" s="15"/>
      <c r="F6" s="13">
        <v>35796</v>
      </c>
      <c r="G6" s="14">
        <v>3480</v>
      </c>
      <c r="H6" s="15"/>
      <c r="J6" s="13">
        <v>35796</v>
      </c>
      <c r="K6" s="14">
        <v>8400</v>
      </c>
      <c r="L6" s="15"/>
      <c r="N6" s="13">
        <v>35796</v>
      </c>
      <c r="O6" s="14">
        <v>23965</v>
      </c>
      <c r="P6" s="15"/>
      <c r="R6" s="13">
        <v>35796</v>
      </c>
      <c r="S6" s="14">
        <v>2410</v>
      </c>
      <c r="T6" s="15"/>
    </row>
    <row r="7" spans="1:22" x14ac:dyDescent="0.25">
      <c r="B7" s="13">
        <v>35827</v>
      </c>
      <c r="C7" s="14">
        <v>3770</v>
      </c>
      <c r="D7" s="15"/>
      <c r="F7" s="13">
        <v>35827</v>
      </c>
      <c r="G7" s="14">
        <v>3910</v>
      </c>
      <c r="H7" s="15"/>
      <c r="J7" s="13">
        <v>35827</v>
      </c>
      <c r="K7" s="14">
        <v>8000</v>
      </c>
      <c r="L7" s="15"/>
      <c r="N7" s="13">
        <v>35827</v>
      </c>
      <c r="O7" s="14">
        <v>19957</v>
      </c>
      <c r="P7" s="15"/>
      <c r="R7" s="13">
        <v>35827</v>
      </c>
      <c r="S7" s="14">
        <v>2020</v>
      </c>
      <c r="T7" s="15"/>
    </row>
    <row r="8" spans="1:22" x14ac:dyDescent="0.25">
      <c r="B8" s="13">
        <v>35855</v>
      </c>
      <c r="C8" s="14">
        <v>24360</v>
      </c>
      <c r="D8" s="15"/>
      <c r="F8" s="13">
        <v>35855</v>
      </c>
      <c r="G8" s="14">
        <v>11550</v>
      </c>
      <c r="H8" s="15"/>
      <c r="J8" s="13">
        <v>35855</v>
      </c>
      <c r="K8" s="14">
        <v>37720</v>
      </c>
      <c r="L8" s="15"/>
      <c r="N8" s="13">
        <v>35855</v>
      </c>
      <c r="O8" s="14">
        <v>69846</v>
      </c>
      <c r="P8" s="15"/>
      <c r="R8" s="13">
        <v>35855</v>
      </c>
      <c r="S8" s="14">
        <v>8780</v>
      </c>
      <c r="T8" s="15"/>
    </row>
    <row r="9" spans="1:22" x14ac:dyDescent="0.25">
      <c r="B9" s="13">
        <v>35886</v>
      </c>
      <c r="C9" s="14">
        <v>16410</v>
      </c>
      <c r="D9" s="15"/>
      <c r="F9" s="13">
        <v>35886</v>
      </c>
      <c r="G9" s="14">
        <v>18150</v>
      </c>
      <c r="H9" s="15"/>
      <c r="J9" s="13">
        <v>35886</v>
      </c>
      <c r="K9" s="14">
        <v>31970</v>
      </c>
      <c r="L9" s="15"/>
      <c r="N9" s="13">
        <v>35886</v>
      </c>
      <c r="O9" s="14">
        <v>80221</v>
      </c>
      <c r="P9" s="15"/>
      <c r="R9" s="13">
        <v>35886</v>
      </c>
      <c r="S9" s="14">
        <v>11960</v>
      </c>
      <c r="T9" s="15"/>
    </row>
    <row r="10" spans="1:22" x14ac:dyDescent="0.25">
      <c r="B10" s="13">
        <v>35916</v>
      </c>
      <c r="C10" s="14">
        <v>20500</v>
      </c>
      <c r="D10" s="15"/>
      <c r="F10" s="13">
        <v>35916</v>
      </c>
      <c r="G10" s="14">
        <v>41070</v>
      </c>
      <c r="H10" s="15"/>
      <c r="J10" s="13">
        <v>35916</v>
      </c>
      <c r="K10" s="14">
        <v>58970</v>
      </c>
      <c r="L10" s="15"/>
      <c r="N10" s="13">
        <v>35916</v>
      </c>
      <c r="O10" s="14">
        <v>124867</v>
      </c>
      <c r="P10" s="15"/>
      <c r="R10" s="13">
        <v>35916</v>
      </c>
      <c r="S10" s="14">
        <v>25720</v>
      </c>
      <c r="T10" s="15"/>
    </row>
    <row r="11" spans="1:22" x14ac:dyDescent="0.25">
      <c r="B11" s="13">
        <v>35947</v>
      </c>
      <c r="C11" s="14">
        <v>41120</v>
      </c>
      <c r="D11" s="15"/>
      <c r="F11" s="13">
        <v>35947</v>
      </c>
      <c r="G11" s="14">
        <v>105400</v>
      </c>
      <c r="H11" s="15"/>
      <c r="J11" s="13">
        <v>35947</v>
      </c>
      <c r="K11" s="14">
        <v>99950</v>
      </c>
      <c r="L11" s="15"/>
      <c r="N11" s="13">
        <v>35947</v>
      </c>
      <c r="O11" s="14">
        <v>140205</v>
      </c>
      <c r="P11" s="15"/>
      <c r="R11" s="13">
        <v>35947</v>
      </c>
      <c r="S11" s="14">
        <v>35120</v>
      </c>
      <c r="T11" s="15"/>
    </row>
    <row r="12" spans="1:22" x14ac:dyDescent="0.25">
      <c r="B12" s="13">
        <v>35977</v>
      </c>
      <c r="C12" s="14">
        <v>45920</v>
      </c>
      <c r="D12" s="15"/>
      <c r="F12" s="13">
        <v>35977</v>
      </c>
      <c r="G12" s="14">
        <v>93690</v>
      </c>
      <c r="H12" s="15"/>
      <c r="J12" s="13">
        <v>35977</v>
      </c>
      <c r="K12" s="14">
        <v>67870</v>
      </c>
      <c r="L12" s="15"/>
      <c r="N12" s="13">
        <v>35977</v>
      </c>
      <c r="O12" s="14">
        <v>51091</v>
      </c>
      <c r="P12" s="15"/>
      <c r="R12" s="13">
        <v>35977</v>
      </c>
      <c r="S12" s="14">
        <v>16000</v>
      </c>
      <c r="T12" s="15"/>
    </row>
    <row r="13" spans="1:22" x14ac:dyDescent="0.25">
      <c r="B13" s="13">
        <v>36008</v>
      </c>
      <c r="C13" s="14">
        <v>15700</v>
      </c>
      <c r="D13" s="15"/>
      <c r="F13" s="13">
        <v>36008</v>
      </c>
      <c r="G13" s="14">
        <v>22970</v>
      </c>
      <c r="H13" s="15"/>
      <c r="J13" s="13">
        <v>36008</v>
      </c>
      <c r="K13" s="14">
        <v>17930</v>
      </c>
      <c r="L13" s="15"/>
      <c r="N13" s="13">
        <v>36008</v>
      </c>
      <c r="O13" s="14">
        <v>3535</v>
      </c>
      <c r="P13" s="15"/>
      <c r="R13" s="13">
        <v>36008</v>
      </c>
      <c r="S13" s="14">
        <v>5170</v>
      </c>
      <c r="T13" s="15"/>
    </row>
    <row r="14" spans="1:22" x14ac:dyDescent="0.25">
      <c r="B14" s="13">
        <v>36039</v>
      </c>
      <c r="C14" s="14">
        <v>9390</v>
      </c>
      <c r="D14" s="16">
        <f>SUM(C3:C14)/1000</f>
        <v>202.4</v>
      </c>
      <c r="F14" s="13">
        <v>36039</v>
      </c>
      <c r="G14" s="14">
        <v>10920</v>
      </c>
      <c r="H14" s="16">
        <f>SUM(G3:G14)/1000</f>
        <v>322.39</v>
      </c>
      <c r="J14" s="13">
        <v>36039</v>
      </c>
      <c r="K14" s="14">
        <v>9160</v>
      </c>
      <c r="L14" s="16">
        <f>SUM(K3:K14)/1000</f>
        <v>352.48</v>
      </c>
      <c r="N14" s="13">
        <v>36039</v>
      </c>
      <c r="O14" s="14">
        <v>12231</v>
      </c>
      <c r="P14" s="16">
        <f>SUM(O3:O14)/1000</f>
        <v>547.09100000000001</v>
      </c>
      <c r="R14" s="13">
        <v>36039</v>
      </c>
      <c r="S14" s="14">
        <v>3910</v>
      </c>
      <c r="T14" s="16">
        <f>SUM(S3:S14)/1000</f>
        <v>116.49</v>
      </c>
      <c r="U14" t="s">
        <v>133</v>
      </c>
      <c r="V14">
        <f>T14+P14+L14+H14+D14</f>
        <v>1540.8510000000001</v>
      </c>
    </row>
    <row r="15" spans="1:22" x14ac:dyDescent="0.25">
      <c r="B15" s="13">
        <v>36069</v>
      </c>
      <c r="C15" s="14">
        <v>8810</v>
      </c>
      <c r="D15" s="15"/>
      <c r="F15" s="13">
        <v>36069</v>
      </c>
      <c r="G15" s="14">
        <v>5450</v>
      </c>
      <c r="H15" s="15"/>
      <c r="J15" s="13">
        <v>36069</v>
      </c>
      <c r="K15" s="14">
        <v>6340</v>
      </c>
      <c r="L15" s="15"/>
      <c r="N15" s="13">
        <v>36069</v>
      </c>
      <c r="O15" s="14">
        <v>6593</v>
      </c>
      <c r="P15" s="15"/>
      <c r="Q15" s="15"/>
      <c r="R15" s="13">
        <v>36069</v>
      </c>
      <c r="S15" s="14">
        <v>2070</v>
      </c>
      <c r="T15" s="15"/>
    </row>
    <row r="16" spans="1:22" x14ac:dyDescent="0.25">
      <c r="B16" s="13">
        <v>36100</v>
      </c>
      <c r="C16" s="14">
        <v>8690</v>
      </c>
      <c r="D16" s="15"/>
      <c r="F16" s="13">
        <v>36100</v>
      </c>
      <c r="G16" s="14">
        <v>4580</v>
      </c>
      <c r="H16" s="15"/>
      <c r="J16" s="13">
        <v>36100</v>
      </c>
      <c r="K16" s="14">
        <v>6790</v>
      </c>
      <c r="L16" s="15"/>
      <c r="N16" s="13">
        <v>36100</v>
      </c>
      <c r="O16" s="14">
        <v>14006</v>
      </c>
      <c r="R16" s="13">
        <v>36100</v>
      </c>
      <c r="S16" s="14">
        <v>2190</v>
      </c>
    </row>
    <row r="17" spans="2:22" x14ac:dyDescent="0.25">
      <c r="B17" s="13">
        <v>36130</v>
      </c>
      <c r="C17" s="14">
        <v>6970</v>
      </c>
      <c r="D17" s="15"/>
      <c r="F17" s="13">
        <v>36130</v>
      </c>
      <c r="G17" s="14">
        <v>4610</v>
      </c>
      <c r="H17" s="15"/>
      <c r="J17" s="13">
        <v>36130</v>
      </c>
      <c r="K17" s="14">
        <v>6600</v>
      </c>
      <c r="L17" s="15"/>
      <c r="N17" s="13">
        <v>36130</v>
      </c>
      <c r="O17" s="14">
        <v>15666</v>
      </c>
      <c r="R17" s="13">
        <v>36130</v>
      </c>
      <c r="S17" s="14">
        <v>2320</v>
      </c>
    </row>
    <row r="18" spans="2:22" x14ac:dyDescent="0.25">
      <c r="B18" s="13">
        <v>36161</v>
      </c>
      <c r="C18" s="14">
        <v>8330</v>
      </c>
      <c r="D18" s="15"/>
      <c r="F18" s="13">
        <v>36161</v>
      </c>
      <c r="G18" s="14">
        <v>4710</v>
      </c>
      <c r="H18" s="15"/>
      <c r="J18" s="13">
        <v>36161</v>
      </c>
      <c r="K18" s="14">
        <v>8400</v>
      </c>
      <c r="L18" s="15"/>
      <c r="N18" s="13">
        <v>36161</v>
      </c>
      <c r="O18" s="14">
        <v>21571</v>
      </c>
      <c r="R18" s="13">
        <v>36161</v>
      </c>
      <c r="S18" s="14">
        <v>2200</v>
      </c>
    </row>
    <row r="19" spans="2:22" x14ac:dyDescent="0.25">
      <c r="B19" s="13">
        <v>36192</v>
      </c>
      <c r="C19" s="14">
        <v>10870</v>
      </c>
      <c r="D19" s="15"/>
      <c r="F19" s="13">
        <v>36192</v>
      </c>
      <c r="G19" s="14">
        <v>5220</v>
      </c>
      <c r="H19" s="15"/>
      <c r="J19" s="13">
        <v>36192</v>
      </c>
      <c r="K19" s="14">
        <v>13220</v>
      </c>
      <c r="L19" s="15"/>
      <c r="N19" s="13">
        <v>36192</v>
      </c>
      <c r="O19" s="14">
        <v>22983</v>
      </c>
      <c r="R19" s="13">
        <v>36192</v>
      </c>
      <c r="S19" s="14">
        <v>2450</v>
      </c>
    </row>
    <row r="20" spans="2:22" x14ac:dyDescent="0.25">
      <c r="B20" s="13">
        <v>36220</v>
      </c>
      <c r="C20" s="14">
        <v>7150</v>
      </c>
      <c r="D20" s="15"/>
      <c r="F20" s="13">
        <v>36220</v>
      </c>
      <c r="G20" s="14">
        <v>6780</v>
      </c>
      <c r="H20" s="15"/>
      <c r="J20" s="13">
        <v>36220</v>
      </c>
      <c r="K20" s="14">
        <v>16050</v>
      </c>
      <c r="L20" s="15"/>
      <c r="N20" s="13">
        <v>36220</v>
      </c>
      <c r="O20" s="14">
        <v>56349</v>
      </c>
      <c r="R20" s="13">
        <v>36220</v>
      </c>
      <c r="S20" s="14">
        <v>3690</v>
      </c>
    </row>
    <row r="21" spans="2:22" x14ac:dyDescent="0.25">
      <c r="B21" s="13">
        <v>36251</v>
      </c>
      <c r="C21" s="14">
        <v>6250</v>
      </c>
      <c r="D21" s="15"/>
      <c r="F21" s="13">
        <v>36251</v>
      </c>
      <c r="G21" s="14">
        <v>14050</v>
      </c>
      <c r="H21" s="15"/>
      <c r="J21" s="13">
        <v>36251</v>
      </c>
      <c r="K21" s="14">
        <v>31430</v>
      </c>
      <c r="L21" s="15"/>
      <c r="N21" s="13">
        <v>36251</v>
      </c>
      <c r="O21" s="14">
        <v>86580</v>
      </c>
      <c r="R21" s="13">
        <v>36251</v>
      </c>
      <c r="S21" s="14">
        <v>9530</v>
      </c>
    </row>
    <row r="22" spans="2:22" x14ac:dyDescent="0.25">
      <c r="B22" s="13">
        <v>36281</v>
      </c>
      <c r="C22" s="14">
        <v>16430</v>
      </c>
      <c r="D22" s="15"/>
      <c r="F22" s="13">
        <v>36281</v>
      </c>
      <c r="G22" s="14">
        <v>68390</v>
      </c>
      <c r="H22" s="15"/>
      <c r="J22" s="13">
        <v>36281</v>
      </c>
      <c r="K22" s="14">
        <v>100100</v>
      </c>
      <c r="L22" s="15"/>
      <c r="N22" s="13">
        <v>36281</v>
      </c>
      <c r="O22" s="14">
        <v>164486</v>
      </c>
      <c r="R22" s="13">
        <v>36281</v>
      </c>
      <c r="S22" s="14">
        <v>35280</v>
      </c>
    </row>
    <row r="23" spans="2:22" x14ac:dyDescent="0.25">
      <c r="B23" s="13">
        <v>36312</v>
      </c>
      <c r="C23" s="14">
        <v>31190</v>
      </c>
      <c r="D23" s="15"/>
      <c r="F23" s="13">
        <v>36312</v>
      </c>
      <c r="G23" s="14">
        <v>82450</v>
      </c>
      <c r="H23" s="15"/>
      <c r="J23" s="13">
        <v>36312</v>
      </c>
      <c r="K23" s="14">
        <v>91360</v>
      </c>
      <c r="L23" s="15"/>
      <c r="N23" s="13">
        <v>36312</v>
      </c>
      <c r="O23" s="14">
        <v>105631</v>
      </c>
      <c r="R23" s="13">
        <v>36312</v>
      </c>
      <c r="S23" s="14">
        <v>21010</v>
      </c>
    </row>
    <row r="24" spans="2:22" x14ac:dyDescent="0.25">
      <c r="B24" s="13">
        <v>36342</v>
      </c>
      <c r="C24" s="14">
        <v>13390</v>
      </c>
      <c r="D24" s="15"/>
      <c r="F24" s="13">
        <v>36342</v>
      </c>
      <c r="G24" s="14">
        <v>31950</v>
      </c>
      <c r="H24" s="15"/>
      <c r="J24" s="13">
        <v>36342</v>
      </c>
      <c r="K24" s="14">
        <v>29640</v>
      </c>
      <c r="L24" s="15"/>
      <c r="N24" s="13">
        <v>36342</v>
      </c>
      <c r="O24" s="14">
        <v>24050</v>
      </c>
      <c r="R24" s="13">
        <v>36342</v>
      </c>
      <c r="S24" s="14">
        <v>6430</v>
      </c>
    </row>
    <row r="25" spans="2:22" x14ac:dyDescent="0.25">
      <c r="B25" s="13">
        <v>36373</v>
      </c>
      <c r="C25" s="14">
        <v>4210</v>
      </c>
      <c r="D25" s="15"/>
      <c r="F25" s="13">
        <v>36373</v>
      </c>
      <c r="G25" s="14">
        <v>9270</v>
      </c>
      <c r="H25" s="15"/>
      <c r="J25" s="13">
        <v>36373</v>
      </c>
      <c r="K25" s="14">
        <v>9710</v>
      </c>
      <c r="L25" s="15"/>
      <c r="N25" s="13">
        <v>36373</v>
      </c>
      <c r="O25" s="14">
        <v>6908</v>
      </c>
      <c r="R25" s="13">
        <v>36373</v>
      </c>
      <c r="S25" s="14">
        <v>3080</v>
      </c>
    </row>
    <row r="26" spans="2:22" x14ac:dyDescent="0.25">
      <c r="B26" s="13">
        <v>36404</v>
      </c>
      <c r="C26" s="14">
        <v>4030</v>
      </c>
      <c r="D26" s="16">
        <f>SUM(C15:C26)/1000</f>
        <v>126.32</v>
      </c>
      <c r="F26" s="13">
        <v>36404</v>
      </c>
      <c r="G26" s="14">
        <v>4550</v>
      </c>
      <c r="H26" s="16">
        <f>SUM(G15:G26)/1000</f>
        <v>242.01</v>
      </c>
      <c r="J26" s="13">
        <v>36404</v>
      </c>
      <c r="K26" s="14">
        <v>5550</v>
      </c>
      <c r="L26" s="16">
        <f>SUM(K15:K26)/1000</f>
        <v>325.19</v>
      </c>
      <c r="N26" s="13">
        <v>36404</v>
      </c>
      <c r="O26" s="14">
        <v>4480</v>
      </c>
      <c r="P26" s="16">
        <f>SUM(O15:O26)/1000</f>
        <v>529.303</v>
      </c>
      <c r="R26" s="13">
        <v>36404</v>
      </c>
      <c r="S26" s="14">
        <v>2060</v>
      </c>
      <c r="T26" s="16">
        <f>SUM(S15:S26)/1000</f>
        <v>92.31</v>
      </c>
      <c r="U26" t="s">
        <v>123</v>
      </c>
      <c r="V26">
        <f>T26+P26+L26+H26+D26</f>
        <v>1315.133</v>
      </c>
    </row>
    <row r="27" spans="2:22" x14ac:dyDescent="0.25">
      <c r="B27" s="13">
        <v>36434</v>
      </c>
      <c r="C27" s="14">
        <v>4790</v>
      </c>
      <c r="D27" s="15"/>
      <c r="F27" s="13">
        <v>36434</v>
      </c>
      <c r="G27" s="14">
        <v>3010</v>
      </c>
      <c r="H27" s="15"/>
      <c r="J27" s="13">
        <v>36434</v>
      </c>
      <c r="K27" s="14">
        <v>4740</v>
      </c>
      <c r="L27" s="15"/>
      <c r="N27" s="13">
        <v>36434</v>
      </c>
      <c r="O27" s="14">
        <v>7088</v>
      </c>
      <c r="R27" s="13">
        <v>36434</v>
      </c>
      <c r="S27" s="14">
        <v>1600</v>
      </c>
    </row>
    <row r="28" spans="2:22" x14ac:dyDescent="0.25">
      <c r="B28" s="13">
        <v>36465</v>
      </c>
      <c r="C28" s="14">
        <v>4520</v>
      </c>
      <c r="D28" s="15"/>
      <c r="F28" s="13">
        <v>36465</v>
      </c>
      <c r="G28" s="14">
        <v>2850</v>
      </c>
      <c r="H28" s="15"/>
      <c r="J28" s="13">
        <v>36465</v>
      </c>
      <c r="K28" s="14">
        <v>5120</v>
      </c>
      <c r="L28" s="15"/>
      <c r="N28" s="13">
        <v>36465</v>
      </c>
      <c r="O28" s="14">
        <v>8554</v>
      </c>
      <c r="R28" s="13">
        <v>36465</v>
      </c>
      <c r="S28" s="14">
        <v>1830</v>
      </c>
    </row>
    <row r="29" spans="2:22" x14ac:dyDescent="0.25">
      <c r="B29" s="13">
        <v>36495</v>
      </c>
      <c r="C29" s="14">
        <v>3750</v>
      </c>
      <c r="D29" s="15"/>
      <c r="F29" s="13">
        <v>36495</v>
      </c>
      <c r="G29" s="14">
        <v>2370</v>
      </c>
      <c r="H29" s="15"/>
      <c r="J29" s="13">
        <v>36495</v>
      </c>
      <c r="K29" s="14">
        <v>5000</v>
      </c>
      <c r="L29" s="15"/>
      <c r="N29" s="13">
        <v>36495</v>
      </c>
      <c r="O29" s="14">
        <v>7675</v>
      </c>
      <c r="R29" s="13">
        <v>36495</v>
      </c>
      <c r="S29" s="14">
        <v>1690</v>
      </c>
    </row>
    <row r="30" spans="2:22" x14ac:dyDescent="0.25">
      <c r="B30" s="13">
        <v>36526</v>
      </c>
      <c r="C30" s="14">
        <v>7100</v>
      </c>
      <c r="D30" s="15"/>
      <c r="F30" s="13">
        <v>36526</v>
      </c>
      <c r="G30" s="14">
        <v>2730</v>
      </c>
      <c r="H30" s="15"/>
      <c r="J30" s="13">
        <v>36526</v>
      </c>
      <c r="K30" s="14">
        <v>7580</v>
      </c>
      <c r="L30" s="15"/>
      <c r="N30" s="13">
        <v>36526</v>
      </c>
      <c r="O30" s="14">
        <v>21810</v>
      </c>
      <c r="R30" s="13">
        <v>36526</v>
      </c>
      <c r="S30" s="14">
        <v>1650</v>
      </c>
    </row>
    <row r="31" spans="2:22" x14ac:dyDescent="0.25">
      <c r="B31" s="13">
        <v>36557</v>
      </c>
      <c r="C31" s="14">
        <v>7970</v>
      </c>
      <c r="D31" s="15"/>
      <c r="F31" s="13">
        <v>36557</v>
      </c>
      <c r="G31" s="14">
        <v>3790</v>
      </c>
      <c r="H31" s="15"/>
      <c r="J31" s="13">
        <v>36557</v>
      </c>
      <c r="K31" s="14">
        <v>10720</v>
      </c>
      <c r="L31" s="15"/>
      <c r="N31" s="13">
        <v>36557</v>
      </c>
      <c r="O31" s="14">
        <v>32033</v>
      </c>
      <c r="R31" s="13">
        <v>36557</v>
      </c>
      <c r="S31" s="14">
        <v>1880</v>
      </c>
    </row>
    <row r="32" spans="2:22" x14ac:dyDescent="0.25">
      <c r="B32" s="13">
        <v>36586</v>
      </c>
      <c r="C32" s="14">
        <v>6030</v>
      </c>
      <c r="D32" s="15"/>
      <c r="F32" s="13">
        <v>36586</v>
      </c>
      <c r="G32" s="14">
        <v>6440</v>
      </c>
      <c r="H32" s="15"/>
      <c r="J32" s="13">
        <v>36586</v>
      </c>
      <c r="K32" s="14">
        <v>14350</v>
      </c>
      <c r="L32" s="15"/>
      <c r="N32" s="13">
        <v>36586</v>
      </c>
      <c r="O32" s="14">
        <v>42713</v>
      </c>
      <c r="R32" s="13">
        <v>36586</v>
      </c>
      <c r="S32" s="14">
        <v>3530</v>
      </c>
    </row>
    <row r="33" spans="2:22" x14ac:dyDescent="0.25">
      <c r="B33" s="13">
        <v>36617</v>
      </c>
      <c r="C33" s="14">
        <v>4210</v>
      </c>
      <c r="D33" s="15"/>
      <c r="F33" s="13">
        <v>36617</v>
      </c>
      <c r="G33" s="14">
        <v>22940</v>
      </c>
      <c r="H33" s="15"/>
      <c r="J33" s="13">
        <v>36617</v>
      </c>
      <c r="K33" s="14">
        <v>36470</v>
      </c>
      <c r="L33" s="15"/>
      <c r="N33" s="13">
        <v>36617</v>
      </c>
      <c r="O33" s="14">
        <v>84157</v>
      </c>
      <c r="R33" s="13">
        <v>36617</v>
      </c>
      <c r="S33" s="14">
        <v>15400</v>
      </c>
    </row>
    <row r="34" spans="2:22" x14ac:dyDescent="0.25">
      <c r="B34" s="13">
        <v>36647</v>
      </c>
      <c r="C34" s="14">
        <v>13670</v>
      </c>
      <c r="D34" s="15"/>
      <c r="F34" s="13">
        <v>36647</v>
      </c>
      <c r="G34" s="14">
        <v>63540</v>
      </c>
      <c r="H34" s="15"/>
      <c r="J34" s="13">
        <v>36647</v>
      </c>
      <c r="K34" s="14">
        <v>66310</v>
      </c>
      <c r="L34" s="15"/>
      <c r="N34" s="13">
        <v>36647</v>
      </c>
      <c r="O34" s="14">
        <v>85911</v>
      </c>
      <c r="R34" s="13">
        <v>36647</v>
      </c>
      <c r="S34" s="14">
        <v>17540</v>
      </c>
    </row>
    <row r="35" spans="2:22" x14ac:dyDescent="0.25">
      <c r="B35" s="13">
        <v>36678</v>
      </c>
      <c r="C35" s="14">
        <v>21200</v>
      </c>
      <c r="D35" s="15"/>
      <c r="F35" s="13">
        <v>36678</v>
      </c>
      <c r="G35" s="14">
        <v>59670</v>
      </c>
      <c r="H35" s="15"/>
      <c r="J35" s="13">
        <v>36678</v>
      </c>
      <c r="K35" s="14">
        <v>36820</v>
      </c>
      <c r="L35" s="15"/>
      <c r="N35" s="13">
        <v>36678</v>
      </c>
      <c r="O35" s="14">
        <v>33912</v>
      </c>
      <c r="R35" s="13">
        <v>36678</v>
      </c>
      <c r="S35" s="14">
        <v>7530</v>
      </c>
    </row>
    <row r="36" spans="2:22" x14ac:dyDescent="0.25">
      <c r="B36" s="13">
        <v>36708</v>
      </c>
      <c r="C36" s="14">
        <v>6220</v>
      </c>
      <c r="D36" s="15"/>
      <c r="F36" s="13">
        <v>36708</v>
      </c>
      <c r="G36" s="14">
        <v>16810</v>
      </c>
      <c r="H36" s="15"/>
      <c r="J36" s="13">
        <v>36708</v>
      </c>
      <c r="K36" s="14">
        <v>10520</v>
      </c>
      <c r="L36" s="15"/>
      <c r="N36" s="13">
        <v>36708</v>
      </c>
      <c r="O36" s="14">
        <v>4822</v>
      </c>
      <c r="R36" s="13">
        <v>36708</v>
      </c>
      <c r="S36" s="14">
        <v>2510</v>
      </c>
    </row>
    <row r="37" spans="2:22" x14ac:dyDescent="0.25">
      <c r="B37" s="13">
        <v>36739</v>
      </c>
      <c r="C37" s="14">
        <v>1440</v>
      </c>
      <c r="D37" s="15"/>
      <c r="F37" s="13">
        <v>36739</v>
      </c>
      <c r="G37" s="14">
        <v>6070</v>
      </c>
      <c r="H37" s="15"/>
      <c r="J37" s="13">
        <v>36739</v>
      </c>
      <c r="K37" s="14">
        <v>6530</v>
      </c>
      <c r="L37" s="15"/>
      <c r="N37" s="13">
        <v>36739</v>
      </c>
      <c r="O37" s="14">
        <v>1090</v>
      </c>
      <c r="R37" s="13">
        <v>36739</v>
      </c>
      <c r="S37" s="14">
        <v>2000</v>
      </c>
    </row>
    <row r="38" spans="2:22" x14ac:dyDescent="0.25">
      <c r="B38" s="13">
        <v>36770</v>
      </c>
      <c r="C38" s="14">
        <v>3909</v>
      </c>
      <c r="D38" s="16">
        <f>SUM(C27:C38)/1000</f>
        <v>84.808999999999997</v>
      </c>
      <c r="F38" s="13">
        <v>36770</v>
      </c>
      <c r="G38" s="14">
        <v>3000</v>
      </c>
      <c r="H38" s="16">
        <f>SUM(G27:G38)/1000</f>
        <v>193.22</v>
      </c>
      <c r="J38" s="13">
        <v>36770</v>
      </c>
      <c r="K38" s="14">
        <v>3830</v>
      </c>
      <c r="L38" s="16">
        <f>SUM(K27:K38)/1000</f>
        <v>207.99</v>
      </c>
      <c r="N38" s="13">
        <v>36770</v>
      </c>
      <c r="O38" s="14">
        <v>0</v>
      </c>
      <c r="P38" s="16">
        <f>SUM(O27:O38)/1000</f>
        <v>329.76499999999999</v>
      </c>
      <c r="R38" s="13">
        <v>36770</v>
      </c>
      <c r="S38" s="14">
        <v>1600</v>
      </c>
      <c r="T38" s="16">
        <f>SUM(S27:S38)/1000</f>
        <v>58.76</v>
      </c>
      <c r="U38" t="s">
        <v>124</v>
      </c>
      <c r="V38">
        <f>T38+P38+L38+H38+D38</f>
        <v>874.54399999999998</v>
      </c>
    </row>
    <row r="39" spans="2:22" x14ac:dyDescent="0.25">
      <c r="B39" s="13">
        <v>36800</v>
      </c>
      <c r="C39" s="14">
        <v>3490</v>
      </c>
      <c r="D39" s="15"/>
      <c r="F39" s="13">
        <v>36800</v>
      </c>
      <c r="G39" s="14">
        <v>2200</v>
      </c>
      <c r="H39" s="15"/>
      <c r="J39" s="13">
        <v>36800</v>
      </c>
      <c r="K39" s="14">
        <v>3660</v>
      </c>
      <c r="L39" s="15"/>
      <c r="N39" s="13">
        <v>36800</v>
      </c>
      <c r="O39" s="14">
        <v>4766</v>
      </c>
      <c r="R39" s="13">
        <v>36800</v>
      </c>
      <c r="S39" s="14">
        <v>1320</v>
      </c>
    </row>
    <row r="40" spans="2:22" x14ac:dyDescent="0.25">
      <c r="B40" s="13">
        <v>36831</v>
      </c>
      <c r="C40" s="14">
        <v>3740</v>
      </c>
      <c r="D40" s="15"/>
      <c r="F40" s="13">
        <v>36831</v>
      </c>
      <c r="G40" s="14">
        <v>2080</v>
      </c>
      <c r="H40" s="15"/>
      <c r="J40" s="13">
        <v>36831</v>
      </c>
      <c r="K40" s="14">
        <v>3170</v>
      </c>
      <c r="L40" s="15"/>
      <c r="N40" s="13">
        <v>36831</v>
      </c>
      <c r="O40" s="14">
        <v>5680</v>
      </c>
      <c r="R40" s="13">
        <v>36831</v>
      </c>
      <c r="S40" s="14">
        <v>1220</v>
      </c>
    </row>
    <row r="41" spans="2:22" x14ac:dyDescent="0.25">
      <c r="B41" s="13">
        <v>36861</v>
      </c>
      <c r="C41" s="14">
        <v>3990</v>
      </c>
      <c r="D41" s="15"/>
      <c r="F41" s="13">
        <v>36861</v>
      </c>
      <c r="G41" s="14">
        <v>2230</v>
      </c>
      <c r="H41" s="15"/>
      <c r="J41" s="13">
        <v>36861</v>
      </c>
      <c r="K41" s="14">
        <v>3440</v>
      </c>
      <c r="L41" s="15"/>
      <c r="N41" s="13">
        <v>36861</v>
      </c>
      <c r="O41" s="14">
        <v>6345</v>
      </c>
      <c r="R41" s="13">
        <v>36861</v>
      </c>
      <c r="S41" s="14">
        <v>1240</v>
      </c>
    </row>
    <row r="42" spans="2:22" x14ac:dyDescent="0.25">
      <c r="B42" s="13">
        <v>36892</v>
      </c>
      <c r="C42" s="14">
        <v>3980</v>
      </c>
      <c r="D42" s="15"/>
      <c r="F42" s="13">
        <v>36892</v>
      </c>
      <c r="G42" s="14">
        <v>2200</v>
      </c>
      <c r="H42" s="15"/>
      <c r="J42" s="13">
        <v>36892</v>
      </c>
      <c r="K42" s="14">
        <v>3190</v>
      </c>
      <c r="L42" s="15"/>
      <c r="N42" s="13">
        <v>36892</v>
      </c>
      <c r="O42" s="14">
        <v>6940</v>
      </c>
      <c r="R42" s="13">
        <v>36892</v>
      </c>
      <c r="S42" s="14">
        <v>1290</v>
      </c>
    </row>
    <row r="43" spans="2:22" x14ac:dyDescent="0.25">
      <c r="B43" s="13">
        <v>36923</v>
      </c>
      <c r="C43" s="14">
        <v>4190</v>
      </c>
      <c r="D43" s="15"/>
      <c r="F43" s="13">
        <v>36923</v>
      </c>
      <c r="G43" s="14">
        <v>2120</v>
      </c>
      <c r="H43" s="15"/>
      <c r="J43" s="13">
        <v>36923</v>
      </c>
      <c r="K43" s="14">
        <v>3390</v>
      </c>
      <c r="L43" s="15"/>
      <c r="N43" s="13">
        <v>36923</v>
      </c>
      <c r="O43" s="14">
        <v>8703</v>
      </c>
      <c r="R43" s="13">
        <v>36923</v>
      </c>
      <c r="S43" s="14">
        <v>1240</v>
      </c>
    </row>
    <row r="44" spans="2:22" x14ac:dyDescent="0.25">
      <c r="B44" s="13">
        <v>36951</v>
      </c>
      <c r="C44" s="14">
        <v>8290</v>
      </c>
      <c r="D44" s="15"/>
      <c r="F44" s="13">
        <v>36951</v>
      </c>
      <c r="G44" s="14">
        <v>6820</v>
      </c>
      <c r="H44" s="15"/>
      <c r="J44" s="13">
        <v>36951</v>
      </c>
      <c r="K44" s="14">
        <v>12000</v>
      </c>
      <c r="L44" s="15"/>
      <c r="N44" s="13">
        <v>36951</v>
      </c>
      <c r="O44" s="14">
        <v>23395</v>
      </c>
      <c r="R44" s="13">
        <v>36951</v>
      </c>
      <c r="S44" s="14">
        <v>3300</v>
      </c>
    </row>
    <row r="45" spans="2:22" x14ac:dyDescent="0.25">
      <c r="B45" s="13">
        <v>36982</v>
      </c>
      <c r="C45" s="14">
        <v>4330</v>
      </c>
      <c r="D45" s="15"/>
      <c r="F45" s="13">
        <v>36982</v>
      </c>
      <c r="G45" s="14">
        <v>19320</v>
      </c>
      <c r="H45" s="15"/>
      <c r="J45" s="13">
        <v>36982</v>
      </c>
      <c r="K45" s="14">
        <v>24880</v>
      </c>
      <c r="L45" s="15"/>
      <c r="N45" s="13">
        <v>36982</v>
      </c>
      <c r="O45" s="14">
        <v>28348</v>
      </c>
      <c r="R45" s="13">
        <v>36982</v>
      </c>
      <c r="S45" s="14">
        <v>7190</v>
      </c>
    </row>
    <row r="46" spans="2:22" x14ac:dyDescent="0.25">
      <c r="B46" s="13">
        <v>37012</v>
      </c>
      <c r="C46" s="14">
        <v>14160</v>
      </c>
      <c r="D46" s="15"/>
      <c r="F46" s="13">
        <v>37012</v>
      </c>
      <c r="G46" s="14">
        <v>66990</v>
      </c>
      <c r="H46" s="15"/>
      <c r="J46" s="13">
        <v>37012</v>
      </c>
      <c r="K46" s="14">
        <v>57960</v>
      </c>
      <c r="L46" s="15"/>
      <c r="N46" s="13">
        <v>37012</v>
      </c>
      <c r="O46" s="14">
        <v>44681</v>
      </c>
      <c r="R46" s="13">
        <v>37012</v>
      </c>
      <c r="S46" s="14">
        <v>12740</v>
      </c>
    </row>
    <row r="47" spans="2:22" x14ac:dyDescent="0.25">
      <c r="B47" s="13">
        <v>37043</v>
      </c>
      <c r="C47" s="14">
        <v>4590</v>
      </c>
      <c r="D47" s="15"/>
      <c r="F47" s="13">
        <v>37043</v>
      </c>
      <c r="G47" s="14">
        <v>22160</v>
      </c>
      <c r="H47" s="15"/>
      <c r="J47" s="13">
        <v>37043</v>
      </c>
      <c r="K47" s="14">
        <v>13590</v>
      </c>
      <c r="L47" s="15"/>
      <c r="N47" s="13">
        <v>37043</v>
      </c>
      <c r="O47" s="14">
        <v>6368</v>
      </c>
      <c r="R47" s="13">
        <v>37043</v>
      </c>
      <c r="S47" s="14">
        <v>2560</v>
      </c>
    </row>
    <row r="48" spans="2:22" x14ac:dyDescent="0.25">
      <c r="B48" s="13">
        <v>37073</v>
      </c>
      <c r="C48" s="14">
        <v>1490</v>
      </c>
      <c r="D48" s="15"/>
      <c r="F48" s="13">
        <v>37073</v>
      </c>
      <c r="G48" s="14">
        <v>6170</v>
      </c>
      <c r="H48" s="15"/>
      <c r="J48" s="13">
        <v>37073</v>
      </c>
      <c r="K48" s="14">
        <v>5720</v>
      </c>
      <c r="L48" s="15"/>
      <c r="N48" s="13">
        <v>37073</v>
      </c>
      <c r="O48" s="14">
        <v>1554</v>
      </c>
      <c r="R48" s="13">
        <v>37073</v>
      </c>
      <c r="S48" s="14">
        <v>1320</v>
      </c>
    </row>
    <row r="49" spans="2:22" x14ac:dyDescent="0.25">
      <c r="B49" s="13">
        <v>37104</v>
      </c>
      <c r="C49" s="14">
        <v>2810</v>
      </c>
      <c r="D49" s="15"/>
      <c r="F49" s="13">
        <v>37104</v>
      </c>
      <c r="G49" s="14">
        <v>2640</v>
      </c>
      <c r="H49" s="15"/>
      <c r="J49" s="13">
        <v>37104</v>
      </c>
      <c r="K49" s="14">
        <v>3340</v>
      </c>
      <c r="L49" s="15"/>
      <c r="N49" s="13">
        <v>37104</v>
      </c>
      <c r="O49" s="14">
        <v>0</v>
      </c>
      <c r="R49" s="13">
        <v>37104</v>
      </c>
      <c r="S49" s="14">
        <v>1020</v>
      </c>
    </row>
    <row r="50" spans="2:22" x14ac:dyDescent="0.25">
      <c r="B50" s="13">
        <v>37135</v>
      </c>
      <c r="C50" s="14">
        <v>2000</v>
      </c>
      <c r="D50" s="16">
        <f>SUM(C39:C50)/1000</f>
        <v>57.06</v>
      </c>
      <c r="F50" s="13">
        <v>37135</v>
      </c>
      <c r="G50" s="14">
        <v>1380</v>
      </c>
      <c r="H50" s="16">
        <f>SUM(G39:G50)/1000</f>
        <v>136.31</v>
      </c>
      <c r="J50" s="13">
        <v>37135</v>
      </c>
      <c r="K50" s="14">
        <v>1900</v>
      </c>
      <c r="L50" s="16">
        <f>SUM(K39:K50)/1000</f>
        <v>136.24</v>
      </c>
      <c r="N50" s="13">
        <v>37135</v>
      </c>
      <c r="O50" s="14">
        <v>103</v>
      </c>
      <c r="P50" s="16">
        <f>SUM(O39:O50)/1000</f>
        <v>136.88300000000001</v>
      </c>
      <c r="R50" s="13">
        <v>37135</v>
      </c>
      <c r="S50" s="14">
        <v>754</v>
      </c>
      <c r="T50" s="16">
        <f>SUM(S39:S50)/1000</f>
        <v>35.194000000000003</v>
      </c>
      <c r="U50" t="s">
        <v>125</v>
      </c>
      <c r="V50">
        <f>T50+P50+L50+H50+D50</f>
        <v>501.68700000000001</v>
      </c>
    </row>
    <row r="51" spans="2:22" x14ac:dyDescent="0.25">
      <c r="B51" s="13">
        <v>37165</v>
      </c>
      <c r="C51" s="14">
        <v>2070</v>
      </c>
      <c r="D51" s="15"/>
      <c r="F51" s="13">
        <v>37165</v>
      </c>
      <c r="G51" s="14">
        <v>1340</v>
      </c>
      <c r="H51" s="15"/>
      <c r="J51" s="13">
        <v>37165</v>
      </c>
      <c r="K51" s="14">
        <v>2780</v>
      </c>
      <c r="L51" s="15"/>
      <c r="N51" s="13">
        <v>37165</v>
      </c>
      <c r="O51" s="14">
        <v>2870</v>
      </c>
      <c r="R51" s="13">
        <v>37165</v>
      </c>
      <c r="S51" s="14">
        <v>764</v>
      </c>
    </row>
    <row r="52" spans="2:22" x14ac:dyDescent="0.25">
      <c r="B52" s="13">
        <v>37196</v>
      </c>
      <c r="C52" s="14">
        <v>3300</v>
      </c>
      <c r="D52" s="15"/>
      <c r="F52" s="13">
        <v>37196</v>
      </c>
      <c r="G52" s="14">
        <v>2660</v>
      </c>
      <c r="H52" s="15"/>
      <c r="J52" s="13">
        <v>37196</v>
      </c>
      <c r="K52" s="14">
        <v>3780</v>
      </c>
      <c r="L52" s="15"/>
      <c r="N52" s="13">
        <v>37196</v>
      </c>
      <c r="O52" s="14">
        <v>8220</v>
      </c>
      <c r="R52" s="13">
        <v>37196</v>
      </c>
      <c r="S52" s="14">
        <v>1150</v>
      </c>
    </row>
    <row r="53" spans="2:22" x14ac:dyDescent="0.25">
      <c r="B53" s="13">
        <v>37226</v>
      </c>
      <c r="C53" s="14">
        <v>3930</v>
      </c>
      <c r="D53" s="15"/>
      <c r="F53" s="13">
        <v>37226</v>
      </c>
      <c r="G53" s="14">
        <v>3480</v>
      </c>
      <c r="H53" s="15"/>
      <c r="J53" s="13">
        <v>37226</v>
      </c>
      <c r="K53" s="14">
        <v>5070</v>
      </c>
      <c r="L53" s="15"/>
      <c r="N53" s="13">
        <v>37226</v>
      </c>
      <c r="O53" s="14">
        <v>11922</v>
      </c>
      <c r="R53" s="13">
        <v>37226</v>
      </c>
      <c r="S53" s="14">
        <v>1390</v>
      </c>
    </row>
    <row r="54" spans="2:22" x14ac:dyDescent="0.25">
      <c r="B54" s="13">
        <v>37257</v>
      </c>
      <c r="C54" s="14">
        <v>4340</v>
      </c>
      <c r="D54" s="15"/>
      <c r="F54" s="13">
        <v>37257</v>
      </c>
      <c r="G54" s="14">
        <v>4010</v>
      </c>
      <c r="H54" s="15"/>
      <c r="J54" s="13">
        <v>37257</v>
      </c>
      <c r="K54" s="14">
        <v>7650</v>
      </c>
      <c r="L54" s="15"/>
      <c r="N54" s="13">
        <v>37257</v>
      </c>
      <c r="O54" s="14">
        <v>15886</v>
      </c>
      <c r="R54" s="13">
        <v>37257</v>
      </c>
      <c r="S54" s="14">
        <v>1790</v>
      </c>
    </row>
    <row r="55" spans="2:22" x14ac:dyDescent="0.25">
      <c r="B55" s="13">
        <v>37288</v>
      </c>
      <c r="C55" s="14">
        <v>4260</v>
      </c>
      <c r="D55" s="15"/>
      <c r="F55" s="13">
        <v>37288</v>
      </c>
      <c r="G55" s="14">
        <v>3560</v>
      </c>
      <c r="H55" s="15"/>
      <c r="J55" s="13">
        <v>37288</v>
      </c>
      <c r="K55" s="14">
        <v>6340</v>
      </c>
      <c r="L55" s="15"/>
      <c r="N55" s="13">
        <v>37288</v>
      </c>
      <c r="O55" s="14">
        <v>15257</v>
      </c>
      <c r="R55" s="13">
        <v>37288</v>
      </c>
      <c r="S55" s="14">
        <v>1720</v>
      </c>
    </row>
    <row r="56" spans="2:22" x14ac:dyDescent="0.25">
      <c r="B56" s="13">
        <v>37316</v>
      </c>
      <c r="C56" s="14">
        <v>3620</v>
      </c>
      <c r="D56" s="15"/>
      <c r="F56" s="13">
        <v>37316</v>
      </c>
      <c r="G56" s="14">
        <v>5680</v>
      </c>
      <c r="H56" s="15"/>
      <c r="J56" s="13">
        <v>37316</v>
      </c>
      <c r="K56" s="14">
        <v>11340</v>
      </c>
      <c r="L56" s="15"/>
      <c r="N56" s="13">
        <v>37316</v>
      </c>
      <c r="O56" s="14">
        <v>30696</v>
      </c>
      <c r="R56" s="13">
        <v>37316</v>
      </c>
      <c r="S56" s="14">
        <v>3280</v>
      </c>
    </row>
    <row r="57" spans="2:22" x14ac:dyDescent="0.25">
      <c r="B57" s="13">
        <v>37347</v>
      </c>
      <c r="C57" s="14">
        <v>2081</v>
      </c>
      <c r="D57" s="15"/>
      <c r="F57" s="13">
        <v>37347</v>
      </c>
      <c r="G57" s="14">
        <v>25040</v>
      </c>
      <c r="H57" s="15"/>
      <c r="J57" s="13">
        <v>37347</v>
      </c>
      <c r="K57" s="14">
        <v>39030</v>
      </c>
      <c r="L57" s="15"/>
      <c r="N57" s="13">
        <v>37347</v>
      </c>
      <c r="O57" s="14">
        <v>72917</v>
      </c>
      <c r="R57" s="13">
        <v>37347</v>
      </c>
      <c r="S57" s="14">
        <v>16639</v>
      </c>
    </row>
    <row r="58" spans="2:22" x14ac:dyDescent="0.25">
      <c r="B58" s="13">
        <v>37377</v>
      </c>
      <c r="C58" s="14">
        <v>4480</v>
      </c>
      <c r="D58" s="15"/>
      <c r="F58" s="13">
        <v>37377</v>
      </c>
      <c r="G58" s="14">
        <v>45680</v>
      </c>
      <c r="H58" s="15"/>
      <c r="J58" s="13">
        <v>37377</v>
      </c>
      <c r="K58" s="14">
        <v>54130</v>
      </c>
      <c r="L58" s="15"/>
      <c r="N58" s="13">
        <v>37377</v>
      </c>
      <c r="O58" s="14">
        <v>68035</v>
      </c>
      <c r="R58" s="13">
        <v>37377</v>
      </c>
      <c r="S58" s="14">
        <v>15520</v>
      </c>
    </row>
    <row r="59" spans="2:22" x14ac:dyDescent="0.25">
      <c r="B59" s="13">
        <v>37408</v>
      </c>
      <c r="C59" s="14">
        <v>12080</v>
      </c>
      <c r="D59" s="15"/>
      <c r="F59" s="13">
        <v>37408</v>
      </c>
      <c r="G59" s="14">
        <v>46660</v>
      </c>
      <c r="H59" s="15"/>
      <c r="J59" s="13">
        <v>37408</v>
      </c>
      <c r="K59" s="14">
        <v>36520</v>
      </c>
      <c r="L59" s="15"/>
      <c r="N59" s="13">
        <v>37408</v>
      </c>
      <c r="O59" s="14">
        <v>36890</v>
      </c>
      <c r="R59" s="13">
        <v>37408</v>
      </c>
      <c r="S59" s="14">
        <v>7640</v>
      </c>
    </row>
    <row r="60" spans="2:22" x14ac:dyDescent="0.25">
      <c r="B60" s="13">
        <v>37438</v>
      </c>
      <c r="C60" s="14">
        <v>3340</v>
      </c>
      <c r="D60" s="15"/>
      <c r="F60" s="13">
        <v>37438</v>
      </c>
      <c r="G60" s="14">
        <v>11020</v>
      </c>
      <c r="H60" s="15"/>
      <c r="J60" s="13">
        <v>37438</v>
      </c>
      <c r="K60" s="14">
        <v>8970</v>
      </c>
      <c r="L60" s="15"/>
      <c r="N60" s="13">
        <v>37438</v>
      </c>
      <c r="O60" s="14">
        <v>5497</v>
      </c>
      <c r="R60" s="13">
        <v>37438</v>
      </c>
      <c r="S60" s="14">
        <v>2110</v>
      </c>
    </row>
    <row r="61" spans="2:22" x14ac:dyDescent="0.25">
      <c r="B61" s="13">
        <v>37469</v>
      </c>
      <c r="C61" s="14">
        <v>1440</v>
      </c>
      <c r="D61" s="15"/>
      <c r="F61" s="13">
        <v>37469</v>
      </c>
      <c r="G61" s="14">
        <v>3010</v>
      </c>
      <c r="H61" s="15"/>
      <c r="J61" s="13">
        <v>37469</v>
      </c>
      <c r="K61" s="14">
        <v>4810</v>
      </c>
      <c r="L61" s="15"/>
      <c r="N61" s="13">
        <v>37469</v>
      </c>
      <c r="O61" s="14">
        <v>622</v>
      </c>
      <c r="R61" s="13">
        <v>37469</v>
      </c>
      <c r="S61" s="14">
        <v>1200</v>
      </c>
    </row>
    <row r="62" spans="2:22" x14ac:dyDescent="0.25">
      <c r="B62" s="13">
        <v>37500</v>
      </c>
      <c r="C62" s="14">
        <v>1710</v>
      </c>
      <c r="D62" s="16">
        <f>SUM(C51:C62)/1000</f>
        <v>46.651000000000003</v>
      </c>
      <c r="F62" s="13">
        <v>37500</v>
      </c>
      <c r="G62" s="14">
        <v>2010</v>
      </c>
      <c r="H62" s="16">
        <f>SUM(G51:G62)/1000</f>
        <v>154.15</v>
      </c>
      <c r="J62" s="13">
        <v>37500</v>
      </c>
      <c r="K62" s="14">
        <v>3530</v>
      </c>
      <c r="L62" s="16">
        <f>SUM(K51:K62)/1000</f>
        <v>183.95</v>
      </c>
      <c r="N62" s="13">
        <v>37500</v>
      </c>
      <c r="O62" s="14">
        <v>644</v>
      </c>
      <c r="P62" s="16">
        <f>SUM(O51:O62)/1000</f>
        <v>269.45600000000002</v>
      </c>
      <c r="R62" s="13">
        <v>37500</v>
      </c>
      <c r="S62" s="14">
        <v>895</v>
      </c>
      <c r="T62" s="16">
        <f>SUM(S51:S62)/1000</f>
        <v>54.097999999999999</v>
      </c>
      <c r="U62" t="s">
        <v>126</v>
      </c>
      <c r="V62">
        <f>T62+P62+L62+H62+D62</f>
        <v>708.30499999999995</v>
      </c>
    </row>
    <row r="63" spans="2:22" x14ac:dyDescent="0.25">
      <c r="B63" s="13">
        <v>37530</v>
      </c>
      <c r="C63" s="14">
        <v>2110</v>
      </c>
      <c r="D63" s="15"/>
      <c r="F63" s="13">
        <v>37530</v>
      </c>
      <c r="G63" s="14">
        <v>1500</v>
      </c>
      <c r="H63" s="15"/>
      <c r="J63" s="13">
        <v>37530</v>
      </c>
      <c r="K63" s="14">
        <v>3600</v>
      </c>
      <c r="L63" s="15"/>
      <c r="N63" s="13">
        <v>37530</v>
      </c>
      <c r="O63" s="14">
        <v>2982</v>
      </c>
      <c r="R63" s="13">
        <v>37530</v>
      </c>
      <c r="S63" s="14">
        <v>1030</v>
      </c>
    </row>
    <row r="64" spans="2:22" x14ac:dyDescent="0.25">
      <c r="B64" s="13">
        <v>37561</v>
      </c>
      <c r="C64" s="14">
        <v>4470</v>
      </c>
      <c r="D64" s="15"/>
      <c r="F64" s="13">
        <v>37561</v>
      </c>
      <c r="G64" s="14">
        <v>2890</v>
      </c>
      <c r="H64" s="15"/>
      <c r="J64" s="13">
        <v>37561</v>
      </c>
      <c r="K64" s="14">
        <v>6380</v>
      </c>
      <c r="L64" s="15"/>
      <c r="N64" s="13">
        <v>37561</v>
      </c>
      <c r="O64" s="14">
        <v>10462</v>
      </c>
      <c r="R64" s="13">
        <v>37561</v>
      </c>
      <c r="S64" s="14">
        <v>2230</v>
      </c>
    </row>
    <row r="65" spans="2:22" x14ac:dyDescent="0.25">
      <c r="B65" s="13">
        <v>37591</v>
      </c>
      <c r="C65" s="14">
        <v>3889</v>
      </c>
      <c r="D65" s="15"/>
      <c r="F65" s="13">
        <v>37591</v>
      </c>
      <c r="G65" s="14">
        <v>2400</v>
      </c>
      <c r="H65" s="15"/>
      <c r="J65" s="13">
        <v>37591</v>
      </c>
      <c r="K65" s="14">
        <v>5580</v>
      </c>
      <c r="L65" s="15"/>
      <c r="N65" s="13">
        <v>37591</v>
      </c>
      <c r="O65" s="14">
        <v>18249</v>
      </c>
      <c r="R65" s="13">
        <v>37591</v>
      </c>
      <c r="S65" s="14">
        <v>1340</v>
      </c>
    </row>
    <row r="66" spans="2:22" x14ac:dyDescent="0.25">
      <c r="B66" s="13">
        <v>37622</v>
      </c>
      <c r="C66" s="14">
        <v>5090</v>
      </c>
      <c r="D66" s="15"/>
      <c r="F66" s="13">
        <v>37622</v>
      </c>
      <c r="G66" s="14">
        <v>3530</v>
      </c>
      <c r="H66" s="15"/>
      <c r="J66" s="13">
        <v>37622</v>
      </c>
      <c r="K66" s="14">
        <v>10000</v>
      </c>
      <c r="L66" s="15"/>
      <c r="N66" s="13">
        <v>37622</v>
      </c>
      <c r="O66" s="14">
        <v>26698</v>
      </c>
      <c r="R66" s="13">
        <v>37622</v>
      </c>
      <c r="S66" s="14">
        <v>1960</v>
      </c>
    </row>
    <row r="67" spans="2:22" x14ac:dyDescent="0.25">
      <c r="B67" s="13">
        <v>37653</v>
      </c>
      <c r="C67" s="14">
        <v>5020</v>
      </c>
      <c r="D67" s="15"/>
      <c r="F67" s="13">
        <v>37653</v>
      </c>
      <c r="G67" s="14">
        <v>4230</v>
      </c>
      <c r="H67" s="15"/>
      <c r="J67" s="13">
        <v>37653</v>
      </c>
      <c r="K67" s="14">
        <v>8050</v>
      </c>
      <c r="L67" s="15"/>
      <c r="N67" s="13">
        <v>37653</v>
      </c>
      <c r="O67" s="14">
        <v>22001</v>
      </c>
      <c r="R67" s="13">
        <v>37653</v>
      </c>
      <c r="S67" s="14">
        <v>2050</v>
      </c>
    </row>
    <row r="68" spans="2:22" x14ac:dyDescent="0.25">
      <c r="B68" s="13">
        <v>37681</v>
      </c>
      <c r="C68" s="14">
        <v>7570</v>
      </c>
      <c r="D68" s="15"/>
      <c r="F68" s="13">
        <v>37681</v>
      </c>
      <c r="G68" s="14">
        <v>6300</v>
      </c>
      <c r="H68" s="15"/>
      <c r="J68" s="13">
        <v>37681</v>
      </c>
      <c r="K68" s="14">
        <v>14090</v>
      </c>
      <c r="L68" s="15"/>
      <c r="N68" s="13">
        <v>37681</v>
      </c>
      <c r="O68" s="14">
        <v>43082</v>
      </c>
      <c r="R68" s="13">
        <v>37681</v>
      </c>
      <c r="S68" s="14">
        <v>4490</v>
      </c>
    </row>
    <row r="69" spans="2:22" x14ac:dyDescent="0.25">
      <c r="B69" s="13">
        <v>37712</v>
      </c>
      <c r="C69" s="14">
        <v>2600</v>
      </c>
      <c r="D69" s="15"/>
      <c r="F69" s="13">
        <v>37712</v>
      </c>
      <c r="G69" s="14">
        <v>10630</v>
      </c>
      <c r="H69" s="15"/>
      <c r="J69" s="13">
        <v>37712</v>
      </c>
      <c r="K69" s="14">
        <v>21150</v>
      </c>
      <c r="L69" s="15"/>
      <c r="N69" s="13">
        <v>37712</v>
      </c>
      <c r="O69" s="14">
        <v>51121</v>
      </c>
      <c r="R69" s="13">
        <v>37712</v>
      </c>
      <c r="S69" s="14">
        <v>7550</v>
      </c>
    </row>
    <row r="70" spans="2:22" x14ac:dyDescent="0.25">
      <c r="B70" s="13">
        <v>37742</v>
      </c>
      <c r="C70" s="14">
        <v>8830</v>
      </c>
      <c r="D70" s="15"/>
      <c r="F70" s="13">
        <v>37742</v>
      </c>
      <c r="G70" s="14">
        <v>54830</v>
      </c>
      <c r="H70" s="15"/>
      <c r="J70" s="13">
        <v>37742</v>
      </c>
      <c r="K70" s="14">
        <v>66470</v>
      </c>
      <c r="L70" s="15"/>
      <c r="N70" s="13">
        <v>37742</v>
      </c>
      <c r="O70" s="14">
        <v>91687</v>
      </c>
      <c r="R70" s="13">
        <v>37742</v>
      </c>
      <c r="S70" s="14">
        <v>22710</v>
      </c>
    </row>
    <row r="71" spans="2:22" x14ac:dyDescent="0.25">
      <c r="B71" s="13">
        <v>37773</v>
      </c>
      <c r="C71" s="14">
        <v>21010</v>
      </c>
      <c r="D71" s="15"/>
      <c r="F71" s="13">
        <v>37773</v>
      </c>
      <c r="G71" s="14">
        <v>74810</v>
      </c>
      <c r="H71" s="15"/>
      <c r="J71" s="13">
        <v>37773</v>
      </c>
      <c r="K71" s="14">
        <v>65660</v>
      </c>
      <c r="L71" s="15"/>
      <c r="N71" s="13">
        <v>37773</v>
      </c>
      <c r="O71" s="14">
        <v>65548</v>
      </c>
      <c r="R71" s="13">
        <v>37773</v>
      </c>
      <c r="S71" s="14">
        <v>15800</v>
      </c>
    </row>
    <row r="72" spans="2:22" x14ac:dyDescent="0.25">
      <c r="B72" s="13">
        <v>37803</v>
      </c>
      <c r="C72" s="14">
        <v>5833</v>
      </c>
      <c r="D72" s="15"/>
      <c r="F72" s="13">
        <v>37803</v>
      </c>
      <c r="G72" s="14">
        <v>20800</v>
      </c>
      <c r="H72" s="15"/>
      <c r="J72" s="13">
        <v>37803</v>
      </c>
      <c r="K72" s="14">
        <v>13000</v>
      </c>
      <c r="L72" s="15"/>
      <c r="N72" s="13">
        <v>37803</v>
      </c>
      <c r="O72" s="14">
        <v>9296</v>
      </c>
      <c r="R72" s="13">
        <v>37803</v>
      </c>
      <c r="S72" s="14">
        <v>3050</v>
      </c>
    </row>
    <row r="73" spans="2:22" x14ac:dyDescent="0.25">
      <c r="B73" s="13">
        <v>37834</v>
      </c>
      <c r="C73" s="14">
        <v>2920</v>
      </c>
      <c r="D73" s="15"/>
      <c r="F73" s="13">
        <v>37834</v>
      </c>
      <c r="G73" s="14">
        <v>5900</v>
      </c>
      <c r="H73" s="15"/>
      <c r="J73" s="13">
        <v>37834</v>
      </c>
      <c r="K73" s="14">
        <v>7200</v>
      </c>
      <c r="L73" s="15"/>
      <c r="N73" s="13">
        <v>37834</v>
      </c>
      <c r="O73" s="14">
        <v>3158</v>
      </c>
      <c r="R73" s="13">
        <v>37834</v>
      </c>
      <c r="S73" s="14">
        <v>1580</v>
      </c>
    </row>
    <row r="74" spans="2:22" x14ac:dyDescent="0.25">
      <c r="B74" s="13">
        <v>37865</v>
      </c>
      <c r="C74" s="14">
        <v>2906</v>
      </c>
      <c r="D74" s="16">
        <f>SUM(C63:C74)/1000</f>
        <v>72.248000000000005</v>
      </c>
      <c r="F74" s="13">
        <v>37865</v>
      </c>
      <c r="G74" s="14">
        <v>2920</v>
      </c>
      <c r="H74" s="16">
        <f>SUM(G63:G74)/1000</f>
        <v>190.74</v>
      </c>
      <c r="J74" s="13">
        <v>37865</v>
      </c>
      <c r="K74" s="14">
        <v>4480</v>
      </c>
      <c r="L74" s="16">
        <f>SUM(K63:K74)/1000</f>
        <v>225.66</v>
      </c>
      <c r="N74" s="13">
        <v>37865</v>
      </c>
      <c r="O74" s="14">
        <v>2382</v>
      </c>
      <c r="P74" s="16">
        <f>SUM(O63:O74)/1000</f>
        <v>346.666</v>
      </c>
      <c r="R74" s="13">
        <v>37865</v>
      </c>
      <c r="S74" s="14">
        <v>1170</v>
      </c>
      <c r="T74" s="16">
        <f>SUM(S63:S74)/1000</f>
        <v>64.959999999999994</v>
      </c>
      <c r="U74" t="s">
        <v>127</v>
      </c>
      <c r="V74">
        <f>T74+P74+L74+H74+D74</f>
        <v>900.274</v>
      </c>
    </row>
    <row r="75" spans="2:22" x14ac:dyDescent="0.25">
      <c r="B75" s="13">
        <v>37895</v>
      </c>
      <c r="C75" s="14">
        <v>2380</v>
      </c>
      <c r="D75" s="15"/>
      <c r="F75" s="13">
        <v>37895</v>
      </c>
      <c r="G75" s="14">
        <v>1450</v>
      </c>
      <c r="H75" s="15"/>
      <c r="J75" s="13">
        <v>37895</v>
      </c>
      <c r="K75" s="14">
        <v>3810</v>
      </c>
      <c r="L75" s="15"/>
      <c r="N75" s="13">
        <v>37895</v>
      </c>
      <c r="O75" s="14">
        <v>4121</v>
      </c>
      <c r="P75" s="15"/>
      <c r="R75" s="13">
        <v>37895</v>
      </c>
      <c r="S75" s="14">
        <v>1280</v>
      </c>
      <c r="T75" s="15"/>
    </row>
    <row r="76" spans="2:22" x14ac:dyDescent="0.25">
      <c r="B76" s="13">
        <v>37926</v>
      </c>
      <c r="C76" s="14">
        <v>3380</v>
      </c>
      <c r="D76" s="15"/>
      <c r="F76" s="13">
        <v>37926</v>
      </c>
      <c r="G76" s="14">
        <v>2000</v>
      </c>
      <c r="H76" s="15"/>
      <c r="J76" s="13">
        <v>37926</v>
      </c>
      <c r="K76" s="14">
        <v>3670</v>
      </c>
      <c r="L76" s="15"/>
      <c r="N76" s="13">
        <v>37926</v>
      </c>
      <c r="O76" s="14">
        <v>5285</v>
      </c>
      <c r="P76" s="15"/>
      <c r="R76" s="13">
        <v>37926</v>
      </c>
      <c r="S76" s="14">
        <v>1270</v>
      </c>
      <c r="T76" s="15"/>
    </row>
    <row r="77" spans="2:22" x14ac:dyDescent="0.25">
      <c r="B77" s="13">
        <v>37956</v>
      </c>
      <c r="C77" s="14">
        <v>4400</v>
      </c>
      <c r="D77" s="15"/>
      <c r="F77" s="13">
        <v>37956</v>
      </c>
      <c r="G77" s="14">
        <v>2370</v>
      </c>
      <c r="H77" s="15"/>
      <c r="J77" s="13">
        <v>37956</v>
      </c>
      <c r="K77" s="14">
        <v>5440</v>
      </c>
      <c r="L77" s="15"/>
      <c r="N77" s="13">
        <v>37956</v>
      </c>
      <c r="O77" s="14">
        <v>14737</v>
      </c>
      <c r="P77" s="15"/>
      <c r="R77" s="13">
        <v>37956</v>
      </c>
      <c r="S77" s="14">
        <v>1630</v>
      </c>
      <c r="T77" s="15"/>
    </row>
    <row r="78" spans="2:22" x14ac:dyDescent="0.25">
      <c r="B78" s="13">
        <v>37987</v>
      </c>
      <c r="C78" s="14">
        <v>4530</v>
      </c>
      <c r="D78" s="15"/>
      <c r="F78" s="13">
        <v>37987</v>
      </c>
      <c r="G78" s="14">
        <v>2310</v>
      </c>
      <c r="H78" s="15"/>
      <c r="J78" s="13">
        <v>37987</v>
      </c>
      <c r="K78" s="14">
        <v>6200</v>
      </c>
      <c r="L78" s="15"/>
      <c r="N78" s="13">
        <v>37987</v>
      </c>
      <c r="O78" s="14">
        <v>12017</v>
      </c>
      <c r="P78" s="15"/>
      <c r="R78" s="13">
        <v>37987</v>
      </c>
      <c r="S78" s="14">
        <v>1440</v>
      </c>
      <c r="T78" s="15"/>
    </row>
    <row r="79" spans="2:22" x14ac:dyDescent="0.25">
      <c r="B79" s="13">
        <v>38018</v>
      </c>
      <c r="C79" s="14">
        <v>5250</v>
      </c>
      <c r="D79" s="15"/>
      <c r="F79" s="13">
        <v>38018</v>
      </c>
      <c r="G79" s="14">
        <v>2550</v>
      </c>
      <c r="H79" s="15"/>
      <c r="J79" s="13">
        <v>38018</v>
      </c>
      <c r="K79" s="14">
        <v>8410</v>
      </c>
      <c r="L79" s="15"/>
      <c r="N79" s="13">
        <v>38018</v>
      </c>
      <c r="O79" s="14">
        <v>18109</v>
      </c>
      <c r="P79" s="15"/>
      <c r="R79" s="13">
        <v>38018</v>
      </c>
      <c r="S79" s="14">
        <v>1340</v>
      </c>
      <c r="T79" s="15"/>
    </row>
    <row r="80" spans="2:22" x14ac:dyDescent="0.25">
      <c r="B80" s="13">
        <v>38047</v>
      </c>
      <c r="C80" s="14">
        <v>10230</v>
      </c>
      <c r="D80" s="15"/>
      <c r="F80" s="13">
        <v>38047</v>
      </c>
      <c r="G80" s="14">
        <v>14900</v>
      </c>
      <c r="H80" s="15"/>
      <c r="J80" s="13">
        <v>38047</v>
      </c>
      <c r="K80" s="14">
        <v>29300</v>
      </c>
      <c r="L80" s="15"/>
      <c r="N80" s="13">
        <v>38047</v>
      </c>
      <c r="O80" s="14">
        <v>54550</v>
      </c>
      <c r="P80" s="15"/>
      <c r="R80" s="13">
        <v>38047</v>
      </c>
      <c r="S80" s="14">
        <v>6690</v>
      </c>
      <c r="T80" s="15"/>
    </row>
    <row r="81" spans="2:22" x14ac:dyDescent="0.25">
      <c r="B81" s="13">
        <v>38078</v>
      </c>
      <c r="C81" s="14">
        <v>4000</v>
      </c>
      <c r="D81" s="15"/>
      <c r="F81" s="13">
        <v>38078</v>
      </c>
      <c r="G81" s="14">
        <v>26700</v>
      </c>
      <c r="H81" s="15"/>
      <c r="J81" s="13">
        <v>38078</v>
      </c>
      <c r="K81" s="14">
        <v>36610</v>
      </c>
      <c r="L81" s="15"/>
      <c r="N81" s="13">
        <v>38078</v>
      </c>
      <c r="O81" s="14">
        <v>58333</v>
      </c>
      <c r="P81" s="15"/>
      <c r="R81" s="13">
        <v>38078</v>
      </c>
      <c r="S81" s="14">
        <v>13120</v>
      </c>
      <c r="T81" s="15"/>
    </row>
    <row r="82" spans="2:22" x14ac:dyDescent="0.25">
      <c r="B82" s="13">
        <v>38108</v>
      </c>
      <c r="C82" s="14">
        <v>7910</v>
      </c>
      <c r="D82" s="15"/>
      <c r="F82" s="13">
        <v>38108</v>
      </c>
      <c r="G82" s="14">
        <v>50310</v>
      </c>
      <c r="H82" s="15"/>
      <c r="J82" s="13">
        <v>38108</v>
      </c>
      <c r="K82" s="14">
        <v>50990</v>
      </c>
      <c r="L82" s="15"/>
      <c r="N82" s="13">
        <v>38108</v>
      </c>
      <c r="O82" s="14">
        <v>58184</v>
      </c>
      <c r="P82" s="15"/>
      <c r="R82" s="13">
        <v>38108</v>
      </c>
      <c r="S82" s="14">
        <v>12930</v>
      </c>
      <c r="T82" s="15"/>
    </row>
    <row r="83" spans="2:22" x14ac:dyDescent="0.25">
      <c r="B83" s="13">
        <v>38139</v>
      </c>
      <c r="C83" s="14">
        <v>12760</v>
      </c>
      <c r="D83" s="15"/>
      <c r="F83" s="13">
        <v>38139</v>
      </c>
      <c r="G83" s="14">
        <v>38050</v>
      </c>
      <c r="H83" s="15"/>
      <c r="J83" s="13">
        <v>38139</v>
      </c>
      <c r="K83" s="14">
        <v>26630</v>
      </c>
      <c r="L83" s="15"/>
      <c r="N83" s="13">
        <v>38139</v>
      </c>
      <c r="O83" s="14">
        <v>24118</v>
      </c>
      <c r="P83" s="15"/>
      <c r="R83" s="13">
        <v>38139</v>
      </c>
      <c r="S83" s="14">
        <v>5740</v>
      </c>
      <c r="T83" s="15"/>
    </row>
    <row r="84" spans="2:22" x14ac:dyDescent="0.25">
      <c r="B84" s="13">
        <v>38169</v>
      </c>
      <c r="C84" s="14">
        <v>4230</v>
      </c>
      <c r="D84" s="15"/>
      <c r="F84" s="13">
        <v>38169</v>
      </c>
      <c r="G84" s="14">
        <v>12320</v>
      </c>
      <c r="H84" s="15"/>
      <c r="J84" s="13">
        <v>38169</v>
      </c>
      <c r="K84" s="14">
        <v>7670</v>
      </c>
      <c r="L84" s="15"/>
      <c r="N84" s="13">
        <v>38169</v>
      </c>
      <c r="O84" s="14">
        <v>5525</v>
      </c>
      <c r="P84" s="15"/>
      <c r="R84" s="13">
        <v>38169</v>
      </c>
      <c r="S84" s="14">
        <v>1860</v>
      </c>
      <c r="T84" s="15"/>
    </row>
    <row r="85" spans="2:22" x14ac:dyDescent="0.25">
      <c r="B85" s="13">
        <v>38200</v>
      </c>
      <c r="C85" s="14">
        <v>2358</v>
      </c>
      <c r="D85" s="15"/>
      <c r="F85" s="13">
        <v>38200</v>
      </c>
      <c r="G85" s="14">
        <v>3690</v>
      </c>
      <c r="H85" s="15"/>
      <c r="J85" s="13">
        <v>38200</v>
      </c>
      <c r="K85" s="14">
        <v>4860</v>
      </c>
      <c r="L85" s="15"/>
      <c r="N85" s="13">
        <v>38200</v>
      </c>
      <c r="O85" s="14">
        <v>1698</v>
      </c>
      <c r="P85" s="15"/>
      <c r="R85" s="13">
        <v>38200</v>
      </c>
      <c r="S85" s="14">
        <v>1150</v>
      </c>
      <c r="T85" s="15"/>
    </row>
    <row r="86" spans="2:22" x14ac:dyDescent="0.25">
      <c r="B86" s="13">
        <v>38231</v>
      </c>
      <c r="C86" s="14">
        <v>1690</v>
      </c>
      <c r="D86" s="16">
        <f>SUM(C75:C86)/1000</f>
        <v>63.118000000000002</v>
      </c>
      <c r="F86" s="13">
        <v>38231</v>
      </c>
      <c r="G86" s="14">
        <v>1760</v>
      </c>
      <c r="H86" s="16">
        <f>SUM(G75:G86)/1000</f>
        <v>158.41</v>
      </c>
      <c r="J86" s="13">
        <v>38231</v>
      </c>
      <c r="K86" s="14">
        <v>2760</v>
      </c>
      <c r="L86" s="16">
        <f>SUM(K75:K86)/1000</f>
        <v>186.35</v>
      </c>
      <c r="N86" s="13">
        <v>38231</v>
      </c>
      <c r="O86" s="14">
        <v>2695</v>
      </c>
      <c r="P86" s="16">
        <f>SUM(O75:O86)/1000</f>
        <v>259.37200000000001</v>
      </c>
      <c r="R86" s="13">
        <v>38231</v>
      </c>
      <c r="S86" s="14">
        <v>906</v>
      </c>
      <c r="T86" s="16">
        <f>SUM(S75:S86)/1000</f>
        <v>49.356000000000002</v>
      </c>
      <c r="U86" t="s">
        <v>128</v>
      </c>
      <c r="V86">
        <f>T86+P86+L86+H86+D86</f>
        <v>716.60599999999999</v>
      </c>
    </row>
    <row r="87" spans="2:22" x14ac:dyDescent="0.25">
      <c r="B87" s="13">
        <v>38261</v>
      </c>
      <c r="C87" s="14">
        <v>4130</v>
      </c>
      <c r="D87" s="15"/>
      <c r="F87" s="13">
        <v>38261</v>
      </c>
      <c r="G87" s="14">
        <v>2260</v>
      </c>
      <c r="H87" s="15"/>
      <c r="J87" s="13">
        <v>38261</v>
      </c>
      <c r="K87" s="14">
        <v>6760</v>
      </c>
      <c r="L87" s="15"/>
      <c r="N87" s="13">
        <v>38261</v>
      </c>
      <c r="O87" s="14">
        <v>5646</v>
      </c>
      <c r="P87" s="15"/>
      <c r="R87" s="13">
        <v>38261</v>
      </c>
      <c r="S87" s="14">
        <v>1010</v>
      </c>
      <c r="T87" s="15"/>
    </row>
    <row r="88" spans="2:22" x14ac:dyDescent="0.25">
      <c r="B88" s="13">
        <v>38292</v>
      </c>
      <c r="C88" s="14">
        <v>5003</v>
      </c>
      <c r="D88" s="15"/>
      <c r="F88" s="13">
        <v>38292</v>
      </c>
      <c r="G88" s="14">
        <v>3100</v>
      </c>
      <c r="H88" s="15"/>
      <c r="J88" s="13">
        <v>38292</v>
      </c>
      <c r="K88" s="14">
        <v>5260</v>
      </c>
      <c r="L88" s="15"/>
      <c r="N88" s="13">
        <v>38292</v>
      </c>
      <c r="O88" s="14">
        <v>5816</v>
      </c>
      <c r="P88" s="15"/>
      <c r="R88" s="13">
        <v>38292</v>
      </c>
      <c r="S88" s="14">
        <v>1150</v>
      </c>
      <c r="T88" s="15"/>
    </row>
    <row r="89" spans="2:22" x14ac:dyDescent="0.25">
      <c r="B89" s="13">
        <v>38322</v>
      </c>
      <c r="C89" s="14">
        <v>4358</v>
      </c>
      <c r="D89" s="15"/>
      <c r="F89" s="13">
        <v>38322</v>
      </c>
      <c r="G89" s="14">
        <v>3110</v>
      </c>
      <c r="H89" s="15"/>
      <c r="J89" s="13">
        <v>38322</v>
      </c>
      <c r="K89" s="14">
        <v>5590</v>
      </c>
      <c r="L89" s="15"/>
      <c r="N89" s="13">
        <v>38322</v>
      </c>
      <c r="O89" s="14">
        <v>10450</v>
      </c>
      <c r="P89" s="15"/>
      <c r="R89" s="13">
        <v>38322</v>
      </c>
      <c r="S89" s="14">
        <v>1160</v>
      </c>
      <c r="T89" s="15"/>
    </row>
    <row r="90" spans="2:22" x14ac:dyDescent="0.25">
      <c r="B90" s="13">
        <v>38353</v>
      </c>
      <c r="C90" s="14">
        <v>5014</v>
      </c>
      <c r="D90" s="15"/>
      <c r="F90" s="13">
        <v>38353</v>
      </c>
      <c r="G90" s="14">
        <v>3620</v>
      </c>
      <c r="H90" s="15"/>
      <c r="J90" s="13">
        <v>38353</v>
      </c>
      <c r="K90" s="14">
        <v>6990</v>
      </c>
      <c r="L90" s="15"/>
      <c r="N90" s="13">
        <v>38353</v>
      </c>
      <c r="O90" s="14">
        <v>11307</v>
      </c>
      <c r="P90" s="15"/>
      <c r="R90" s="13">
        <v>38353</v>
      </c>
      <c r="S90" s="14">
        <v>1330</v>
      </c>
      <c r="T90" s="15"/>
    </row>
    <row r="91" spans="2:22" x14ac:dyDescent="0.25">
      <c r="B91" s="13">
        <v>38384</v>
      </c>
      <c r="C91" s="14">
        <v>5390</v>
      </c>
      <c r="D91" s="15"/>
      <c r="F91" s="13">
        <v>38384</v>
      </c>
      <c r="G91" s="14">
        <v>3450</v>
      </c>
      <c r="H91" s="15"/>
      <c r="J91" s="13">
        <v>38384</v>
      </c>
      <c r="K91" s="14">
        <v>8050</v>
      </c>
      <c r="L91" s="15"/>
      <c r="N91" s="13">
        <v>38384</v>
      </c>
      <c r="O91" s="14">
        <v>12635</v>
      </c>
      <c r="P91" s="15"/>
      <c r="R91" s="13">
        <v>38384</v>
      </c>
      <c r="S91" s="14">
        <v>1400</v>
      </c>
      <c r="T91" s="15"/>
    </row>
    <row r="92" spans="2:22" x14ac:dyDescent="0.25">
      <c r="B92" s="13">
        <v>38412</v>
      </c>
      <c r="C92" s="14">
        <v>11170</v>
      </c>
      <c r="D92" s="15"/>
      <c r="F92" s="13">
        <v>38412</v>
      </c>
      <c r="G92" s="14">
        <v>7630</v>
      </c>
      <c r="H92" s="15"/>
      <c r="J92" s="13">
        <v>38412</v>
      </c>
      <c r="K92" s="14">
        <v>19640</v>
      </c>
      <c r="L92" s="15"/>
      <c r="N92" s="13">
        <v>38412</v>
      </c>
      <c r="O92" s="14">
        <v>42114</v>
      </c>
      <c r="P92" s="15"/>
      <c r="R92" s="13">
        <v>38412</v>
      </c>
      <c r="S92" s="14">
        <v>2810</v>
      </c>
      <c r="T92" s="15"/>
    </row>
    <row r="93" spans="2:22" x14ac:dyDescent="0.25">
      <c r="B93" s="13">
        <v>38443</v>
      </c>
      <c r="C93" s="14">
        <v>14960</v>
      </c>
      <c r="D93" s="15"/>
      <c r="F93" s="13">
        <v>38443</v>
      </c>
      <c r="G93" s="14">
        <v>17420</v>
      </c>
      <c r="H93" s="15"/>
      <c r="J93" s="13">
        <v>38443</v>
      </c>
      <c r="K93" s="14">
        <v>34640</v>
      </c>
      <c r="L93" s="15"/>
      <c r="N93" s="13">
        <v>38443</v>
      </c>
      <c r="O93" s="14">
        <v>72216</v>
      </c>
      <c r="P93" s="15"/>
      <c r="R93" s="13">
        <v>38443</v>
      </c>
      <c r="S93" s="14">
        <v>8360</v>
      </c>
      <c r="T93" s="15"/>
    </row>
    <row r="94" spans="2:22" x14ac:dyDescent="0.25">
      <c r="B94" s="13">
        <v>38473</v>
      </c>
      <c r="C94" s="14">
        <v>36230</v>
      </c>
      <c r="D94" s="15"/>
      <c r="F94" s="13">
        <v>38473</v>
      </c>
      <c r="G94" s="14">
        <v>96690</v>
      </c>
      <c r="H94" s="15"/>
      <c r="J94" s="13">
        <v>38473</v>
      </c>
      <c r="K94" s="14">
        <v>123900</v>
      </c>
      <c r="L94" s="15"/>
      <c r="N94" s="13">
        <v>38473</v>
      </c>
      <c r="O94" s="14">
        <v>168713</v>
      </c>
      <c r="P94" s="15"/>
      <c r="R94" s="13">
        <v>38473</v>
      </c>
      <c r="S94" s="14">
        <v>37360</v>
      </c>
      <c r="T94" s="15"/>
    </row>
    <row r="95" spans="2:22" x14ac:dyDescent="0.25">
      <c r="B95" s="13">
        <v>38504</v>
      </c>
      <c r="C95" s="14">
        <v>38210</v>
      </c>
      <c r="D95" s="15"/>
      <c r="F95" s="13">
        <v>38504</v>
      </c>
      <c r="G95" s="14">
        <v>89780</v>
      </c>
      <c r="H95" s="15"/>
      <c r="J95" s="13">
        <v>38504</v>
      </c>
      <c r="K95" s="14">
        <v>83940</v>
      </c>
      <c r="L95" s="15"/>
      <c r="N95" s="13">
        <v>38504</v>
      </c>
      <c r="O95" s="14">
        <v>79502</v>
      </c>
      <c r="P95" s="15"/>
      <c r="R95" s="13">
        <v>38504</v>
      </c>
      <c r="S95" s="14">
        <v>17260</v>
      </c>
      <c r="T95" s="15"/>
    </row>
    <row r="96" spans="2:22" x14ac:dyDescent="0.25">
      <c r="B96" s="13">
        <v>38534</v>
      </c>
      <c r="C96" s="14">
        <v>31731</v>
      </c>
      <c r="D96" s="15"/>
      <c r="F96" s="13">
        <v>38534</v>
      </c>
      <c r="G96" s="14">
        <v>62080</v>
      </c>
      <c r="H96" s="15"/>
      <c r="J96" s="13">
        <v>38534</v>
      </c>
      <c r="K96" s="14">
        <v>35390</v>
      </c>
      <c r="L96" s="15"/>
      <c r="N96" s="13">
        <v>38534</v>
      </c>
      <c r="O96" s="14">
        <v>21863</v>
      </c>
      <c r="P96" s="15"/>
      <c r="R96" s="13">
        <v>38534</v>
      </c>
      <c r="S96" s="14">
        <v>6190</v>
      </c>
      <c r="T96" s="15"/>
    </row>
    <row r="97" spans="2:22" x14ac:dyDescent="0.25">
      <c r="B97" s="13">
        <v>38565</v>
      </c>
      <c r="C97" s="14">
        <v>8350</v>
      </c>
      <c r="D97" s="15"/>
      <c r="F97" s="13">
        <v>38565</v>
      </c>
      <c r="G97" s="14">
        <v>11550</v>
      </c>
      <c r="H97" s="15"/>
      <c r="J97" s="13">
        <v>38565</v>
      </c>
      <c r="K97" s="14">
        <v>8830</v>
      </c>
      <c r="L97" s="15"/>
      <c r="N97" s="13">
        <v>38565</v>
      </c>
      <c r="O97" s="14">
        <v>4171</v>
      </c>
      <c r="P97" s="15"/>
      <c r="R97" s="13">
        <v>38565</v>
      </c>
      <c r="S97" s="14">
        <v>1850</v>
      </c>
      <c r="T97" s="15"/>
    </row>
    <row r="98" spans="2:22" x14ac:dyDescent="0.25">
      <c r="B98" s="13">
        <v>38596</v>
      </c>
      <c r="C98" s="14">
        <v>4625</v>
      </c>
      <c r="D98" s="16">
        <f>SUM(C87:C98)/1000</f>
        <v>169.17099999999999</v>
      </c>
      <c r="F98" s="13">
        <v>38596</v>
      </c>
      <c r="G98" s="14">
        <v>4120</v>
      </c>
      <c r="H98" s="16">
        <f>SUM(G87:G98)/1000</f>
        <v>304.81</v>
      </c>
      <c r="J98" s="13">
        <v>38596</v>
      </c>
      <c r="K98" s="14">
        <v>5640</v>
      </c>
      <c r="L98" s="16">
        <f>SUM(K87:K98)/1000</f>
        <v>344.63</v>
      </c>
      <c r="N98" s="13">
        <v>38596</v>
      </c>
      <c r="O98" s="14">
        <v>4563</v>
      </c>
      <c r="P98" s="16">
        <f>SUM(O87:O98)/1000</f>
        <v>438.99599999999998</v>
      </c>
      <c r="R98" s="13">
        <v>38596</v>
      </c>
      <c r="S98" s="14">
        <v>1360</v>
      </c>
      <c r="T98" s="16">
        <f>SUM(S87:S98)/1000</f>
        <v>81.239999999999995</v>
      </c>
      <c r="U98" t="s">
        <v>129</v>
      </c>
      <c r="V98">
        <f>T98+P98+L98+H98+D98</f>
        <v>1338.847</v>
      </c>
    </row>
    <row r="99" spans="2:22" x14ac:dyDescent="0.25">
      <c r="B99" s="13">
        <v>38626</v>
      </c>
      <c r="C99" s="14">
        <v>7613</v>
      </c>
      <c r="D99" s="21"/>
      <c r="F99" s="13">
        <v>38626</v>
      </c>
      <c r="G99" s="14">
        <v>2650</v>
      </c>
      <c r="H99" s="21"/>
      <c r="J99" s="13">
        <v>38626</v>
      </c>
      <c r="K99" s="14">
        <v>5780</v>
      </c>
      <c r="L99" s="21"/>
      <c r="N99" s="13">
        <v>38626</v>
      </c>
      <c r="O99" s="14">
        <v>25550</v>
      </c>
      <c r="P99" s="21"/>
      <c r="R99" s="13">
        <v>38626</v>
      </c>
      <c r="S99" s="14">
        <v>1520</v>
      </c>
      <c r="T99" s="21"/>
    </row>
    <row r="100" spans="2:22" x14ac:dyDescent="0.25">
      <c r="B100" s="13">
        <v>38657</v>
      </c>
      <c r="C100" s="14">
        <v>1210</v>
      </c>
      <c r="D100" s="21"/>
      <c r="F100" s="13">
        <v>38657</v>
      </c>
      <c r="G100" s="14">
        <v>2491</v>
      </c>
      <c r="H100" s="21"/>
      <c r="J100" s="13">
        <v>38657</v>
      </c>
      <c r="K100" s="14">
        <v>4940</v>
      </c>
      <c r="L100" s="21"/>
      <c r="N100" s="13">
        <v>38657</v>
      </c>
      <c r="O100" s="14">
        <v>21000</v>
      </c>
      <c r="P100" s="21"/>
      <c r="R100" s="13">
        <v>38657</v>
      </c>
      <c r="S100" s="14">
        <v>1350</v>
      </c>
      <c r="T100" s="21"/>
    </row>
    <row r="101" spans="2:22" x14ac:dyDescent="0.25">
      <c r="B101" s="13">
        <v>38687</v>
      </c>
      <c r="C101" s="14">
        <v>1192</v>
      </c>
      <c r="D101" s="21"/>
      <c r="F101" s="13">
        <v>38687</v>
      </c>
      <c r="G101" s="14">
        <v>6560</v>
      </c>
      <c r="H101" s="21"/>
      <c r="J101" s="13">
        <v>38687</v>
      </c>
      <c r="K101" s="14">
        <v>29570</v>
      </c>
      <c r="L101" s="21"/>
      <c r="N101" s="13">
        <v>38687</v>
      </c>
      <c r="O101" s="14">
        <v>60940</v>
      </c>
      <c r="P101" s="21"/>
      <c r="R101" s="13">
        <v>38687</v>
      </c>
      <c r="S101" s="14">
        <v>7740</v>
      </c>
      <c r="T101" s="21"/>
    </row>
    <row r="102" spans="2:22" x14ac:dyDescent="0.25">
      <c r="B102" s="13">
        <v>38718</v>
      </c>
      <c r="C102" s="14">
        <v>2060</v>
      </c>
      <c r="D102" s="21"/>
      <c r="F102" s="13">
        <v>38718</v>
      </c>
      <c r="G102" s="14">
        <v>8392</v>
      </c>
      <c r="H102" s="21"/>
      <c r="J102" s="13">
        <v>38718</v>
      </c>
      <c r="K102" s="14">
        <v>27560</v>
      </c>
      <c r="L102" s="21"/>
      <c r="N102" s="13">
        <v>38718</v>
      </c>
      <c r="O102" s="14">
        <v>89236</v>
      </c>
      <c r="P102" s="21"/>
      <c r="R102" s="13">
        <v>38718</v>
      </c>
      <c r="S102" s="14">
        <v>6730</v>
      </c>
      <c r="T102" s="21"/>
    </row>
    <row r="103" spans="2:22" x14ac:dyDescent="0.25">
      <c r="B103" s="13">
        <v>38749</v>
      </c>
      <c r="C103" s="14">
        <v>12512</v>
      </c>
      <c r="D103" s="21"/>
      <c r="F103" s="13">
        <v>38749</v>
      </c>
      <c r="G103" s="14">
        <v>6615</v>
      </c>
      <c r="H103" s="21"/>
      <c r="J103" s="13">
        <v>38749</v>
      </c>
      <c r="K103" s="14">
        <v>18390</v>
      </c>
      <c r="L103" s="21"/>
      <c r="N103" s="13">
        <v>38749</v>
      </c>
      <c r="O103" s="14">
        <v>47290</v>
      </c>
      <c r="P103" s="21"/>
      <c r="R103" s="13">
        <v>38749</v>
      </c>
      <c r="S103" s="14">
        <v>5280</v>
      </c>
      <c r="T103" s="21"/>
    </row>
    <row r="104" spans="2:22" x14ac:dyDescent="0.25">
      <c r="B104" s="13">
        <v>38777</v>
      </c>
      <c r="C104" s="14">
        <v>12190</v>
      </c>
      <c r="D104" s="21"/>
      <c r="F104" s="13">
        <v>38777</v>
      </c>
      <c r="G104" s="14">
        <v>8490</v>
      </c>
      <c r="H104" s="21"/>
      <c r="J104" s="13">
        <v>38777</v>
      </c>
      <c r="K104" s="14">
        <v>23350</v>
      </c>
      <c r="L104" s="21"/>
      <c r="N104" s="13">
        <v>38777</v>
      </c>
      <c r="O104" s="14">
        <v>83210</v>
      </c>
      <c r="P104" s="21"/>
      <c r="R104" s="13">
        <v>38777</v>
      </c>
      <c r="S104" s="14">
        <v>5680</v>
      </c>
      <c r="T104" s="21"/>
    </row>
    <row r="105" spans="2:22" x14ac:dyDescent="0.25">
      <c r="B105" s="13">
        <v>38808</v>
      </c>
      <c r="C105" s="14">
        <v>20434</v>
      </c>
      <c r="D105" s="21"/>
      <c r="F105" s="13">
        <v>38808</v>
      </c>
      <c r="G105" s="14">
        <v>21880</v>
      </c>
      <c r="H105" s="21"/>
      <c r="J105" s="13">
        <v>38808</v>
      </c>
      <c r="K105" s="14">
        <v>43950</v>
      </c>
      <c r="L105" s="21"/>
      <c r="N105" s="13">
        <v>38808</v>
      </c>
      <c r="O105" s="14">
        <v>120400</v>
      </c>
      <c r="P105" s="21"/>
      <c r="R105" s="13">
        <v>38808</v>
      </c>
      <c r="S105" s="14">
        <v>12860</v>
      </c>
      <c r="T105" s="21"/>
    </row>
    <row r="106" spans="2:22" x14ac:dyDescent="0.25">
      <c r="B106" s="13">
        <v>38838</v>
      </c>
      <c r="C106" s="14">
        <v>42655</v>
      </c>
      <c r="D106" s="21"/>
      <c r="F106" s="13">
        <v>38838</v>
      </c>
      <c r="G106" s="14">
        <v>108000</v>
      </c>
      <c r="H106" s="21"/>
      <c r="J106" s="13">
        <v>38838</v>
      </c>
      <c r="K106" s="14">
        <v>136900</v>
      </c>
      <c r="L106" s="21"/>
      <c r="N106" s="13">
        <v>38838</v>
      </c>
      <c r="O106" s="14">
        <v>175300</v>
      </c>
      <c r="P106" s="21"/>
      <c r="R106" s="13">
        <v>38838</v>
      </c>
      <c r="S106" s="14">
        <v>41260</v>
      </c>
      <c r="T106" s="21"/>
    </row>
    <row r="107" spans="2:22" x14ac:dyDescent="0.25">
      <c r="B107" s="13">
        <v>38869</v>
      </c>
      <c r="C107" s="14">
        <v>44935</v>
      </c>
      <c r="D107" s="21"/>
      <c r="F107" s="13">
        <v>38869</v>
      </c>
      <c r="G107" s="14">
        <v>116500</v>
      </c>
      <c r="H107" s="21"/>
      <c r="J107" s="13">
        <v>38869</v>
      </c>
      <c r="K107" s="14">
        <v>101200</v>
      </c>
      <c r="L107" s="21"/>
      <c r="N107" s="13">
        <v>38869</v>
      </c>
      <c r="O107" s="14">
        <v>96580</v>
      </c>
      <c r="P107" s="21"/>
      <c r="R107" s="13">
        <v>38869</v>
      </c>
      <c r="S107" s="14">
        <v>19640</v>
      </c>
      <c r="T107" s="21"/>
    </row>
    <row r="108" spans="2:22" x14ac:dyDescent="0.25">
      <c r="B108" s="13">
        <v>38899</v>
      </c>
      <c r="C108" s="14">
        <v>33240</v>
      </c>
      <c r="D108" s="21"/>
      <c r="F108" s="13">
        <v>38899</v>
      </c>
      <c r="G108" s="14">
        <v>54980</v>
      </c>
      <c r="H108" s="21"/>
      <c r="J108" s="13">
        <v>38899</v>
      </c>
      <c r="K108" s="14">
        <v>31070</v>
      </c>
      <c r="L108" s="21"/>
      <c r="N108" s="13">
        <v>38899</v>
      </c>
      <c r="O108" s="14">
        <v>59520</v>
      </c>
      <c r="P108" s="21"/>
      <c r="R108" s="13">
        <v>38899</v>
      </c>
      <c r="S108" s="14">
        <v>6870</v>
      </c>
      <c r="T108" s="21"/>
    </row>
    <row r="109" spans="2:22" x14ac:dyDescent="0.25">
      <c r="B109" s="13">
        <v>38930</v>
      </c>
      <c r="C109" s="14">
        <v>21140</v>
      </c>
      <c r="D109" s="21"/>
      <c r="F109" s="13">
        <v>38930</v>
      </c>
      <c r="G109" s="14">
        <v>10860</v>
      </c>
      <c r="H109" s="21"/>
      <c r="J109" s="13">
        <v>38930</v>
      </c>
      <c r="K109" s="14">
        <v>10480</v>
      </c>
      <c r="L109" s="21"/>
      <c r="N109" s="13">
        <v>38930</v>
      </c>
      <c r="O109" s="14">
        <v>39510</v>
      </c>
      <c r="P109" s="21"/>
      <c r="R109" s="13">
        <v>38930</v>
      </c>
      <c r="S109" s="14">
        <v>2520</v>
      </c>
      <c r="T109" s="21"/>
    </row>
    <row r="110" spans="2:22" x14ac:dyDescent="0.25">
      <c r="B110" s="13">
        <v>38961</v>
      </c>
      <c r="C110" s="14">
        <v>15100</v>
      </c>
      <c r="D110" s="16">
        <f>SUM(C99:C110)/1000</f>
        <v>214.28100000000001</v>
      </c>
      <c r="F110" s="13">
        <v>38961</v>
      </c>
      <c r="G110" s="14">
        <v>4900</v>
      </c>
      <c r="H110" s="16">
        <f>SUM(G99:G110)/1000</f>
        <v>352.31799999999998</v>
      </c>
      <c r="J110" s="13">
        <v>38961</v>
      </c>
      <c r="K110" s="14">
        <v>6520</v>
      </c>
      <c r="L110" s="16">
        <f>SUM(K99:K110)/1000</f>
        <v>439.71</v>
      </c>
      <c r="N110" s="13">
        <v>38961</v>
      </c>
      <c r="O110" s="14">
        <v>37930</v>
      </c>
      <c r="P110" s="16">
        <f>SUM(O99:O110)/1000</f>
        <v>856.46600000000001</v>
      </c>
      <c r="R110" s="13">
        <v>38961</v>
      </c>
      <c r="S110" s="14">
        <v>1810</v>
      </c>
      <c r="T110" s="16">
        <f>SUM(S99:S110)/1000</f>
        <v>113.26</v>
      </c>
      <c r="U110" s="20" t="s">
        <v>144</v>
      </c>
      <c r="V110">
        <f>T110+P110+L110+H110+D110</f>
        <v>1976.0349999999999</v>
      </c>
    </row>
    <row r="111" spans="2:22" x14ac:dyDescent="0.25">
      <c r="B111" s="13">
        <v>38991</v>
      </c>
      <c r="C111" s="14">
        <v>7400</v>
      </c>
      <c r="D111" s="21"/>
      <c r="F111" s="13">
        <v>38991</v>
      </c>
      <c r="G111" s="14">
        <v>3760</v>
      </c>
      <c r="H111" s="21"/>
      <c r="J111" s="13">
        <v>38991</v>
      </c>
      <c r="K111" s="14">
        <v>5360</v>
      </c>
      <c r="L111" s="21"/>
      <c r="N111" s="13">
        <v>38991</v>
      </c>
      <c r="O111" s="14">
        <v>34780</v>
      </c>
      <c r="P111" s="21"/>
      <c r="R111" s="13">
        <v>38991</v>
      </c>
      <c r="S111" s="14">
        <v>1770</v>
      </c>
      <c r="T111" s="21"/>
    </row>
    <row r="112" spans="2:22" x14ac:dyDescent="0.25">
      <c r="B112" s="13">
        <v>39022</v>
      </c>
      <c r="C112" s="14">
        <v>1460</v>
      </c>
      <c r="D112" s="21"/>
      <c r="F112" s="13">
        <v>39022</v>
      </c>
      <c r="G112" s="14">
        <v>3110</v>
      </c>
      <c r="H112" s="21"/>
      <c r="J112" s="13">
        <v>39022</v>
      </c>
      <c r="K112" s="14">
        <v>5410</v>
      </c>
      <c r="L112" s="21"/>
      <c r="N112" s="13">
        <v>39022</v>
      </c>
      <c r="O112" s="14">
        <v>22050</v>
      </c>
      <c r="P112" s="21"/>
      <c r="R112" s="13">
        <v>39022</v>
      </c>
      <c r="S112" s="14">
        <v>2000</v>
      </c>
      <c r="T112" s="21"/>
    </row>
    <row r="113" spans="2:22" x14ac:dyDescent="0.25">
      <c r="B113" s="13">
        <v>39052</v>
      </c>
      <c r="C113" s="14">
        <v>1690</v>
      </c>
      <c r="D113" s="21"/>
      <c r="F113" s="13">
        <v>39052</v>
      </c>
      <c r="G113" s="14">
        <v>2890</v>
      </c>
      <c r="H113" s="21"/>
      <c r="J113" s="13">
        <v>39052</v>
      </c>
      <c r="K113" s="14">
        <v>5500</v>
      </c>
      <c r="L113" s="21"/>
      <c r="N113" s="13">
        <v>39052</v>
      </c>
      <c r="O113" s="14">
        <v>24540</v>
      </c>
      <c r="P113" s="21"/>
      <c r="R113" s="13">
        <v>39052</v>
      </c>
      <c r="S113" s="14">
        <v>1870</v>
      </c>
      <c r="T113" s="21"/>
    </row>
    <row r="114" spans="2:22" x14ac:dyDescent="0.25">
      <c r="B114" s="13">
        <v>39083</v>
      </c>
      <c r="C114" s="14">
        <v>2053</v>
      </c>
      <c r="D114" s="21"/>
      <c r="F114" s="13">
        <v>39083</v>
      </c>
      <c r="G114" s="14">
        <v>2800</v>
      </c>
      <c r="H114" s="21"/>
      <c r="J114" s="13">
        <v>39083</v>
      </c>
      <c r="K114" s="14">
        <v>5930</v>
      </c>
      <c r="L114" s="21"/>
      <c r="N114" s="13">
        <v>39083</v>
      </c>
      <c r="O114" s="14">
        <v>30440</v>
      </c>
      <c r="P114" s="21"/>
      <c r="R114" s="13">
        <v>39083</v>
      </c>
      <c r="S114" s="14">
        <v>1720</v>
      </c>
      <c r="T114" s="21"/>
    </row>
    <row r="115" spans="2:22" x14ac:dyDescent="0.25">
      <c r="B115" s="13">
        <v>39114</v>
      </c>
      <c r="C115" s="14">
        <v>1330</v>
      </c>
      <c r="D115" s="21"/>
      <c r="F115" s="13">
        <v>39114</v>
      </c>
      <c r="G115" s="14">
        <v>2710</v>
      </c>
      <c r="H115" s="21"/>
      <c r="J115" s="13">
        <v>39114</v>
      </c>
      <c r="K115" s="14">
        <v>5650</v>
      </c>
      <c r="L115" s="21"/>
      <c r="N115" s="13">
        <v>39114</v>
      </c>
      <c r="O115" s="14">
        <v>29518</v>
      </c>
      <c r="P115" s="21"/>
      <c r="R115" s="13">
        <v>39114</v>
      </c>
      <c r="S115" s="14">
        <v>1640</v>
      </c>
      <c r="T115" s="21"/>
    </row>
    <row r="116" spans="2:22" x14ac:dyDescent="0.25">
      <c r="B116" s="13">
        <v>39142</v>
      </c>
      <c r="C116" s="14">
        <v>5494</v>
      </c>
      <c r="D116" s="21"/>
      <c r="F116" s="13">
        <v>39142</v>
      </c>
      <c r="G116" s="14">
        <v>7320</v>
      </c>
      <c r="H116" s="21"/>
      <c r="J116" s="13">
        <v>39142</v>
      </c>
      <c r="K116" s="14">
        <v>14100</v>
      </c>
      <c r="L116" s="21"/>
      <c r="N116" s="13">
        <v>39142</v>
      </c>
      <c r="O116" s="14">
        <v>38780</v>
      </c>
      <c r="P116" s="21"/>
      <c r="R116" s="13">
        <v>39142</v>
      </c>
      <c r="S116" s="14">
        <v>4530</v>
      </c>
      <c r="T116" s="21"/>
    </row>
    <row r="117" spans="2:22" x14ac:dyDescent="0.25">
      <c r="B117" s="13">
        <v>39173</v>
      </c>
      <c r="C117" s="14">
        <v>5110</v>
      </c>
      <c r="D117" s="21"/>
      <c r="F117" s="13">
        <v>39173</v>
      </c>
      <c r="G117" s="14">
        <v>14930</v>
      </c>
      <c r="H117" s="21"/>
      <c r="J117" s="13">
        <v>39173</v>
      </c>
      <c r="K117" s="14">
        <v>23650</v>
      </c>
      <c r="L117" s="21"/>
      <c r="N117" s="13">
        <v>39173</v>
      </c>
      <c r="O117" s="14">
        <v>46594</v>
      </c>
      <c r="P117" s="21"/>
      <c r="R117" s="13">
        <v>39173</v>
      </c>
      <c r="S117" s="14">
        <v>7520</v>
      </c>
      <c r="T117" s="21"/>
    </row>
    <row r="118" spans="2:22" x14ac:dyDescent="0.25">
      <c r="B118" s="13">
        <v>39203</v>
      </c>
      <c r="C118" s="14">
        <v>6850</v>
      </c>
      <c r="D118" s="21"/>
      <c r="F118" s="13">
        <v>39203</v>
      </c>
      <c r="G118" s="14">
        <v>31140</v>
      </c>
      <c r="H118" s="21"/>
      <c r="J118" s="13">
        <v>39203</v>
      </c>
      <c r="K118" s="14">
        <v>33520</v>
      </c>
      <c r="L118" s="21"/>
      <c r="N118" s="13">
        <v>39203</v>
      </c>
      <c r="O118" s="14">
        <v>54340</v>
      </c>
      <c r="P118" s="21"/>
      <c r="R118" s="13">
        <v>39203</v>
      </c>
      <c r="S118" s="14">
        <v>8080</v>
      </c>
      <c r="T118" s="21"/>
    </row>
    <row r="119" spans="2:22" x14ac:dyDescent="0.25">
      <c r="B119" s="13">
        <v>39234</v>
      </c>
      <c r="C119" s="14">
        <v>7730</v>
      </c>
      <c r="D119" s="21"/>
      <c r="F119" s="13">
        <v>39234</v>
      </c>
      <c r="G119" s="14">
        <v>16960</v>
      </c>
      <c r="H119" s="21"/>
      <c r="J119" s="13">
        <v>39234</v>
      </c>
      <c r="K119" s="14">
        <v>13440</v>
      </c>
      <c r="L119" s="21"/>
      <c r="N119" s="13">
        <v>39234</v>
      </c>
      <c r="O119" s="14">
        <v>31739</v>
      </c>
      <c r="P119" s="21"/>
      <c r="R119" s="13">
        <v>39234</v>
      </c>
      <c r="S119" s="14">
        <v>3120</v>
      </c>
      <c r="T119" s="21"/>
    </row>
    <row r="120" spans="2:22" x14ac:dyDescent="0.25">
      <c r="B120" s="13">
        <v>39264</v>
      </c>
      <c r="C120" s="14">
        <v>6920</v>
      </c>
      <c r="D120" s="21"/>
      <c r="F120" s="13">
        <v>39264</v>
      </c>
      <c r="G120" s="14">
        <v>4550</v>
      </c>
      <c r="H120" s="21"/>
      <c r="J120" s="13">
        <v>39264</v>
      </c>
      <c r="K120" s="14">
        <v>5340</v>
      </c>
      <c r="L120" s="21"/>
      <c r="N120" s="13">
        <v>39264</v>
      </c>
      <c r="O120" s="14">
        <v>32330</v>
      </c>
      <c r="P120" s="21"/>
      <c r="R120" s="13">
        <v>39264</v>
      </c>
      <c r="S120" s="14">
        <v>1170</v>
      </c>
      <c r="T120" s="21"/>
    </row>
    <row r="121" spans="2:22" x14ac:dyDescent="0.25">
      <c r="B121" s="13">
        <v>39295</v>
      </c>
      <c r="C121" s="14">
        <v>6600</v>
      </c>
      <c r="D121" s="21"/>
      <c r="F121" s="13">
        <v>39295</v>
      </c>
      <c r="G121" s="14">
        <v>1660</v>
      </c>
      <c r="H121" s="21"/>
      <c r="J121" s="13">
        <v>39295</v>
      </c>
      <c r="K121" s="14">
        <v>3040</v>
      </c>
      <c r="L121" s="21"/>
      <c r="N121" s="13">
        <v>39295</v>
      </c>
      <c r="O121" s="14">
        <v>31970</v>
      </c>
      <c r="P121" s="21"/>
      <c r="R121" s="13">
        <v>39295</v>
      </c>
      <c r="S121" s="14">
        <v>998</v>
      </c>
      <c r="T121" s="21"/>
    </row>
    <row r="122" spans="2:22" x14ac:dyDescent="0.25">
      <c r="B122" s="13">
        <v>39326</v>
      </c>
      <c r="C122" s="14">
        <v>4620</v>
      </c>
      <c r="D122" s="16">
        <f>SUM(C111:C122)/1000</f>
        <v>57.256999999999998</v>
      </c>
      <c r="F122" s="13">
        <v>39326</v>
      </c>
      <c r="G122" s="14">
        <v>1260</v>
      </c>
      <c r="H122" s="16">
        <f>SUM(G111:G122)/1000</f>
        <v>93.09</v>
      </c>
      <c r="J122" s="13">
        <v>39326</v>
      </c>
      <c r="K122" s="14">
        <v>2720</v>
      </c>
      <c r="L122" s="16">
        <f>SUM(K111:K122)/1000</f>
        <v>123.66</v>
      </c>
      <c r="N122" s="13">
        <v>39326</v>
      </c>
      <c r="O122" s="14">
        <v>29020</v>
      </c>
      <c r="P122" s="16">
        <f>SUM(O111:O122)/1000</f>
        <v>406.101</v>
      </c>
      <c r="R122" s="13">
        <v>39326</v>
      </c>
      <c r="S122" s="14">
        <v>851</v>
      </c>
      <c r="T122" s="16">
        <f>SUM(S111:S122)/1000</f>
        <v>35.268999999999998</v>
      </c>
      <c r="U122" s="20" t="s">
        <v>148</v>
      </c>
      <c r="V122">
        <f>T122+P122+L122+H122+D122</f>
        <v>715.37699999999995</v>
      </c>
    </row>
    <row r="123" spans="2:22" x14ac:dyDescent="0.25">
      <c r="B123" s="13">
        <v>39356</v>
      </c>
      <c r="C123" s="14">
        <v>2860</v>
      </c>
      <c r="D123" s="21"/>
      <c r="F123" s="13">
        <v>39356</v>
      </c>
      <c r="G123" s="14">
        <v>1390</v>
      </c>
      <c r="H123" s="21"/>
      <c r="J123" s="13">
        <v>39356</v>
      </c>
      <c r="K123" s="14">
        <v>2790</v>
      </c>
      <c r="L123" s="21"/>
      <c r="N123" s="13">
        <v>39356</v>
      </c>
      <c r="O123" s="14">
        <v>27380</v>
      </c>
      <c r="P123" s="21"/>
      <c r="R123" s="13">
        <v>39356</v>
      </c>
      <c r="S123" s="14">
        <v>819</v>
      </c>
      <c r="T123" s="21"/>
    </row>
    <row r="124" spans="2:22" x14ac:dyDescent="0.25">
      <c r="B124" s="13">
        <v>39387</v>
      </c>
      <c r="C124" s="14">
        <v>1340</v>
      </c>
      <c r="D124" s="21"/>
      <c r="F124" s="13">
        <v>39387</v>
      </c>
      <c r="G124" s="14">
        <v>1340</v>
      </c>
      <c r="H124" s="21"/>
      <c r="J124" s="13">
        <v>39387</v>
      </c>
      <c r="K124" s="14">
        <v>3140</v>
      </c>
      <c r="L124" s="21"/>
      <c r="N124" s="13">
        <v>39387</v>
      </c>
      <c r="O124" s="14">
        <v>20250</v>
      </c>
      <c r="P124" s="21"/>
      <c r="R124" s="13">
        <v>39387</v>
      </c>
      <c r="S124" s="14">
        <v>801</v>
      </c>
      <c r="T124" s="21"/>
    </row>
    <row r="125" spans="2:22" x14ac:dyDescent="0.25">
      <c r="B125" s="13">
        <v>39417</v>
      </c>
      <c r="C125" s="14">
        <v>1760</v>
      </c>
      <c r="D125" s="21"/>
      <c r="F125" s="13">
        <v>39417</v>
      </c>
      <c r="G125" s="14">
        <v>1400</v>
      </c>
      <c r="H125" s="21"/>
      <c r="J125" s="13">
        <v>39417</v>
      </c>
      <c r="K125" s="14">
        <v>3510</v>
      </c>
      <c r="L125" s="21"/>
      <c r="N125" s="13">
        <v>39417</v>
      </c>
      <c r="O125" s="14">
        <v>21340</v>
      </c>
      <c r="P125" s="21"/>
      <c r="R125" s="13">
        <v>39417</v>
      </c>
      <c r="S125" s="14">
        <v>942</v>
      </c>
      <c r="T125" s="21"/>
    </row>
    <row r="126" spans="2:22" x14ac:dyDescent="0.25">
      <c r="B126" s="13">
        <v>39448</v>
      </c>
      <c r="C126" s="14">
        <v>1850</v>
      </c>
      <c r="D126" s="21"/>
      <c r="F126" s="13">
        <v>39448</v>
      </c>
      <c r="G126" s="14">
        <v>1910</v>
      </c>
      <c r="H126" s="21"/>
      <c r="J126" s="13">
        <v>39448</v>
      </c>
      <c r="K126" s="14">
        <v>4790</v>
      </c>
      <c r="L126" s="21"/>
      <c r="N126" s="13">
        <v>39448</v>
      </c>
      <c r="O126" s="14">
        <v>19200</v>
      </c>
      <c r="P126" s="21"/>
      <c r="R126" s="13">
        <v>39448</v>
      </c>
      <c r="S126" s="14">
        <v>1180</v>
      </c>
      <c r="T126" s="21"/>
    </row>
    <row r="127" spans="2:22" x14ac:dyDescent="0.25">
      <c r="B127" s="13">
        <v>39479</v>
      </c>
      <c r="C127" s="14">
        <v>1320</v>
      </c>
      <c r="D127" s="21"/>
      <c r="F127" s="13">
        <v>39479</v>
      </c>
      <c r="G127" s="14">
        <v>2170</v>
      </c>
      <c r="H127" s="21"/>
      <c r="J127" s="13">
        <v>39479</v>
      </c>
      <c r="K127" s="14">
        <v>5020</v>
      </c>
      <c r="L127" s="21"/>
      <c r="N127" s="13">
        <v>39479</v>
      </c>
      <c r="O127" s="14">
        <v>18030</v>
      </c>
      <c r="P127" s="21"/>
      <c r="R127" s="13">
        <v>39479</v>
      </c>
      <c r="S127" s="14">
        <v>1390</v>
      </c>
      <c r="T127" s="21"/>
    </row>
    <row r="128" spans="2:22" x14ac:dyDescent="0.25">
      <c r="B128" s="13">
        <v>39508</v>
      </c>
      <c r="C128" s="14">
        <v>5320</v>
      </c>
      <c r="D128" s="21"/>
      <c r="F128" s="13">
        <v>39508</v>
      </c>
      <c r="G128" s="14">
        <v>4890</v>
      </c>
      <c r="H128" s="21"/>
      <c r="J128" s="13">
        <v>39508</v>
      </c>
      <c r="K128" s="14">
        <v>12010</v>
      </c>
      <c r="L128" s="21"/>
      <c r="N128" s="13">
        <v>39508</v>
      </c>
      <c r="O128" s="14">
        <v>22560</v>
      </c>
      <c r="P128" s="21"/>
      <c r="R128" s="13">
        <v>39508</v>
      </c>
      <c r="S128" s="14">
        <v>2570</v>
      </c>
      <c r="T128" s="21"/>
    </row>
    <row r="129" spans="2:22" x14ac:dyDescent="0.25">
      <c r="B129" s="13">
        <v>39539</v>
      </c>
      <c r="C129" s="14">
        <v>5000</v>
      </c>
      <c r="D129" s="21"/>
      <c r="F129" s="13">
        <v>39539</v>
      </c>
      <c r="G129" s="14">
        <v>13010</v>
      </c>
      <c r="H129" s="21"/>
      <c r="J129" s="13">
        <v>39539</v>
      </c>
      <c r="K129" s="14">
        <v>23410</v>
      </c>
      <c r="L129" s="21"/>
      <c r="N129" s="13">
        <v>39539</v>
      </c>
      <c r="O129" s="14">
        <v>36130</v>
      </c>
      <c r="P129" s="21"/>
      <c r="R129" s="13">
        <v>39539</v>
      </c>
      <c r="S129" s="14">
        <v>7970</v>
      </c>
      <c r="T129" s="21"/>
    </row>
    <row r="130" spans="2:22" x14ac:dyDescent="0.25">
      <c r="B130" s="13">
        <v>39569</v>
      </c>
      <c r="C130" s="14">
        <v>8770</v>
      </c>
      <c r="D130" s="21"/>
      <c r="F130" s="13">
        <v>39569</v>
      </c>
      <c r="G130" s="14">
        <v>43300</v>
      </c>
      <c r="H130" s="21"/>
      <c r="J130" s="13">
        <v>39569</v>
      </c>
      <c r="K130" s="14">
        <v>53090</v>
      </c>
      <c r="L130" s="21"/>
      <c r="N130" s="13">
        <v>39569</v>
      </c>
      <c r="O130" s="14">
        <v>49930</v>
      </c>
      <c r="P130" s="21"/>
      <c r="R130" s="13">
        <v>39569</v>
      </c>
      <c r="S130" s="14">
        <v>13420</v>
      </c>
      <c r="T130" s="21"/>
    </row>
    <row r="131" spans="2:22" x14ac:dyDescent="0.25">
      <c r="B131" s="13">
        <v>39600</v>
      </c>
      <c r="C131" s="14">
        <v>10820</v>
      </c>
      <c r="D131" s="21"/>
      <c r="F131" s="13">
        <v>39600</v>
      </c>
      <c r="G131" s="14">
        <v>42790</v>
      </c>
      <c r="H131" s="21"/>
      <c r="J131" s="13">
        <v>39600</v>
      </c>
      <c r="K131" s="14">
        <v>31110</v>
      </c>
      <c r="L131" s="21"/>
      <c r="N131" s="13">
        <v>39600</v>
      </c>
      <c r="O131" s="14">
        <v>37430</v>
      </c>
      <c r="P131" s="21"/>
      <c r="R131" s="13">
        <v>39600</v>
      </c>
      <c r="S131" s="14">
        <v>6520</v>
      </c>
      <c r="T131" s="21"/>
    </row>
    <row r="132" spans="2:22" x14ac:dyDescent="0.25">
      <c r="B132" s="13">
        <v>39630</v>
      </c>
      <c r="C132" s="14">
        <v>9930</v>
      </c>
      <c r="D132" s="21"/>
      <c r="F132" s="13">
        <v>39630</v>
      </c>
      <c r="G132" s="14">
        <v>11940</v>
      </c>
      <c r="H132" s="21"/>
      <c r="J132" s="13">
        <v>39630</v>
      </c>
      <c r="K132" s="14">
        <v>8960</v>
      </c>
      <c r="L132" s="21"/>
      <c r="N132" s="13">
        <v>39630</v>
      </c>
      <c r="O132" s="14">
        <v>38300</v>
      </c>
      <c r="P132" s="21"/>
      <c r="R132" s="13">
        <v>39630</v>
      </c>
      <c r="S132" s="14">
        <v>1760</v>
      </c>
      <c r="T132" s="21"/>
    </row>
    <row r="133" spans="2:22" x14ac:dyDescent="0.25">
      <c r="B133" s="13">
        <v>39661</v>
      </c>
      <c r="C133" s="14">
        <v>6676</v>
      </c>
      <c r="D133" s="21"/>
      <c r="F133" s="13">
        <v>39661</v>
      </c>
      <c r="G133" s="14">
        <v>2860</v>
      </c>
      <c r="H133" s="21"/>
      <c r="J133" s="13">
        <v>39661</v>
      </c>
      <c r="K133" s="14">
        <v>4720</v>
      </c>
      <c r="L133" s="21"/>
      <c r="N133" s="13">
        <v>39661</v>
      </c>
      <c r="O133" s="14">
        <v>37050</v>
      </c>
      <c r="P133" s="21"/>
      <c r="R133" s="13">
        <v>39661</v>
      </c>
      <c r="S133" s="14">
        <v>936</v>
      </c>
      <c r="T133" s="21"/>
    </row>
    <row r="134" spans="2:22" x14ac:dyDescent="0.25">
      <c r="B134" s="13">
        <v>39692</v>
      </c>
      <c r="C134" s="14">
        <v>5080</v>
      </c>
      <c r="D134" s="16">
        <f>SUM(C123:C134)/1000</f>
        <v>60.725999999999999</v>
      </c>
      <c r="F134" s="13">
        <v>39692</v>
      </c>
      <c r="G134" s="14">
        <v>1320</v>
      </c>
      <c r="H134" s="16">
        <f>SUM(G123:G134)/1000</f>
        <v>128.32</v>
      </c>
      <c r="J134" s="13">
        <v>39692</v>
      </c>
      <c r="K134" s="14">
        <v>3040</v>
      </c>
      <c r="L134" s="16">
        <f>SUM(K123:K134)/1000</f>
        <v>155.59</v>
      </c>
      <c r="N134" s="13">
        <v>39692</v>
      </c>
      <c r="O134" s="14">
        <v>33780</v>
      </c>
      <c r="P134" s="16">
        <f>SUM(O123:O134)/1000</f>
        <v>361.38</v>
      </c>
      <c r="R134" s="13">
        <v>39692</v>
      </c>
      <c r="S134" s="14">
        <v>811</v>
      </c>
      <c r="T134" s="16">
        <f>SUM(S123:S134)/1000</f>
        <v>39.119</v>
      </c>
      <c r="U134" s="20" t="s">
        <v>147</v>
      </c>
      <c r="V134">
        <f>T134+P134+L134+H134+D134</f>
        <v>745.1350000000001</v>
      </c>
    </row>
    <row r="135" spans="2:22" x14ac:dyDescent="0.25">
      <c r="B135" s="13">
        <v>39722</v>
      </c>
      <c r="C135" s="14">
        <v>3020</v>
      </c>
      <c r="D135" s="21"/>
      <c r="F135" s="13">
        <v>39722</v>
      </c>
      <c r="G135" s="14">
        <v>1730</v>
      </c>
      <c r="H135" s="21"/>
      <c r="J135" s="13">
        <v>39722</v>
      </c>
      <c r="K135" s="14">
        <v>3140</v>
      </c>
      <c r="L135" s="21"/>
      <c r="N135" s="13">
        <v>39722</v>
      </c>
      <c r="O135" s="14">
        <v>29800</v>
      </c>
      <c r="P135" s="21"/>
      <c r="R135" s="13">
        <v>39722</v>
      </c>
      <c r="S135" s="14">
        <v>831</v>
      </c>
      <c r="T135" s="21"/>
    </row>
    <row r="136" spans="2:22" x14ac:dyDescent="0.25">
      <c r="B136" s="13">
        <v>39753</v>
      </c>
      <c r="C136" s="14">
        <v>1620</v>
      </c>
      <c r="D136" s="21"/>
      <c r="F136" s="13">
        <v>39753</v>
      </c>
      <c r="G136" s="14">
        <v>4130</v>
      </c>
      <c r="H136" s="21"/>
      <c r="J136" s="13">
        <v>39753</v>
      </c>
      <c r="K136" s="14">
        <v>5910</v>
      </c>
      <c r="L136" s="21"/>
      <c r="N136" s="13">
        <v>39753</v>
      </c>
      <c r="O136" s="14">
        <v>21680</v>
      </c>
      <c r="P136" s="21"/>
      <c r="R136" s="13">
        <v>39753</v>
      </c>
      <c r="S136" s="14">
        <v>1610</v>
      </c>
      <c r="T136" s="21"/>
    </row>
    <row r="137" spans="2:22" x14ac:dyDescent="0.25">
      <c r="B137" s="13">
        <v>39783</v>
      </c>
      <c r="C137" s="14">
        <v>1670</v>
      </c>
      <c r="D137" s="21"/>
      <c r="F137" s="13">
        <v>39783</v>
      </c>
      <c r="G137" s="14">
        <v>2370</v>
      </c>
      <c r="H137" s="21"/>
      <c r="J137" s="13">
        <v>39783</v>
      </c>
      <c r="K137" s="14">
        <v>4450</v>
      </c>
      <c r="L137" s="21"/>
      <c r="N137" s="13">
        <v>39783</v>
      </c>
      <c r="O137" s="14">
        <v>16770</v>
      </c>
      <c r="P137" s="21"/>
      <c r="R137" s="13">
        <v>39783</v>
      </c>
      <c r="S137" s="14">
        <v>964</v>
      </c>
      <c r="T137" s="21"/>
    </row>
    <row r="138" spans="2:22" x14ac:dyDescent="0.25">
      <c r="B138" s="13">
        <v>39814</v>
      </c>
      <c r="C138" s="14">
        <v>1250</v>
      </c>
      <c r="D138" s="21"/>
      <c r="F138" s="13">
        <v>39814</v>
      </c>
      <c r="G138" s="14">
        <v>3130</v>
      </c>
      <c r="H138" s="21"/>
      <c r="J138" s="13">
        <v>39814</v>
      </c>
      <c r="K138" s="14">
        <v>6510</v>
      </c>
      <c r="L138" s="21"/>
      <c r="N138" s="13">
        <v>39814</v>
      </c>
      <c r="O138" s="14">
        <v>15070</v>
      </c>
      <c r="P138" s="21"/>
      <c r="R138" s="13">
        <v>39814</v>
      </c>
      <c r="S138" s="14">
        <v>1390</v>
      </c>
      <c r="T138" s="21"/>
    </row>
    <row r="139" spans="2:22" x14ac:dyDescent="0.25">
      <c r="B139" s="13">
        <v>39845</v>
      </c>
      <c r="C139" s="14">
        <v>1340</v>
      </c>
      <c r="D139" s="21"/>
      <c r="F139" s="13">
        <v>39845</v>
      </c>
      <c r="G139" s="14">
        <v>3710</v>
      </c>
      <c r="H139" s="21"/>
      <c r="J139" s="13">
        <v>39845</v>
      </c>
      <c r="K139" s="14">
        <v>7750</v>
      </c>
      <c r="L139" s="21"/>
      <c r="N139" s="13">
        <v>39845</v>
      </c>
      <c r="O139" s="14">
        <v>18350</v>
      </c>
      <c r="P139" s="21"/>
      <c r="R139" s="13">
        <v>39845</v>
      </c>
      <c r="S139" s="14">
        <v>1420</v>
      </c>
      <c r="T139" s="21"/>
    </row>
    <row r="140" spans="2:22" x14ac:dyDescent="0.25">
      <c r="B140" s="13">
        <v>39873</v>
      </c>
      <c r="C140" s="14">
        <v>5340</v>
      </c>
      <c r="D140" s="21"/>
      <c r="F140" s="13">
        <v>39873</v>
      </c>
      <c r="G140" s="14">
        <v>6900</v>
      </c>
      <c r="H140" s="21"/>
      <c r="J140" s="13">
        <v>39873</v>
      </c>
      <c r="K140" s="14">
        <v>17570</v>
      </c>
      <c r="L140" s="21"/>
      <c r="N140" s="13">
        <v>39873</v>
      </c>
      <c r="O140" s="14">
        <v>30900</v>
      </c>
      <c r="P140" s="21"/>
      <c r="R140" s="13">
        <v>39873</v>
      </c>
      <c r="S140" s="14">
        <v>3620</v>
      </c>
      <c r="T140" s="21"/>
    </row>
    <row r="141" spans="2:22" x14ac:dyDescent="0.25">
      <c r="B141" s="13">
        <v>39904</v>
      </c>
      <c r="C141" s="14">
        <v>4300</v>
      </c>
      <c r="D141" s="21"/>
      <c r="F141" s="13">
        <v>39904</v>
      </c>
      <c r="G141" s="14">
        <v>18030</v>
      </c>
      <c r="H141" s="21"/>
      <c r="J141" s="13">
        <v>39904</v>
      </c>
      <c r="K141" s="14">
        <v>33279</v>
      </c>
      <c r="L141" s="21"/>
      <c r="N141" s="13">
        <v>39904</v>
      </c>
      <c r="O141" s="14">
        <v>32170</v>
      </c>
      <c r="P141" s="21"/>
      <c r="R141" s="13">
        <v>39904</v>
      </c>
      <c r="S141" s="14">
        <v>11670</v>
      </c>
      <c r="T141" s="21"/>
    </row>
    <row r="142" spans="2:22" x14ac:dyDescent="0.25">
      <c r="B142" s="13">
        <v>39934</v>
      </c>
      <c r="C142" s="14">
        <v>10750</v>
      </c>
      <c r="D142" s="21"/>
      <c r="F142" s="13">
        <v>39934</v>
      </c>
      <c r="G142" s="14">
        <v>64970</v>
      </c>
      <c r="H142" s="21"/>
      <c r="J142" s="13">
        <v>39934</v>
      </c>
      <c r="K142" s="14">
        <v>90600</v>
      </c>
      <c r="L142" s="21"/>
      <c r="N142" s="13">
        <v>39934</v>
      </c>
      <c r="O142" s="14">
        <v>59192</v>
      </c>
      <c r="P142" s="21"/>
      <c r="R142" s="13">
        <v>39934</v>
      </c>
      <c r="S142" s="14">
        <v>22870</v>
      </c>
      <c r="T142" s="21"/>
    </row>
    <row r="143" spans="2:22" x14ac:dyDescent="0.25">
      <c r="B143" s="13">
        <v>39965</v>
      </c>
      <c r="C143" s="14">
        <v>10740</v>
      </c>
      <c r="D143" s="21"/>
      <c r="F143" s="13">
        <v>39965</v>
      </c>
      <c r="G143" s="14">
        <v>43370</v>
      </c>
      <c r="H143" s="21"/>
      <c r="J143" s="13">
        <v>39965</v>
      </c>
      <c r="K143" s="14">
        <v>38030</v>
      </c>
      <c r="L143" s="21"/>
      <c r="N143" s="13">
        <v>39965</v>
      </c>
      <c r="O143" s="14">
        <v>35120</v>
      </c>
      <c r="P143" s="21"/>
      <c r="R143" s="13">
        <v>39965</v>
      </c>
      <c r="S143" s="14">
        <v>7180</v>
      </c>
      <c r="T143" s="21"/>
    </row>
    <row r="144" spans="2:22" x14ac:dyDescent="0.25">
      <c r="B144" s="13">
        <v>39995</v>
      </c>
      <c r="C144" s="14">
        <v>12130</v>
      </c>
      <c r="D144" s="21"/>
      <c r="F144" s="13">
        <v>39995</v>
      </c>
      <c r="G144" s="14">
        <v>17650</v>
      </c>
      <c r="H144" s="21"/>
      <c r="J144" s="13">
        <v>39995</v>
      </c>
      <c r="K144" s="14">
        <v>11998</v>
      </c>
      <c r="L144" s="21"/>
      <c r="N144" s="13">
        <v>39995</v>
      </c>
      <c r="O144" s="14">
        <v>32430</v>
      </c>
      <c r="P144" s="21"/>
      <c r="R144" s="13">
        <v>39995</v>
      </c>
      <c r="S144" s="14">
        <v>2420</v>
      </c>
      <c r="T144" s="21"/>
    </row>
    <row r="145" spans="1:22" x14ac:dyDescent="0.25">
      <c r="B145" s="13">
        <v>40026</v>
      </c>
      <c r="C145" s="14">
        <v>10054</v>
      </c>
      <c r="D145" s="21"/>
      <c r="F145" s="13">
        <v>40026</v>
      </c>
      <c r="G145" s="14">
        <v>5580</v>
      </c>
      <c r="H145" s="21"/>
      <c r="J145" s="13">
        <v>40026</v>
      </c>
      <c r="K145" s="14">
        <v>6317</v>
      </c>
      <c r="L145" s="21"/>
      <c r="N145" s="13">
        <v>40026</v>
      </c>
      <c r="O145" s="14">
        <v>30476</v>
      </c>
      <c r="P145" s="21"/>
      <c r="R145" s="13">
        <v>40026</v>
      </c>
      <c r="S145" s="14">
        <v>1360</v>
      </c>
      <c r="T145" s="21"/>
    </row>
    <row r="146" spans="1:22" x14ac:dyDescent="0.25">
      <c r="B146" s="13">
        <v>40057</v>
      </c>
      <c r="C146" s="14">
        <v>8043</v>
      </c>
      <c r="D146" s="16">
        <f>SUM(C135:C146)/1000</f>
        <v>70.257000000000005</v>
      </c>
      <c r="F146" s="13">
        <v>40057</v>
      </c>
      <c r="G146" s="14">
        <v>2420</v>
      </c>
      <c r="H146" s="16">
        <f>SUM(G135:G146)/1000</f>
        <v>173.99</v>
      </c>
      <c r="J146" s="13">
        <v>40057</v>
      </c>
      <c r="K146" s="14">
        <v>3876</v>
      </c>
      <c r="L146" s="16">
        <f>SUM(K135:K146)/1000</f>
        <v>229.43</v>
      </c>
      <c r="N146" s="13">
        <v>40057</v>
      </c>
      <c r="O146" s="14">
        <v>30240</v>
      </c>
      <c r="P146" s="16">
        <f>SUM(O135:O146)/1000</f>
        <v>352.19799999999998</v>
      </c>
      <c r="R146" s="13">
        <v>40057</v>
      </c>
      <c r="S146" s="14">
        <v>1000</v>
      </c>
      <c r="T146" s="16">
        <f>SUM(S135:S146)/1000</f>
        <v>56.335000000000001</v>
      </c>
      <c r="U146" s="20" t="s">
        <v>146</v>
      </c>
      <c r="V146">
        <f>T146+P146+L146+H146+D146</f>
        <v>882.21</v>
      </c>
    </row>
    <row r="147" spans="1:22" x14ac:dyDescent="0.25">
      <c r="B147" s="13">
        <v>40087</v>
      </c>
      <c r="C147" s="14">
        <v>7340</v>
      </c>
      <c r="D147" s="21"/>
      <c r="F147" s="13">
        <v>40087</v>
      </c>
      <c r="G147" s="14">
        <v>4920</v>
      </c>
      <c r="H147" s="21"/>
      <c r="J147" s="13">
        <v>40087</v>
      </c>
      <c r="K147" s="14">
        <v>6210</v>
      </c>
      <c r="L147" s="21"/>
      <c r="N147" s="13">
        <v>40087</v>
      </c>
      <c r="O147" s="14">
        <v>19880</v>
      </c>
      <c r="P147" s="21"/>
      <c r="R147" s="13">
        <v>40087</v>
      </c>
      <c r="S147" s="14">
        <v>1300</v>
      </c>
      <c r="T147" s="21"/>
    </row>
    <row r="148" spans="1:22" x14ac:dyDescent="0.25">
      <c r="B148" s="13">
        <v>40118</v>
      </c>
      <c r="C148" s="14">
        <v>1400</v>
      </c>
      <c r="D148" s="21"/>
      <c r="F148" s="13">
        <v>40118</v>
      </c>
      <c r="G148" s="14">
        <v>2810</v>
      </c>
      <c r="H148" s="21"/>
      <c r="J148" s="13">
        <v>40118</v>
      </c>
      <c r="K148" s="14">
        <v>4070</v>
      </c>
      <c r="L148" s="21"/>
      <c r="N148" s="13">
        <v>40118</v>
      </c>
      <c r="O148" s="14">
        <v>8210</v>
      </c>
      <c r="P148" s="21"/>
      <c r="R148" s="13">
        <v>40118</v>
      </c>
      <c r="S148" s="14">
        <v>924</v>
      </c>
      <c r="T148" s="21"/>
    </row>
    <row r="149" spans="1:22" x14ac:dyDescent="0.25">
      <c r="B149" s="13">
        <v>40148</v>
      </c>
      <c r="C149" s="14">
        <v>2118</v>
      </c>
      <c r="D149" s="21"/>
      <c r="F149" s="13">
        <v>40148</v>
      </c>
      <c r="G149" s="14">
        <v>3060</v>
      </c>
      <c r="H149" s="21"/>
      <c r="J149" s="13">
        <v>40148</v>
      </c>
      <c r="K149" s="14">
        <v>6110</v>
      </c>
      <c r="L149" s="21"/>
      <c r="N149" s="13">
        <v>40148</v>
      </c>
      <c r="O149" s="14">
        <v>9900</v>
      </c>
      <c r="P149" s="21"/>
      <c r="R149" s="13">
        <v>40148</v>
      </c>
      <c r="S149" s="14">
        <v>962</v>
      </c>
      <c r="T149" s="21"/>
    </row>
    <row r="150" spans="1:22" x14ac:dyDescent="0.25">
      <c r="B150" s="13">
        <v>40179</v>
      </c>
      <c r="C150" s="14">
        <v>1360</v>
      </c>
      <c r="D150" s="21"/>
      <c r="F150" s="13">
        <v>40179</v>
      </c>
      <c r="G150" s="14">
        <v>3354</v>
      </c>
      <c r="H150" s="21"/>
      <c r="J150" s="13">
        <v>40179</v>
      </c>
      <c r="K150" s="14">
        <v>6280</v>
      </c>
      <c r="L150" s="21"/>
      <c r="N150" s="13">
        <v>40179</v>
      </c>
      <c r="O150" s="14">
        <v>13480</v>
      </c>
      <c r="P150" s="21"/>
      <c r="R150" s="13">
        <v>40179</v>
      </c>
      <c r="S150" s="14">
        <v>1110</v>
      </c>
      <c r="T150" s="21"/>
    </row>
    <row r="151" spans="1:22" x14ac:dyDescent="0.25">
      <c r="B151" s="13">
        <v>40210</v>
      </c>
      <c r="C151" s="14">
        <v>1230</v>
      </c>
      <c r="D151" s="21"/>
      <c r="F151" s="13">
        <v>40210</v>
      </c>
      <c r="G151" s="14">
        <v>3299</v>
      </c>
      <c r="H151" s="21"/>
      <c r="J151" s="13">
        <v>40210</v>
      </c>
      <c r="K151" s="14">
        <v>7860</v>
      </c>
      <c r="L151" s="21"/>
      <c r="N151" s="13">
        <v>40210</v>
      </c>
      <c r="O151" s="14">
        <v>14510</v>
      </c>
      <c r="P151" s="21"/>
      <c r="R151" s="13">
        <v>40210</v>
      </c>
      <c r="S151" s="14">
        <v>1275</v>
      </c>
      <c r="T151" s="21"/>
    </row>
    <row r="152" spans="1:22" x14ac:dyDescent="0.25">
      <c r="B152" s="13">
        <v>40238</v>
      </c>
      <c r="C152" s="14">
        <v>5560</v>
      </c>
      <c r="D152" s="21"/>
      <c r="F152" s="13">
        <v>40238</v>
      </c>
      <c r="G152" s="14">
        <v>5860</v>
      </c>
      <c r="H152" s="21"/>
      <c r="J152" s="13">
        <v>40238</v>
      </c>
      <c r="K152" s="14">
        <v>14240</v>
      </c>
      <c r="L152" s="21"/>
      <c r="N152" s="13">
        <v>40238</v>
      </c>
      <c r="O152" s="14">
        <v>28510</v>
      </c>
      <c r="P152" s="21"/>
      <c r="R152" s="13">
        <v>40238</v>
      </c>
      <c r="S152" s="14">
        <v>2350</v>
      </c>
      <c r="T152" s="21"/>
    </row>
    <row r="153" spans="1:22" x14ac:dyDescent="0.25">
      <c r="B153" s="13">
        <v>40269</v>
      </c>
      <c r="C153" s="14">
        <v>9140</v>
      </c>
      <c r="D153" s="21"/>
      <c r="F153" s="13">
        <v>40269</v>
      </c>
      <c r="G153" s="14">
        <v>13000</v>
      </c>
      <c r="H153" s="21"/>
      <c r="J153" s="13">
        <v>40269</v>
      </c>
      <c r="K153" s="14">
        <v>27340</v>
      </c>
      <c r="L153" s="21"/>
      <c r="N153" s="13">
        <v>40269</v>
      </c>
      <c r="O153" s="14">
        <v>33660</v>
      </c>
      <c r="P153" s="21"/>
      <c r="R153" s="13">
        <v>40269</v>
      </c>
      <c r="S153" s="14">
        <v>7980</v>
      </c>
      <c r="T153" s="21"/>
    </row>
    <row r="154" spans="1:22" x14ac:dyDescent="0.25">
      <c r="B154" s="13">
        <v>40299</v>
      </c>
      <c r="C154" s="14">
        <v>11070</v>
      </c>
      <c r="D154" s="21"/>
      <c r="F154" s="13">
        <v>40299</v>
      </c>
      <c r="G154" s="14">
        <v>31590</v>
      </c>
      <c r="H154" s="21"/>
      <c r="J154" s="13">
        <v>40299</v>
      </c>
      <c r="K154" s="14">
        <v>57990</v>
      </c>
      <c r="L154" s="21"/>
      <c r="N154" s="13">
        <v>40299</v>
      </c>
      <c r="O154" s="14">
        <v>48680</v>
      </c>
      <c r="P154" s="21"/>
      <c r="R154" s="13">
        <v>40299</v>
      </c>
      <c r="S154" s="14">
        <v>21110</v>
      </c>
      <c r="T154" s="21"/>
    </row>
    <row r="155" spans="1:22" x14ac:dyDescent="0.25">
      <c r="B155" s="13">
        <v>40330</v>
      </c>
      <c r="C155" s="14">
        <v>12170</v>
      </c>
      <c r="D155" s="21"/>
      <c r="F155" s="13">
        <v>40330</v>
      </c>
      <c r="G155" s="14">
        <v>92900</v>
      </c>
      <c r="H155" s="21"/>
      <c r="J155" s="13">
        <v>40330</v>
      </c>
      <c r="K155" s="14">
        <v>97080</v>
      </c>
      <c r="L155" s="21"/>
      <c r="N155" s="13">
        <v>40330</v>
      </c>
      <c r="O155" s="14">
        <v>76660</v>
      </c>
      <c r="P155" s="21"/>
      <c r="R155" s="13">
        <v>40330</v>
      </c>
      <c r="S155" s="14">
        <v>22870</v>
      </c>
      <c r="T155" s="21"/>
    </row>
    <row r="156" spans="1:22" x14ac:dyDescent="0.25">
      <c r="B156" s="13">
        <v>40360</v>
      </c>
      <c r="C156" s="14">
        <v>17360</v>
      </c>
      <c r="D156" s="21"/>
      <c r="F156" s="13">
        <v>40360</v>
      </c>
      <c r="G156" s="14">
        <v>38620</v>
      </c>
      <c r="H156" s="21"/>
      <c r="J156" s="13">
        <v>40360</v>
      </c>
      <c r="K156" s="14">
        <v>26670</v>
      </c>
      <c r="L156" s="21"/>
      <c r="N156" s="13">
        <v>40360</v>
      </c>
      <c r="O156" s="14">
        <v>39440</v>
      </c>
      <c r="P156" s="21"/>
      <c r="R156" s="13">
        <v>40360</v>
      </c>
      <c r="S156" s="14">
        <v>5290</v>
      </c>
      <c r="T156" s="21"/>
    </row>
    <row r="157" spans="1:22" x14ac:dyDescent="0.25">
      <c r="B157" s="13">
        <v>40391</v>
      </c>
      <c r="C157" s="14">
        <v>16260</v>
      </c>
      <c r="D157" s="21"/>
      <c r="F157" s="13">
        <v>40391</v>
      </c>
      <c r="G157" s="14">
        <v>7220</v>
      </c>
      <c r="H157" s="21"/>
      <c r="J157" s="13">
        <v>40391</v>
      </c>
      <c r="K157" s="14">
        <v>8350</v>
      </c>
      <c r="L157" s="21"/>
      <c r="N157" s="13">
        <v>40391</v>
      </c>
      <c r="O157" s="14">
        <v>33040</v>
      </c>
      <c r="P157" s="21"/>
      <c r="R157" s="13">
        <v>40391</v>
      </c>
      <c r="S157" s="14">
        <v>1610</v>
      </c>
      <c r="T157" s="21"/>
    </row>
    <row r="158" spans="1:22" x14ac:dyDescent="0.25">
      <c r="B158" s="13">
        <v>40422</v>
      </c>
      <c r="C158" s="14">
        <v>10560</v>
      </c>
      <c r="D158" s="16">
        <f>SUM(C147:C158)/1000</f>
        <v>95.567999999999998</v>
      </c>
      <c r="F158" s="13">
        <v>40422</v>
      </c>
      <c r="G158" s="14">
        <v>2770</v>
      </c>
      <c r="H158" s="16">
        <f>SUM(G147:G158)/1000</f>
        <v>209.40299999999999</v>
      </c>
      <c r="J158" s="13">
        <v>40422</v>
      </c>
      <c r="K158" s="14">
        <v>5070</v>
      </c>
      <c r="L158" s="16">
        <f>SUM(K147:K158)/1000</f>
        <v>267.27</v>
      </c>
      <c r="N158" s="13">
        <v>40422</v>
      </c>
      <c r="O158" s="14">
        <v>30940</v>
      </c>
      <c r="P158" s="16">
        <f>SUM(O147:O158)/1000</f>
        <v>356.91</v>
      </c>
      <c r="R158" s="13">
        <v>40422</v>
      </c>
      <c r="S158" s="14">
        <v>1060</v>
      </c>
      <c r="T158" s="16">
        <f>SUM(S147:S158)/1000</f>
        <v>67.840999999999994</v>
      </c>
      <c r="U158" s="20" t="s">
        <v>145</v>
      </c>
      <c r="V158">
        <f>T158+P158+L158+H158+D158</f>
        <v>996.99199999999996</v>
      </c>
    </row>
    <row r="159" spans="1:22" x14ac:dyDescent="0.25">
      <c r="B159" s="13">
        <v>40452</v>
      </c>
      <c r="C159" s="139">
        <v>6410</v>
      </c>
      <c r="D159" s="140"/>
      <c r="F159" s="138">
        <v>40452</v>
      </c>
      <c r="G159" s="139">
        <v>10740</v>
      </c>
      <c r="I159" s="140"/>
      <c r="J159" s="13">
        <v>40452</v>
      </c>
      <c r="K159" s="139">
        <v>12110</v>
      </c>
      <c r="L159" s="139"/>
      <c r="M159" s="140"/>
      <c r="N159" s="13">
        <v>40452</v>
      </c>
      <c r="O159" s="139">
        <v>31850</v>
      </c>
      <c r="Q159" s="140"/>
      <c r="R159" s="13">
        <v>40452</v>
      </c>
      <c r="S159" s="139">
        <v>2950</v>
      </c>
      <c r="U159" s="140"/>
    </row>
    <row r="160" spans="1:22" x14ac:dyDescent="0.25">
      <c r="A160" s="11" t="s">
        <v>232</v>
      </c>
      <c r="B160" s="13">
        <v>40483</v>
      </c>
      <c r="C160" s="139">
        <v>1440</v>
      </c>
      <c r="E160" s="140"/>
      <c r="F160" s="138">
        <v>40483</v>
      </c>
      <c r="G160" s="139">
        <v>7670</v>
      </c>
      <c r="I160" s="140"/>
      <c r="J160" s="13">
        <v>40483</v>
      </c>
      <c r="K160" s="139">
        <v>9100</v>
      </c>
      <c r="L160" s="139"/>
      <c r="M160" s="140"/>
      <c r="N160" s="13">
        <v>40483</v>
      </c>
      <c r="O160" s="139">
        <v>19280</v>
      </c>
      <c r="Q160" s="140"/>
      <c r="R160" s="13">
        <v>40483</v>
      </c>
      <c r="S160" s="139">
        <v>2300</v>
      </c>
      <c r="U160" s="140"/>
    </row>
    <row r="161" spans="2:22" x14ac:dyDescent="0.25">
      <c r="B161" s="13">
        <v>40513</v>
      </c>
      <c r="C161" s="139">
        <v>1360</v>
      </c>
      <c r="E161" s="140"/>
      <c r="F161" s="138">
        <v>40513</v>
      </c>
      <c r="G161" s="139">
        <v>9130</v>
      </c>
      <c r="I161" s="140"/>
      <c r="J161" s="13">
        <v>40513</v>
      </c>
      <c r="K161" s="139">
        <v>20290</v>
      </c>
      <c r="L161" s="139"/>
      <c r="M161" s="140"/>
      <c r="N161" s="13">
        <v>40513</v>
      </c>
      <c r="O161" s="139">
        <v>32260</v>
      </c>
      <c r="Q161" s="140"/>
      <c r="R161" s="13">
        <v>40513</v>
      </c>
      <c r="S161" s="139">
        <v>4830</v>
      </c>
      <c r="U161" s="140"/>
    </row>
    <row r="162" spans="2:22" x14ac:dyDescent="0.25">
      <c r="B162" s="13">
        <v>40544</v>
      </c>
      <c r="C162" s="139">
        <v>2540</v>
      </c>
      <c r="E162" s="140"/>
      <c r="F162" s="138">
        <v>40544</v>
      </c>
      <c r="G162" s="139">
        <v>7090</v>
      </c>
      <c r="I162" s="140"/>
      <c r="J162" s="13">
        <v>40544</v>
      </c>
      <c r="K162" s="139">
        <v>13880</v>
      </c>
      <c r="L162" s="139"/>
      <c r="M162" s="140"/>
      <c r="N162" s="13">
        <v>40544</v>
      </c>
      <c r="O162" s="139">
        <v>21881</v>
      </c>
      <c r="Q162" s="140"/>
      <c r="R162" s="13">
        <v>40544</v>
      </c>
      <c r="S162" s="139">
        <v>3970</v>
      </c>
      <c r="U162" s="140"/>
    </row>
    <row r="163" spans="2:22" x14ac:dyDescent="0.25">
      <c r="B163" s="13">
        <v>40575</v>
      </c>
      <c r="C163" s="139">
        <v>6200</v>
      </c>
      <c r="E163" s="140"/>
      <c r="F163" s="138">
        <v>40575</v>
      </c>
      <c r="G163" s="139">
        <v>5990</v>
      </c>
      <c r="I163" s="140"/>
      <c r="J163" s="13">
        <v>40575</v>
      </c>
      <c r="K163" s="139">
        <v>9930</v>
      </c>
      <c r="L163" s="139"/>
      <c r="M163" s="140"/>
      <c r="N163" s="13">
        <v>40575</v>
      </c>
      <c r="O163" s="139">
        <v>17811</v>
      </c>
      <c r="Q163" s="140"/>
      <c r="R163" s="13">
        <v>40575</v>
      </c>
      <c r="S163" s="139">
        <v>3230</v>
      </c>
      <c r="U163" s="140"/>
    </row>
    <row r="164" spans="2:22" x14ac:dyDescent="0.25">
      <c r="B164" s="13">
        <v>40603</v>
      </c>
      <c r="C164" s="139">
        <v>25380</v>
      </c>
      <c r="E164" s="140"/>
      <c r="F164" s="138">
        <v>40603</v>
      </c>
      <c r="G164" s="139">
        <v>9280</v>
      </c>
      <c r="I164" s="140"/>
      <c r="J164" s="13">
        <v>40603</v>
      </c>
      <c r="K164" s="139">
        <v>31640</v>
      </c>
      <c r="L164" s="139"/>
      <c r="M164" s="140"/>
      <c r="N164" s="13">
        <v>40603</v>
      </c>
      <c r="O164" s="139">
        <v>33080</v>
      </c>
      <c r="Q164" s="140"/>
      <c r="R164" s="13">
        <v>40603</v>
      </c>
      <c r="S164" s="139">
        <v>5240</v>
      </c>
      <c r="U164" s="140"/>
    </row>
    <row r="165" spans="2:22" x14ac:dyDescent="0.25">
      <c r="B165" s="13">
        <v>40634</v>
      </c>
      <c r="C165" s="139">
        <v>15719</v>
      </c>
      <c r="E165" s="140"/>
      <c r="F165" s="138">
        <v>40634</v>
      </c>
      <c r="G165" s="139">
        <v>26030</v>
      </c>
      <c r="I165" s="140"/>
      <c r="J165" s="13">
        <v>40634</v>
      </c>
      <c r="K165" s="139">
        <v>61050</v>
      </c>
      <c r="L165" s="139"/>
      <c r="M165" s="140"/>
      <c r="N165" s="13">
        <v>40634</v>
      </c>
      <c r="O165" s="139">
        <v>96010</v>
      </c>
      <c r="Q165" s="140"/>
      <c r="R165" s="13">
        <v>40634</v>
      </c>
      <c r="S165" s="139">
        <v>15310</v>
      </c>
      <c r="U165" s="140"/>
    </row>
    <row r="166" spans="2:22" x14ac:dyDescent="0.25">
      <c r="B166" s="13">
        <v>40664</v>
      </c>
      <c r="C166" s="139">
        <v>19144</v>
      </c>
      <c r="E166" s="140"/>
      <c r="F166" s="138">
        <v>40664</v>
      </c>
      <c r="G166" s="139">
        <v>50200</v>
      </c>
      <c r="I166" s="140"/>
      <c r="J166" s="13">
        <v>40664</v>
      </c>
      <c r="K166" s="139">
        <v>83250</v>
      </c>
      <c r="L166" s="139"/>
      <c r="M166" s="140"/>
      <c r="N166" s="13">
        <v>40664</v>
      </c>
      <c r="O166" s="139">
        <v>136007</v>
      </c>
      <c r="Q166" s="140"/>
      <c r="R166" s="13">
        <v>40664</v>
      </c>
      <c r="S166" s="139">
        <v>25120</v>
      </c>
      <c r="U166" s="140"/>
    </row>
    <row r="167" spans="2:22" x14ac:dyDescent="0.25">
      <c r="B167" s="13">
        <v>40695</v>
      </c>
      <c r="C167" s="139">
        <v>36353</v>
      </c>
      <c r="E167" s="140"/>
      <c r="F167" s="138">
        <v>40695</v>
      </c>
      <c r="G167" s="139">
        <v>113300</v>
      </c>
      <c r="I167" s="140"/>
      <c r="J167" s="13">
        <v>40695</v>
      </c>
      <c r="K167" s="139">
        <v>119100</v>
      </c>
      <c r="L167" s="139"/>
      <c r="M167" s="140"/>
      <c r="N167" s="13">
        <v>40695</v>
      </c>
      <c r="O167" s="139">
        <v>144100</v>
      </c>
      <c r="Q167" s="140"/>
      <c r="R167" s="13">
        <v>40695</v>
      </c>
      <c r="S167" s="139">
        <v>30440</v>
      </c>
      <c r="U167" s="140"/>
    </row>
    <row r="168" spans="2:22" x14ac:dyDescent="0.25">
      <c r="B168" s="13">
        <v>40725</v>
      </c>
      <c r="C168" s="139">
        <v>36570</v>
      </c>
      <c r="E168" s="140"/>
      <c r="F168" s="138">
        <v>40725</v>
      </c>
      <c r="G168" s="139">
        <v>92430</v>
      </c>
      <c r="I168" s="140"/>
      <c r="J168" s="13">
        <v>40725</v>
      </c>
      <c r="K168" s="139">
        <v>72650</v>
      </c>
      <c r="L168" s="139"/>
      <c r="M168" s="140"/>
      <c r="N168" s="13">
        <v>40725</v>
      </c>
      <c r="O168" s="139">
        <v>97160</v>
      </c>
      <c r="Q168" s="140"/>
      <c r="R168" s="13">
        <v>40725</v>
      </c>
      <c r="S168" s="139">
        <v>18570</v>
      </c>
      <c r="U168" s="140"/>
    </row>
    <row r="169" spans="2:22" x14ac:dyDescent="0.25">
      <c r="B169" s="13">
        <v>40756</v>
      </c>
      <c r="C169" s="139">
        <v>21110</v>
      </c>
      <c r="E169" s="140"/>
      <c r="F169" s="138">
        <v>40756</v>
      </c>
      <c r="G169" s="139">
        <v>23690</v>
      </c>
      <c r="I169" s="140"/>
      <c r="J169" s="13">
        <v>40756</v>
      </c>
      <c r="K169" s="139">
        <v>19210</v>
      </c>
      <c r="L169" s="139"/>
      <c r="M169" s="140"/>
      <c r="N169" s="13">
        <v>40756</v>
      </c>
      <c r="O169" s="139">
        <v>38040</v>
      </c>
      <c r="Q169" s="140"/>
      <c r="R169" s="13">
        <v>40756</v>
      </c>
      <c r="S169" s="139">
        <v>5060</v>
      </c>
      <c r="U169" s="140"/>
    </row>
    <row r="170" spans="2:22" x14ac:dyDescent="0.25">
      <c r="B170" s="13">
        <v>40787</v>
      </c>
      <c r="C170" s="139">
        <v>18060</v>
      </c>
      <c r="D170" s="16">
        <f>SUM(C159:C170)/1000</f>
        <v>190.286</v>
      </c>
      <c r="E170" s="140"/>
      <c r="F170" s="138">
        <v>40787</v>
      </c>
      <c r="G170" s="139">
        <v>9430</v>
      </c>
      <c r="H170" s="16">
        <f>SUM(G159:G170)/1000</f>
        <v>364.98</v>
      </c>
      <c r="I170" s="140"/>
      <c r="J170" s="13">
        <v>40787</v>
      </c>
      <c r="K170" s="139">
        <v>10350</v>
      </c>
      <c r="L170" s="16">
        <f>SUM(K159:K170)/1000</f>
        <v>462.56</v>
      </c>
      <c r="M170" s="140"/>
      <c r="N170" s="13">
        <v>40787</v>
      </c>
      <c r="O170" s="139">
        <v>36060</v>
      </c>
      <c r="P170" s="16">
        <f>SUM(O159:O170)/1000</f>
        <v>703.53899999999999</v>
      </c>
      <c r="Q170" s="140"/>
      <c r="R170" s="13">
        <v>40787</v>
      </c>
      <c r="S170" s="139">
        <v>2780</v>
      </c>
      <c r="T170" s="16">
        <f>SUM(S159:S170)/1000</f>
        <v>119.8</v>
      </c>
      <c r="U170" s="135" t="s">
        <v>233</v>
      </c>
      <c r="V170">
        <f>T170+P170+L170+H170+D170</f>
        <v>1841.165</v>
      </c>
    </row>
    <row r="171" spans="2:22" x14ac:dyDescent="0.25">
      <c r="B171" s="13">
        <v>40817</v>
      </c>
      <c r="C171" s="139">
        <v>9890</v>
      </c>
      <c r="E171" s="140"/>
      <c r="F171" s="138">
        <v>40817</v>
      </c>
      <c r="G171" s="139">
        <v>6914</v>
      </c>
      <c r="I171" s="140"/>
      <c r="J171" s="13">
        <v>40817</v>
      </c>
      <c r="K171" s="139">
        <v>9030</v>
      </c>
      <c r="L171" s="139"/>
      <c r="M171" s="140"/>
      <c r="N171" s="13">
        <v>40817</v>
      </c>
      <c r="O171" s="139">
        <v>31370</v>
      </c>
      <c r="Q171" s="140"/>
      <c r="R171" s="13">
        <v>40817</v>
      </c>
      <c r="S171" s="139">
        <v>3078</v>
      </c>
      <c r="U171" s="140"/>
    </row>
    <row r="172" spans="2:22" x14ac:dyDescent="0.25">
      <c r="B172" s="13">
        <v>40848</v>
      </c>
      <c r="C172" s="139">
        <v>1589</v>
      </c>
      <c r="E172" s="140"/>
      <c r="F172" s="138">
        <v>40848</v>
      </c>
      <c r="G172" s="139">
        <v>3710</v>
      </c>
      <c r="I172" s="140"/>
      <c r="J172" s="13">
        <v>40848</v>
      </c>
      <c r="K172" s="139">
        <v>7270</v>
      </c>
      <c r="L172" s="139"/>
      <c r="M172" s="140"/>
      <c r="N172" s="13">
        <v>40848</v>
      </c>
      <c r="O172" s="139">
        <v>29050</v>
      </c>
      <c r="Q172" s="140"/>
      <c r="R172" s="13">
        <v>40848</v>
      </c>
      <c r="S172" s="139">
        <v>2140</v>
      </c>
      <c r="U172" s="140"/>
    </row>
    <row r="173" spans="2:22" x14ac:dyDescent="0.25">
      <c r="B173" s="13">
        <v>40878</v>
      </c>
      <c r="C173" s="139">
        <v>1810</v>
      </c>
      <c r="E173" s="140"/>
      <c r="F173" s="138">
        <v>40878</v>
      </c>
      <c r="G173" s="139">
        <v>2460</v>
      </c>
      <c r="I173" s="140"/>
      <c r="J173" s="13">
        <v>40878</v>
      </c>
      <c r="K173" s="139">
        <v>6960</v>
      </c>
      <c r="L173" s="139"/>
      <c r="M173" s="140"/>
      <c r="N173" s="13">
        <v>40878</v>
      </c>
      <c r="O173" s="139">
        <v>28080</v>
      </c>
      <c r="Q173" s="140"/>
      <c r="R173" s="13">
        <v>40878</v>
      </c>
      <c r="S173" s="139">
        <v>1590</v>
      </c>
      <c r="U173" s="140"/>
    </row>
    <row r="174" spans="2:22" x14ac:dyDescent="0.25">
      <c r="B174" s="13">
        <v>40909</v>
      </c>
      <c r="C174" s="139">
        <v>1670</v>
      </c>
      <c r="E174" s="140"/>
      <c r="F174" s="138">
        <v>40909</v>
      </c>
      <c r="G174" s="139">
        <v>2660</v>
      </c>
      <c r="I174" s="140"/>
      <c r="J174" s="13">
        <v>40909</v>
      </c>
      <c r="K174" s="139">
        <v>7240</v>
      </c>
      <c r="L174" s="139"/>
      <c r="M174" s="140"/>
      <c r="N174" s="13">
        <v>40909</v>
      </c>
      <c r="O174" s="139">
        <v>25635</v>
      </c>
      <c r="Q174" s="140"/>
      <c r="R174" s="13">
        <v>40909</v>
      </c>
      <c r="S174" s="139">
        <v>2110</v>
      </c>
      <c r="U174" s="140"/>
    </row>
    <row r="175" spans="2:22" x14ac:dyDescent="0.25">
      <c r="B175" s="13">
        <v>40940</v>
      </c>
      <c r="C175" s="139">
        <v>1380</v>
      </c>
      <c r="E175" s="140"/>
      <c r="F175" s="138">
        <v>40940</v>
      </c>
      <c r="G175" s="139">
        <v>2660</v>
      </c>
      <c r="I175" s="140"/>
      <c r="J175" s="13">
        <v>40940</v>
      </c>
      <c r="K175" s="139">
        <v>6380</v>
      </c>
      <c r="L175" s="139"/>
      <c r="M175" s="140"/>
      <c r="N175" s="13">
        <v>40940</v>
      </c>
      <c r="O175" s="139">
        <v>22280</v>
      </c>
      <c r="Q175" s="140"/>
      <c r="R175" s="13">
        <v>40940</v>
      </c>
      <c r="S175" s="139">
        <v>1940</v>
      </c>
      <c r="U175" s="140"/>
    </row>
    <row r="176" spans="2:22" x14ac:dyDescent="0.25">
      <c r="B176" s="13">
        <v>40969</v>
      </c>
      <c r="C176" s="139">
        <v>3650</v>
      </c>
      <c r="E176" s="140"/>
      <c r="F176" s="138">
        <v>40969</v>
      </c>
      <c r="G176" s="139">
        <v>3830</v>
      </c>
      <c r="I176" s="140"/>
      <c r="J176" s="13">
        <v>40969</v>
      </c>
      <c r="K176" s="139">
        <v>9910</v>
      </c>
      <c r="L176" s="139"/>
      <c r="M176" s="140"/>
      <c r="N176" s="13">
        <v>40969</v>
      </c>
      <c r="O176" s="139">
        <v>31630</v>
      </c>
      <c r="Q176" s="140"/>
      <c r="R176" s="13">
        <v>40969</v>
      </c>
      <c r="S176" s="139">
        <v>3190</v>
      </c>
      <c r="U176" s="140"/>
    </row>
    <row r="177" spans="2:22" x14ac:dyDescent="0.25">
      <c r="B177" s="13">
        <v>41000</v>
      </c>
      <c r="C177" s="139">
        <v>5960</v>
      </c>
      <c r="E177" s="140"/>
      <c r="F177" s="138">
        <v>41000</v>
      </c>
      <c r="G177" s="139">
        <v>16740</v>
      </c>
      <c r="I177" s="140"/>
      <c r="J177" s="13">
        <v>41000</v>
      </c>
      <c r="K177" s="139">
        <v>32560</v>
      </c>
      <c r="L177" s="139"/>
      <c r="M177" s="140"/>
      <c r="N177" s="13">
        <v>41000</v>
      </c>
      <c r="O177" s="139">
        <v>40030</v>
      </c>
      <c r="Q177" s="140"/>
      <c r="R177" s="13">
        <v>41000</v>
      </c>
      <c r="S177" s="139">
        <v>10150</v>
      </c>
      <c r="U177" s="140"/>
    </row>
    <row r="178" spans="2:22" x14ac:dyDescent="0.25">
      <c r="B178" s="13">
        <v>41030</v>
      </c>
      <c r="C178" s="139">
        <v>6430</v>
      </c>
      <c r="E178" s="140"/>
      <c r="F178" s="138">
        <v>41030</v>
      </c>
      <c r="G178" s="139">
        <v>30220</v>
      </c>
      <c r="I178" s="140"/>
      <c r="J178" s="13">
        <v>41030</v>
      </c>
      <c r="K178" s="139">
        <v>34510</v>
      </c>
      <c r="L178" s="139"/>
      <c r="M178" s="140"/>
      <c r="N178" s="13">
        <v>41030</v>
      </c>
      <c r="O178" s="139">
        <v>48442</v>
      </c>
      <c r="Q178" s="140"/>
      <c r="R178" s="13">
        <v>41030</v>
      </c>
      <c r="S178" s="139">
        <v>10300</v>
      </c>
      <c r="U178" s="140"/>
    </row>
    <row r="179" spans="2:22" x14ac:dyDescent="0.25">
      <c r="B179" s="13">
        <v>41061</v>
      </c>
      <c r="C179" s="139">
        <v>8180</v>
      </c>
      <c r="E179" s="140"/>
      <c r="F179" s="138">
        <v>41061</v>
      </c>
      <c r="G179" s="139">
        <v>12200</v>
      </c>
      <c r="I179" s="140"/>
      <c r="J179" s="13">
        <v>41061</v>
      </c>
      <c r="K179" s="139">
        <v>12880</v>
      </c>
      <c r="L179" s="139"/>
      <c r="M179" s="140"/>
      <c r="N179" s="13">
        <v>41061</v>
      </c>
      <c r="O179" s="139">
        <v>40596</v>
      </c>
      <c r="Q179" s="140"/>
      <c r="R179" s="13">
        <v>41061</v>
      </c>
      <c r="S179" s="139">
        <v>3560</v>
      </c>
      <c r="U179" s="140"/>
    </row>
    <row r="180" spans="2:22" x14ac:dyDescent="0.25">
      <c r="B180" s="13">
        <v>41091</v>
      </c>
      <c r="C180" s="139">
        <v>7370</v>
      </c>
      <c r="E180" s="140"/>
      <c r="F180" s="138">
        <v>41091</v>
      </c>
      <c r="G180" s="139">
        <v>3930</v>
      </c>
      <c r="I180" s="140"/>
      <c r="J180" s="13">
        <v>41091</v>
      </c>
      <c r="K180" s="139">
        <v>5750</v>
      </c>
      <c r="L180" s="139"/>
      <c r="M180" s="140"/>
      <c r="N180" s="13">
        <v>41091</v>
      </c>
      <c r="O180" s="139">
        <v>32660</v>
      </c>
      <c r="Q180" s="140"/>
      <c r="R180" s="13">
        <v>41091</v>
      </c>
      <c r="S180" s="139">
        <v>1320</v>
      </c>
      <c r="U180" s="140"/>
    </row>
    <row r="181" spans="2:22" x14ac:dyDescent="0.25">
      <c r="B181" s="13">
        <v>41122</v>
      </c>
      <c r="C181" s="139">
        <v>8560</v>
      </c>
      <c r="E181" s="140"/>
      <c r="F181" s="138">
        <v>41122</v>
      </c>
      <c r="G181" s="139">
        <v>2360</v>
      </c>
      <c r="I181" s="140"/>
      <c r="J181" s="13">
        <v>41122</v>
      </c>
      <c r="K181" s="139">
        <v>3570</v>
      </c>
      <c r="L181" s="139"/>
      <c r="M181" s="140"/>
      <c r="N181" s="13">
        <v>41122</v>
      </c>
      <c r="O181" s="139">
        <v>30860</v>
      </c>
      <c r="Q181" s="140"/>
      <c r="R181" s="13">
        <v>41122</v>
      </c>
      <c r="S181" s="139">
        <v>1240</v>
      </c>
      <c r="U181" s="140"/>
    </row>
    <row r="182" spans="2:22" x14ac:dyDescent="0.25">
      <c r="B182" s="13">
        <v>41153</v>
      </c>
      <c r="C182" s="139">
        <v>6710</v>
      </c>
      <c r="D182" s="16">
        <f>SUM(C171:C182)/1000</f>
        <v>63.198999999999998</v>
      </c>
      <c r="E182" s="140"/>
      <c r="F182" s="138">
        <v>41153</v>
      </c>
      <c r="G182" s="139">
        <v>1130</v>
      </c>
      <c r="H182" s="16">
        <f>SUM(G171:G182)/1000</f>
        <v>88.813999999999993</v>
      </c>
      <c r="I182" s="140"/>
      <c r="J182" s="13">
        <v>41153</v>
      </c>
      <c r="K182" s="139">
        <v>2370</v>
      </c>
      <c r="L182" s="16">
        <f>SUM(K171:K182)/1000</f>
        <v>138.43</v>
      </c>
      <c r="M182" s="140"/>
      <c r="N182" s="13">
        <v>41153</v>
      </c>
      <c r="O182" s="139">
        <v>29877</v>
      </c>
      <c r="P182" s="16">
        <f>SUM(O171:O182)/1000</f>
        <v>390.51</v>
      </c>
      <c r="Q182" s="140"/>
      <c r="R182" s="13">
        <v>41153</v>
      </c>
      <c r="S182" s="139">
        <v>778</v>
      </c>
      <c r="T182" s="16">
        <f>SUM(S171:S182)/1000</f>
        <v>41.396000000000001</v>
      </c>
      <c r="U182" s="135" t="s">
        <v>234</v>
      </c>
      <c r="V182">
        <f>T182+P182+L182+H182+D182</f>
        <v>722.34899999999993</v>
      </c>
    </row>
    <row r="183" spans="2:22" x14ac:dyDescent="0.25">
      <c r="B183" s="13">
        <v>41183</v>
      </c>
      <c r="C183" s="139">
        <v>3340</v>
      </c>
      <c r="E183" s="140"/>
      <c r="F183" s="138">
        <v>41183</v>
      </c>
      <c r="G183" s="139">
        <v>1290</v>
      </c>
      <c r="I183" s="140"/>
      <c r="J183" s="13">
        <v>41183</v>
      </c>
      <c r="K183" s="139">
        <v>2440</v>
      </c>
      <c r="L183" s="139"/>
      <c r="M183" s="140"/>
      <c r="N183" s="13">
        <v>41183</v>
      </c>
      <c r="O183" s="139">
        <v>26957</v>
      </c>
      <c r="Q183" s="140"/>
      <c r="R183" s="13">
        <v>41183</v>
      </c>
      <c r="S183" s="139">
        <v>960</v>
      </c>
      <c r="U183" s="140"/>
    </row>
    <row r="184" spans="2:22" x14ac:dyDescent="0.25">
      <c r="B184" s="13">
        <v>41214</v>
      </c>
      <c r="C184" s="139">
        <v>1370</v>
      </c>
      <c r="E184" s="140"/>
      <c r="F184" s="138">
        <v>41214</v>
      </c>
      <c r="G184" s="139">
        <v>1710</v>
      </c>
      <c r="I184" s="140"/>
      <c r="J184" s="13">
        <v>41214</v>
      </c>
      <c r="K184" s="139">
        <v>3120</v>
      </c>
      <c r="L184" s="139"/>
      <c r="M184" s="140"/>
      <c r="N184" s="13">
        <v>41214</v>
      </c>
      <c r="O184" s="139">
        <v>27350</v>
      </c>
      <c r="Q184" s="140"/>
      <c r="R184" s="13">
        <v>41214</v>
      </c>
      <c r="S184" s="139">
        <v>1240</v>
      </c>
      <c r="U184" s="140"/>
    </row>
    <row r="185" spans="2:22" x14ac:dyDescent="0.25">
      <c r="B185" s="13">
        <v>41244</v>
      </c>
      <c r="C185" s="139">
        <v>1630</v>
      </c>
      <c r="E185" s="140"/>
      <c r="F185" s="138">
        <v>41244</v>
      </c>
      <c r="G185" s="139">
        <v>3530</v>
      </c>
      <c r="I185" s="140"/>
      <c r="J185" s="13">
        <v>41244</v>
      </c>
      <c r="K185" s="139">
        <v>11510</v>
      </c>
      <c r="L185" s="139"/>
      <c r="M185" s="140"/>
      <c r="N185" s="13">
        <v>41244</v>
      </c>
      <c r="O185" s="139">
        <v>41101</v>
      </c>
      <c r="Q185" s="140"/>
      <c r="R185" s="13">
        <v>41244</v>
      </c>
      <c r="S185" s="139">
        <v>3950</v>
      </c>
      <c r="U185" s="140"/>
    </row>
    <row r="186" spans="2:22" x14ac:dyDescent="0.25">
      <c r="B186" s="13">
        <v>41275</v>
      </c>
      <c r="C186" s="139">
        <v>2010</v>
      </c>
      <c r="E186" s="140"/>
      <c r="F186" s="138">
        <v>41275</v>
      </c>
      <c r="G186" s="139">
        <v>2750</v>
      </c>
      <c r="I186" s="140"/>
      <c r="J186" s="13">
        <v>41275</v>
      </c>
      <c r="K186" s="139">
        <v>7160</v>
      </c>
      <c r="L186" s="139"/>
      <c r="M186" s="140"/>
      <c r="N186" s="13">
        <v>41275</v>
      </c>
      <c r="O186" s="139">
        <v>26097</v>
      </c>
      <c r="Q186" s="140"/>
      <c r="R186" s="13">
        <v>41275</v>
      </c>
      <c r="S186" s="139">
        <v>2120</v>
      </c>
      <c r="U186" s="140"/>
    </row>
    <row r="187" spans="2:22" x14ac:dyDescent="0.25">
      <c r="B187" s="13">
        <v>41306</v>
      </c>
      <c r="C187" s="139">
        <v>1300</v>
      </c>
      <c r="E187" s="140"/>
      <c r="F187" s="138">
        <v>41306</v>
      </c>
      <c r="G187" s="139">
        <v>2630</v>
      </c>
      <c r="I187" s="140"/>
      <c r="J187" s="13">
        <v>41306</v>
      </c>
      <c r="K187" s="139">
        <v>6350</v>
      </c>
      <c r="L187" s="139"/>
      <c r="M187" s="140"/>
      <c r="N187" s="13">
        <v>41306</v>
      </c>
      <c r="O187" s="139">
        <v>23577</v>
      </c>
      <c r="Q187" s="140"/>
      <c r="R187" s="13">
        <v>41306</v>
      </c>
      <c r="S187" s="139">
        <v>1890</v>
      </c>
      <c r="U187" s="140"/>
    </row>
    <row r="188" spans="2:22" x14ac:dyDescent="0.25">
      <c r="B188" s="13">
        <v>41334</v>
      </c>
      <c r="C188" s="139">
        <v>3570</v>
      </c>
      <c r="E188" s="140"/>
      <c r="F188" s="138">
        <v>41334</v>
      </c>
      <c r="G188" s="139">
        <v>6920</v>
      </c>
      <c r="I188" s="140"/>
      <c r="J188" s="13">
        <v>41334</v>
      </c>
      <c r="K188" s="139">
        <v>13980</v>
      </c>
      <c r="L188" s="139"/>
      <c r="M188" s="140"/>
      <c r="N188" s="13">
        <v>41334</v>
      </c>
      <c r="O188" s="139">
        <v>30335</v>
      </c>
      <c r="Q188" s="140"/>
      <c r="R188" s="13">
        <v>41334</v>
      </c>
      <c r="S188" s="139">
        <v>5390</v>
      </c>
      <c r="U188" s="140"/>
    </row>
    <row r="189" spans="2:22" x14ac:dyDescent="0.25">
      <c r="B189" s="13">
        <v>41365</v>
      </c>
      <c r="C189" s="139">
        <v>2970</v>
      </c>
      <c r="E189" s="140"/>
      <c r="F189" s="138">
        <v>41365</v>
      </c>
      <c r="G189" s="139">
        <v>20170</v>
      </c>
      <c r="I189" s="140"/>
      <c r="J189" s="13">
        <v>41365</v>
      </c>
      <c r="K189" s="139">
        <v>29430</v>
      </c>
      <c r="L189" s="139"/>
      <c r="M189" s="140"/>
      <c r="N189" s="13">
        <v>41365</v>
      </c>
      <c r="O189" s="139">
        <v>36865</v>
      </c>
      <c r="Q189" s="140"/>
      <c r="R189" s="13">
        <v>41365</v>
      </c>
      <c r="S189" s="139">
        <v>11320</v>
      </c>
      <c r="U189" s="140"/>
    </row>
    <row r="190" spans="2:22" x14ac:dyDescent="0.25">
      <c r="B190" s="13">
        <v>41395</v>
      </c>
      <c r="C190" s="139">
        <v>5040</v>
      </c>
      <c r="E190" s="140"/>
      <c r="F190" s="138">
        <v>41395</v>
      </c>
      <c r="G190" s="139">
        <v>34620</v>
      </c>
      <c r="I190" s="140"/>
      <c r="J190" s="13">
        <v>41395</v>
      </c>
      <c r="K190" s="139">
        <v>38830</v>
      </c>
      <c r="L190" s="139"/>
      <c r="M190" s="140"/>
      <c r="N190" s="13">
        <v>41395</v>
      </c>
      <c r="O190" s="139">
        <v>50582</v>
      </c>
      <c r="Q190" s="140"/>
      <c r="R190" s="13">
        <v>41395</v>
      </c>
      <c r="S190" s="139">
        <v>12090</v>
      </c>
      <c r="U190" s="140"/>
    </row>
    <row r="191" spans="2:22" x14ac:dyDescent="0.25">
      <c r="B191" s="13">
        <v>41426</v>
      </c>
      <c r="C191" s="139">
        <v>6750</v>
      </c>
      <c r="E191" s="140"/>
      <c r="F191" s="138">
        <v>41426</v>
      </c>
      <c r="G191" s="139">
        <v>24635</v>
      </c>
      <c r="I191" s="140"/>
      <c r="J191" s="13">
        <v>41426</v>
      </c>
      <c r="K191" s="139">
        <v>18840</v>
      </c>
      <c r="L191" s="139"/>
      <c r="M191" s="140"/>
      <c r="N191" s="13">
        <v>41426</v>
      </c>
      <c r="O191" s="139">
        <v>39455</v>
      </c>
      <c r="Q191" s="140"/>
      <c r="R191" s="13">
        <v>41426</v>
      </c>
      <c r="S191" s="139">
        <v>4910</v>
      </c>
      <c r="U191" s="140"/>
    </row>
    <row r="192" spans="2:22" x14ac:dyDescent="0.25">
      <c r="B192" s="13">
        <v>41456</v>
      </c>
      <c r="C192" s="139">
        <v>5200</v>
      </c>
      <c r="E192" s="140"/>
      <c r="F192" s="138">
        <v>41456</v>
      </c>
      <c r="G192" s="139">
        <v>7060</v>
      </c>
      <c r="I192" s="140"/>
      <c r="J192" s="13">
        <v>41456</v>
      </c>
      <c r="K192" s="139">
        <v>6310</v>
      </c>
      <c r="L192" s="139"/>
      <c r="M192" s="140"/>
      <c r="N192" s="13">
        <v>41456</v>
      </c>
      <c r="O192" s="139">
        <v>31547</v>
      </c>
      <c r="Q192" s="140"/>
      <c r="R192" s="13">
        <v>41456</v>
      </c>
      <c r="S192" s="139">
        <v>1810</v>
      </c>
      <c r="U192" s="140"/>
    </row>
    <row r="193" spans="2:22" x14ac:dyDescent="0.25">
      <c r="B193" s="13">
        <v>41487</v>
      </c>
      <c r="C193" s="139">
        <v>4080</v>
      </c>
      <c r="E193" s="140"/>
      <c r="F193" s="138">
        <v>41487</v>
      </c>
      <c r="G193" s="139">
        <v>2300</v>
      </c>
      <c r="I193" s="140"/>
      <c r="J193" s="13">
        <v>41487</v>
      </c>
      <c r="K193" s="139">
        <v>3730</v>
      </c>
      <c r="L193" s="139"/>
      <c r="M193" s="140"/>
      <c r="N193" s="13">
        <v>41487</v>
      </c>
      <c r="O193" s="139">
        <v>30867</v>
      </c>
      <c r="Q193" s="140"/>
      <c r="R193" s="13">
        <v>41487</v>
      </c>
      <c r="S193" s="139">
        <v>1150</v>
      </c>
      <c r="U193" s="140"/>
    </row>
    <row r="194" spans="2:22" x14ac:dyDescent="0.25">
      <c r="B194" s="13">
        <v>41518</v>
      </c>
      <c r="C194" s="139">
        <v>2750</v>
      </c>
      <c r="D194" s="16">
        <f>SUM(C183:C194)/1000</f>
        <v>40.01</v>
      </c>
      <c r="E194" s="140"/>
      <c r="F194" s="138">
        <v>41518</v>
      </c>
      <c r="G194" s="139">
        <v>1271</v>
      </c>
      <c r="H194" s="16">
        <f>SUM(G183:G194)/1000</f>
        <v>108.886</v>
      </c>
      <c r="I194" s="140"/>
      <c r="J194" s="13">
        <v>41518</v>
      </c>
      <c r="K194" s="139">
        <v>2960</v>
      </c>
      <c r="L194" s="16">
        <f>SUM(K183:K194)/1000</f>
        <v>144.66</v>
      </c>
      <c r="M194" s="140"/>
      <c r="N194" s="13">
        <v>41518</v>
      </c>
      <c r="O194" s="139">
        <v>31442</v>
      </c>
      <c r="P194" s="16">
        <f>SUM(O183:O194)/1000</f>
        <v>396.17500000000001</v>
      </c>
      <c r="Q194" s="140"/>
      <c r="R194" s="13">
        <v>41518</v>
      </c>
      <c r="S194" s="139">
        <v>865</v>
      </c>
      <c r="T194" s="16">
        <f>SUM(S183:S194)/1000</f>
        <v>47.695</v>
      </c>
      <c r="U194" s="135" t="s">
        <v>235</v>
      </c>
      <c r="V194">
        <f>T194+P194+L194+H194+D194</f>
        <v>737.42599999999993</v>
      </c>
    </row>
    <row r="195" spans="2:22" x14ac:dyDescent="0.25">
      <c r="B195" s="13">
        <v>41548</v>
      </c>
      <c r="C195" s="139">
        <v>1650</v>
      </c>
      <c r="E195" s="140"/>
      <c r="F195" s="138">
        <v>41548</v>
      </c>
      <c r="G195" s="139">
        <v>1460</v>
      </c>
      <c r="I195" s="140"/>
      <c r="J195" s="13">
        <v>41548</v>
      </c>
      <c r="K195" s="139">
        <v>2790</v>
      </c>
      <c r="L195" s="139"/>
      <c r="M195" s="140"/>
      <c r="N195" s="13">
        <v>41548</v>
      </c>
      <c r="O195" s="139">
        <v>25285</v>
      </c>
      <c r="Q195" s="140"/>
      <c r="R195" s="13">
        <v>41548</v>
      </c>
      <c r="S195" s="139">
        <v>883</v>
      </c>
      <c r="U195" s="140"/>
    </row>
    <row r="196" spans="2:22" x14ac:dyDescent="0.25">
      <c r="B196" s="13">
        <v>41579</v>
      </c>
      <c r="C196" s="139">
        <v>1770</v>
      </c>
      <c r="E196" s="140"/>
      <c r="F196" s="138">
        <v>41579</v>
      </c>
      <c r="G196" s="139">
        <v>1330</v>
      </c>
      <c r="I196" s="140"/>
      <c r="J196" s="13">
        <v>41579</v>
      </c>
      <c r="K196" s="139">
        <v>2600</v>
      </c>
      <c r="L196" s="139"/>
      <c r="M196" s="140"/>
      <c r="N196" s="13">
        <v>41579</v>
      </c>
      <c r="O196" s="139">
        <v>23090</v>
      </c>
      <c r="Q196" s="140"/>
      <c r="R196" s="13">
        <v>41579</v>
      </c>
      <c r="S196" s="139">
        <v>910</v>
      </c>
      <c r="U196" s="140"/>
    </row>
    <row r="197" spans="2:22" x14ac:dyDescent="0.25">
      <c r="B197" s="13">
        <v>41609</v>
      </c>
      <c r="C197" s="139">
        <v>2340</v>
      </c>
      <c r="E197" s="140"/>
      <c r="F197" s="138">
        <v>41609</v>
      </c>
      <c r="G197" s="139">
        <v>1280</v>
      </c>
      <c r="I197" s="140"/>
      <c r="J197" s="13">
        <v>41609</v>
      </c>
      <c r="K197" s="139">
        <v>2790</v>
      </c>
      <c r="L197" s="139"/>
      <c r="M197" s="140"/>
      <c r="N197" s="13">
        <v>41609</v>
      </c>
      <c r="O197" s="139">
        <v>15380</v>
      </c>
      <c r="Q197" s="140"/>
      <c r="R197" s="13">
        <v>41609</v>
      </c>
      <c r="S197" s="139">
        <v>948</v>
      </c>
      <c r="U197" s="140"/>
    </row>
    <row r="198" spans="2:22" x14ac:dyDescent="0.25">
      <c r="B198" s="13">
        <v>41640</v>
      </c>
      <c r="C198" s="139">
        <v>1890</v>
      </c>
      <c r="E198" s="140"/>
      <c r="F198" s="138">
        <v>41640</v>
      </c>
      <c r="G198" s="139">
        <v>1350</v>
      </c>
      <c r="I198" s="140"/>
      <c r="J198" s="13">
        <v>41640</v>
      </c>
      <c r="K198" s="139">
        <v>3110</v>
      </c>
      <c r="L198" s="139"/>
      <c r="M198" s="140"/>
      <c r="N198" s="13">
        <v>41640</v>
      </c>
      <c r="O198" s="139">
        <v>15612</v>
      </c>
      <c r="Q198" s="140"/>
      <c r="R198" s="13">
        <v>41640</v>
      </c>
      <c r="S198" s="139">
        <v>1030</v>
      </c>
      <c r="U198" s="140"/>
    </row>
    <row r="199" spans="2:22" x14ac:dyDescent="0.25">
      <c r="B199" s="13">
        <v>41671</v>
      </c>
      <c r="C199" s="139">
        <v>1250</v>
      </c>
      <c r="E199" s="140"/>
      <c r="F199" s="138">
        <v>41671</v>
      </c>
      <c r="G199" s="139">
        <v>1710</v>
      </c>
      <c r="I199" s="140"/>
      <c r="J199" s="13">
        <v>41671</v>
      </c>
      <c r="K199" s="139">
        <v>6930</v>
      </c>
      <c r="L199" s="139"/>
      <c r="M199" s="140"/>
      <c r="N199" s="13">
        <v>41671</v>
      </c>
      <c r="O199" s="139">
        <v>23190</v>
      </c>
      <c r="Q199" s="140"/>
      <c r="R199" s="13">
        <v>41671</v>
      </c>
      <c r="S199" s="139">
        <v>1950</v>
      </c>
      <c r="U199" s="140"/>
    </row>
    <row r="200" spans="2:22" x14ac:dyDescent="0.25">
      <c r="B200" s="13">
        <v>41699</v>
      </c>
      <c r="C200" s="139">
        <v>2170</v>
      </c>
      <c r="E200" s="140"/>
      <c r="F200" s="138">
        <v>41699</v>
      </c>
      <c r="G200" s="139">
        <v>3330</v>
      </c>
      <c r="I200" s="140"/>
      <c r="J200" s="13">
        <v>41699</v>
      </c>
      <c r="K200" s="139">
        <v>9060</v>
      </c>
      <c r="L200" s="139"/>
      <c r="M200" s="140"/>
      <c r="N200" s="13">
        <v>41699</v>
      </c>
      <c r="O200" s="139">
        <v>27660</v>
      </c>
      <c r="Q200" s="140"/>
      <c r="R200" s="13">
        <v>41699</v>
      </c>
      <c r="S200" s="139">
        <v>3320</v>
      </c>
      <c r="U200" s="140"/>
    </row>
    <row r="201" spans="2:22" x14ac:dyDescent="0.25">
      <c r="B201" s="13">
        <v>41730</v>
      </c>
      <c r="C201" s="139">
        <v>2041</v>
      </c>
      <c r="E201" s="140"/>
      <c r="F201" s="138">
        <v>41730</v>
      </c>
      <c r="G201" s="139">
        <v>13160</v>
      </c>
      <c r="I201" s="140"/>
      <c r="J201" s="13">
        <v>41730</v>
      </c>
      <c r="K201" s="139">
        <v>23620</v>
      </c>
      <c r="L201" s="139"/>
      <c r="M201" s="140"/>
      <c r="N201" s="13">
        <v>41730</v>
      </c>
      <c r="O201" s="139">
        <v>35294</v>
      </c>
      <c r="Q201" s="140"/>
      <c r="R201" s="13">
        <v>41730</v>
      </c>
      <c r="S201" s="139">
        <v>7540</v>
      </c>
      <c r="U201" s="140"/>
    </row>
    <row r="202" spans="2:22" x14ac:dyDescent="0.25">
      <c r="B202" s="13">
        <v>41760</v>
      </c>
      <c r="C202" s="139">
        <v>2930</v>
      </c>
      <c r="E202" s="140"/>
      <c r="F202" s="138">
        <v>41760</v>
      </c>
      <c r="G202" s="139">
        <v>25140</v>
      </c>
      <c r="I202" s="140"/>
      <c r="J202" s="13">
        <v>41760</v>
      </c>
      <c r="K202" s="139">
        <v>27260</v>
      </c>
      <c r="L202" s="139"/>
      <c r="M202" s="140"/>
      <c r="N202" s="13">
        <v>41760</v>
      </c>
      <c r="O202" s="139">
        <v>47080</v>
      </c>
      <c r="Q202" s="140"/>
      <c r="R202" s="13">
        <v>41760</v>
      </c>
      <c r="S202" s="139">
        <v>8204</v>
      </c>
      <c r="U202" s="140"/>
    </row>
    <row r="203" spans="2:22" x14ac:dyDescent="0.25">
      <c r="B203" s="13">
        <v>41791</v>
      </c>
      <c r="C203" s="139">
        <v>3980</v>
      </c>
      <c r="E203" s="140"/>
      <c r="F203" s="138">
        <v>41791</v>
      </c>
      <c r="G203" s="139">
        <v>13600</v>
      </c>
      <c r="I203" s="140"/>
      <c r="J203" s="13">
        <v>41791</v>
      </c>
      <c r="K203" s="139">
        <v>12720</v>
      </c>
      <c r="L203" s="139"/>
      <c r="M203" s="140"/>
      <c r="N203" s="13">
        <v>41791</v>
      </c>
      <c r="O203" s="139">
        <v>37595</v>
      </c>
      <c r="Q203" s="140"/>
      <c r="R203" s="13">
        <v>41791</v>
      </c>
      <c r="S203" s="139">
        <v>2832</v>
      </c>
      <c r="U203" s="140"/>
    </row>
    <row r="204" spans="2:22" x14ac:dyDescent="0.25">
      <c r="B204" s="13">
        <v>41821</v>
      </c>
      <c r="C204" s="139">
        <v>4730</v>
      </c>
      <c r="E204" s="140"/>
      <c r="F204" s="138">
        <v>41821</v>
      </c>
      <c r="G204" s="139">
        <v>4810</v>
      </c>
      <c r="I204" s="140"/>
      <c r="J204" s="13">
        <v>41821</v>
      </c>
      <c r="K204" s="139">
        <v>4721</v>
      </c>
      <c r="L204" s="139"/>
      <c r="M204" s="140"/>
      <c r="N204" s="13">
        <v>41821</v>
      </c>
      <c r="O204" s="139">
        <v>29590</v>
      </c>
      <c r="Q204" s="140"/>
      <c r="R204" s="13">
        <v>41821</v>
      </c>
      <c r="S204" s="139">
        <v>1327</v>
      </c>
      <c r="U204" s="140"/>
    </row>
    <row r="205" spans="2:22" x14ac:dyDescent="0.25">
      <c r="B205" s="13">
        <v>41852</v>
      </c>
      <c r="C205" s="139">
        <v>3220</v>
      </c>
      <c r="E205" s="140"/>
      <c r="F205" s="138">
        <v>41852</v>
      </c>
      <c r="G205" s="139">
        <v>2501</v>
      </c>
      <c r="I205" s="140"/>
      <c r="J205" s="13">
        <v>41852</v>
      </c>
      <c r="K205" s="139">
        <v>3705</v>
      </c>
      <c r="L205" s="139"/>
      <c r="M205" s="140"/>
      <c r="N205" s="13">
        <v>41852</v>
      </c>
      <c r="O205" s="139">
        <v>12522</v>
      </c>
      <c r="Q205" s="140"/>
      <c r="R205" s="13">
        <v>41852</v>
      </c>
      <c r="S205" s="139">
        <v>918</v>
      </c>
      <c r="U205" s="140"/>
    </row>
    <row r="206" spans="2:22" x14ac:dyDescent="0.25">
      <c r="B206" s="13">
        <v>41883</v>
      </c>
      <c r="C206" s="139">
        <v>1730</v>
      </c>
      <c r="D206" s="16">
        <f>SUM(C195:C206)/1000</f>
        <v>29.701000000000001</v>
      </c>
      <c r="E206" s="140"/>
      <c r="F206" s="138">
        <v>41883</v>
      </c>
      <c r="G206" s="139">
        <v>1200</v>
      </c>
      <c r="H206" s="16">
        <f>SUM(G195:G206)/1000</f>
        <v>70.870999999999995</v>
      </c>
      <c r="I206" s="140"/>
      <c r="J206" s="13">
        <v>41883</v>
      </c>
      <c r="K206" s="139">
        <v>2295</v>
      </c>
      <c r="L206" s="16">
        <f>SUM(K195:K206)/1000</f>
        <v>101.601</v>
      </c>
      <c r="M206" s="140"/>
      <c r="N206" s="13">
        <v>41883</v>
      </c>
      <c r="O206" s="139">
        <v>7029</v>
      </c>
      <c r="P206" s="16">
        <f>SUM(O195:O206)/1000</f>
        <v>299.327</v>
      </c>
      <c r="Q206" s="140"/>
      <c r="R206" s="13">
        <v>41883</v>
      </c>
      <c r="S206" s="139">
        <v>703</v>
      </c>
      <c r="T206" s="16">
        <f>SUM(S195:S206)/1000</f>
        <v>30.565000000000001</v>
      </c>
      <c r="U206" s="135" t="s">
        <v>236</v>
      </c>
      <c r="V206">
        <f>T206+P206+L206+H206+D206</f>
        <v>532.06499999999994</v>
      </c>
    </row>
    <row r="207" spans="2:22" x14ac:dyDescent="0.25">
      <c r="B207" s="13">
        <v>41913</v>
      </c>
      <c r="C207" s="139">
        <v>1360</v>
      </c>
      <c r="E207" s="140"/>
      <c r="F207" s="138">
        <v>41913</v>
      </c>
      <c r="G207" s="139">
        <v>1212</v>
      </c>
      <c r="I207" s="140"/>
      <c r="J207" s="13">
        <v>41913</v>
      </c>
      <c r="K207" s="139">
        <v>2120</v>
      </c>
      <c r="L207" s="139"/>
      <c r="M207" s="140"/>
      <c r="N207" s="13">
        <v>41913</v>
      </c>
      <c r="O207" s="139">
        <v>4482</v>
      </c>
      <c r="Q207" s="140"/>
      <c r="R207" s="13">
        <v>41913</v>
      </c>
      <c r="S207" s="139">
        <v>803</v>
      </c>
      <c r="U207" s="140"/>
    </row>
    <row r="208" spans="2:22" x14ac:dyDescent="0.25">
      <c r="B208" s="13">
        <v>41944</v>
      </c>
      <c r="C208" s="139">
        <v>1220</v>
      </c>
      <c r="E208" s="140"/>
      <c r="F208" s="138">
        <v>41944</v>
      </c>
      <c r="G208" s="139">
        <v>1240</v>
      </c>
      <c r="I208" s="140"/>
      <c r="J208" s="13">
        <v>41944</v>
      </c>
      <c r="K208" s="139">
        <v>2471</v>
      </c>
      <c r="L208" s="139"/>
      <c r="M208" s="140"/>
      <c r="N208" s="13">
        <v>41944</v>
      </c>
      <c r="O208" s="139">
        <v>5387</v>
      </c>
      <c r="Q208" s="140"/>
      <c r="R208" s="13">
        <v>41944</v>
      </c>
      <c r="S208" s="139">
        <v>849</v>
      </c>
      <c r="U208" s="140"/>
    </row>
    <row r="209" spans="2:22" x14ac:dyDescent="0.25">
      <c r="B209" s="13">
        <v>41974</v>
      </c>
      <c r="C209" s="139">
        <v>1340</v>
      </c>
      <c r="E209" s="140"/>
      <c r="F209" s="138">
        <v>41974</v>
      </c>
      <c r="G209" s="139">
        <v>1630</v>
      </c>
      <c r="I209" s="140"/>
      <c r="J209" s="13">
        <v>41974</v>
      </c>
      <c r="K209" s="139">
        <v>3358</v>
      </c>
      <c r="L209" s="139"/>
      <c r="M209" s="140"/>
      <c r="N209" s="13">
        <v>41974</v>
      </c>
      <c r="O209" s="139">
        <v>20177</v>
      </c>
      <c r="Q209" s="140"/>
      <c r="R209" s="13">
        <v>41974</v>
      </c>
      <c r="S209" s="139">
        <v>1210</v>
      </c>
      <c r="U209" s="140"/>
    </row>
    <row r="210" spans="2:22" x14ac:dyDescent="0.25">
      <c r="B210" s="13">
        <v>42005</v>
      </c>
      <c r="C210" s="139">
        <v>1290</v>
      </c>
      <c r="E210" s="140"/>
      <c r="F210" s="138">
        <v>42005</v>
      </c>
      <c r="G210" s="139">
        <v>1716</v>
      </c>
      <c r="I210" s="140"/>
      <c r="J210" s="13">
        <v>42005</v>
      </c>
      <c r="K210" s="139">
        <v>3295</v>
      </c>
      <c r="L210" s="139"/>
      <c r="M210" s="140"/>
      <c r="N210" s="13">
        <v>42005</v>
      </c>
      <c r="O210" s="139">
        <v>15630</v>
      </c>
      <c r="Q210" s="140"/>
      <c r="R210" s="13">
        <v>42005</v>
      </c>
      <c r="S210" s="139">
        <v>1120</v>
      </c>
      <c r="U210" s="140"/>
    </row>
    <row r="211" spans="2:22" x14ac:dyDescent="0.25">
      <c r="B211" s="13">
        <v>42036</v>
      </c>
      <c r="C211" s="139">
        <v>1180</v>
      </c>
      <c r="E211" s="140"/>
      <c r="F211" s="138">
        <v>42036</v>
      </c>
      <c r="G211" s="139">
        <v>4460</v>
      </c>
      <c r="I211" s="140"/>
      <c r="J211" s="13">
        <v>42036</v>
      </c>
      <c r="K211" s="139">
        <v>10640</v>
      </c>
      <c r="L211" s="139"/>
      <c r="M211" s="140"/>
      <c r="N211" s="13">
        <v>42036</v>
      </c>
      <c r="O211" s="139">
        <v>23954</v>
      </c>
      <c r="Q211" s="140"/>
      <c r="R211" s="13">
        <v>42036</v>
      </c>
      <c r="S211" s="139">
        <v>3174</v>
      </c>
      <c r="U211" s="140"/>
    </row>
    <row r="212" spans="2:22" x14ac:dyDescent="0.25">
      <c r="B212" s="13">
        <v>42064</v>
      </c>
      <c r="C212" s="139">
        <v>1410</v>
      </c>
      <c r="E212" s="140"/>
      <c r="F212" s="138">
        <v>42064</v>
      </c>
      <c r="G212" s="139">
        <v>6635</v>
      </c>
      <c r="I212" s="140"/>
      <c r="J212" s="13">
        <v>42064</v>
      </c>
      <c r="K212" s="139">
        <v>10250</v>
      </c>
      <c r="L212" s="139"/>
      <c r="M212" s="140"/>
      <c r="N212" s="13">
        <v>42064</v>
      </c>
      <c r="O212" s="139">
        <v>20376</v>
      </c>
      <c r="Q212" s="140"/>
      <c r="R212" s="13">
        <v>42064</v>
      </c>
      <c r="S212" s="139">
        <v>3408</v>
      </c>
      <c r="U212" s="140"/>
    </row>
    <row r="213" spans="2:22" x14ac:dyDescent="0.25">
      <c r="B213" s="13">
        <v>42095</v>
      </c>
      <c r="C213" s="139">
        <v>1190</v>
      </c>
      <c r="E213" s="140"/>
      <c r="F213" s="138">
        <v>42095</v>
      </c>
      <c r="G213" s="139">
        <v>8142</v>
      </c>
      <c r="I213" s="140"/>
      <c r="J213" s="13">
        <v>42095</v>
      </c>
      <c r="K213" s="139">
        <v>8981</v>
      </c>
      <c r="L213" s="139"/>
      <c r="M213" s="140"/>
      <c r="N213" s="13">
        <v>42095</v>
      </c>
      <c r="O213" s="139">
        <v>25777</v>
      </c>
      <c r="Q213" s="140"/>
      <c r="R213" s="13">
        <v>42095</v>
      </c>
      <c r="S213" s="139">
        <v>2938</v>
      </c>
      <c r="U213" s="140"/>
    </row>
    <row r="214" spans="2:22" x14ac:dyDescent="0.25">
      <c r="B214" s="13">
        <v>42125</v>
      </c>
      <c r="C214" s="139">
        <v>2640</v>
      </c>
      <c r="E214" s="140"/>
      <c r="F214" s="138">
        <v>42125</v>
      </c>
      <c r="G214" s="139">
        <v>21350</v>
      </c>
      <c r="I214" s="140"/>
      <c r="J214" s="13">
        <v>42125</v>
      </c>
      <c r="K214" s="139">
        <v>20550</v>
      </c>
      <c r="L214" s="139"/>
      <c r="M214" s="140"/>
      <c r="N214" s="13">
        <v>42125</v>
      </c>
      <c r="O214" s="139">
        <v>19270</v>
      </c>
      <c r="Q214" s="140"/>
      <c r="R214" s="13">
        <v>42125</v>
      </c>
      <c r="S214" s="139">
        <v>3973</v>
      </c>
      <c r="U214" s="140"/>
    </row>
    <row r="215" spans="2:22" x14ac:dyDescent="0.25">
      <c r="B215" s="13">
        <v>42156</v>
      </c>
      <c r="C215" s="139">
        <v>5098</v>
      </c>
      <c r="E215" s="140"/>
      <c r="F215" s="138">
        <v>42156</v>
      </c>
      <c r="G215" s="139">
        <v>18500</v>
      </c>
      <c r="I215" s="140"/>
      <c r="J215" s="13">
        <v>42156</v>
      </c>
      <c r="K215" s="139">
        <v>12159</v>
      </c>
      <c r="L215" s="139"/>
      <c r="M215" s="140"/>
      <c r="N215" s="13">
        <v>42156</v>
      </c>
      <c r="O215" s="139">
        <v>8789</v>
      </c>
      <c r="Q215" s="140"/>
      <c r="R215" s="13">
        <v>42156</v>
      </c>
      <c r="S215" s="139">
        <v>1779</v>
      </c>
      <c r="U215" s="140"/>
    </row>
    <row r="216" spans="2:22" x14ac:dyDescent="0.25">
      <c r="B216" s="13">
        <v>42186</v>
      </c>
      <c r="C216" s="139">
        <v>3043</v>
      </c>
      <c r="E216" s="140"/>
      <c r="F216" s="138">
        <v>42186</v>
      </c>
      <c r="G216" s="139">
        <v>5014</v>
      </c>
      <c r="I216" s="140"/>
      <c r="J216" s="13">
        <v>42186</v>
      </c>
      <c r="K216" s="139">
        <v>5440</v>
      </c>
      <c r="L216" s="139"/>
      <c r="M216" s="140"/>
      <c r="N216" s="13">
        <v>42186</v>
      </c>
      <c r="O216" s="139">
        <v>6216</v>
      </c>
      <c r="Q216" s="140"/>
      <c r="R216" s="13">
        <v>42186</v>
      </c>
      <c r="S216" s="139">
        <v>1184</v>
      </c>
      <c r="U216" s="140"/>
    </row>
    <row r="217" spans="2:22" x14ac:dyDescent="0.25">
      <c r="B217" s="13">
        <v>42217</v>
      </c>
      <c r="C217" s="139">
        <v>2110</v>
      </c>
      <c r="E217" s="140"/>
      <c r="F217" s="138">
        <v>42217</v>
      </c>
      <c r="G217" s="139">
        <v>2030</v>
      </c>
      <c r="I217" s="140"/>
      <c r="J217" s="13">
        <v>42217</v>
      </c>
      <c r="K217" s="139">
        <v>3158</v>
      </c>
      <c r="L217" s="139"/>
      <c r="M217" s="140"/>
      <c r="N217" s="13">
        <v>42217</v>
      </c>
      <c r="O217" s="139">
        <v>6781</v>
      </c>
      <c r="Q217" s="140"/>
      <c r="R217" s="13">
        <v>42217</v>
      </c>
      <c r="S217" s="139">
        <v>642</v>
      </c>
      <c r="U217" s="140"/>
    </row>
    <row r="218" spans="2:22" x14ac:dyDescent="0.25">
      <c r="B218" s="13">
        <v>42248</v>
      </c>
      <c r="C218" s="139">
        <v>1232</v>
      </c>
      <c r="D218" s="16">
        <f>SUM(C207:C218)/1000</f>
        <v>23.113</v>
      </c>
      <c r="E218" s="140"/>
      <c r="F218" s="138">
        <v>42248</v>
      </c>
      <c r="G218" s="139">
        <v>1150</v>
      </c>
      <c r="H218" s="16">
        <f>SUM(G207:G218)/1000</f>
        <v>73.078999999999994</v>
      </c>
      <c r="I218" s="140"/>
      <c r="J218" s="13">
        <v>42248</v>
      </c>
      <c r="K218" s="139">
        <v>1878</v>
      </c>
      <c r="L218" s="16">
        <f>SUM(K207:K218)/1000</f>
        <v>84.3</v>
      </c>
      <c r="M218" s="140"/>
      <c r="N218" s="13">
        <v>42248</v>
      </c>
      <c r="O218" s="139">
        <v>5633</v>
      </c>
      <c r="P218" s="16">
        <f>SUM(O207:O218)/1000</f>
        <v>162.47200000000001</v>
      </c>
      <c r="Q218" s="140"/>
      <c r="R218" s="13">
        <v>42248</v>
      </c>
      <c r="S218" s="139">
        <v>512</v>
      </c>
      <c r="T218" s="16">
        <f>SUM(S207:S218)/1000</f>
        <v>21.591999999999999</v>
      </c>
      <c r="U218" s="135" t="s">
        <v>237</v>
      </c>
      <c r="V218">
        <f>T218+P218+L218+H218+D218</f>
        <v>364.55600000000004</v>
      </c>
    </row>
    <row r="219" spans="2:22" x14ac:dyDescent="0.25">
      <c r="B219" s="13"/>
      <c r="G219" s="139"/>
      <c r="I219" s="140"/>
    </row>
    <row r="220" spans="2:22" x14ac:dyDescent="0.25">
      <c r="B220" s="13"/>
    </row>
    <row r="221" spans="2:22" x14ac:dyDescent="0.25">
      <c r="B221" s="13"/>
      <c r="C221" s="141" t="s">
        <v>239</v>
      </c>
      <c r="H221" t="s">
        <v>240</v>
      </c>
    </row>
    <row r="223" spans="2:22" x14ac:dyDescent="0.25">
      <c r="C223" t="s">
        <v>241</v>
      </c>
    </row>
  </sheetData>
  <phoneticPr fontId="2" type="noConversion"/>
  <hyperlinks>
    <hyperlink ref="D99" r:id="rId1" display="http://cdec4gov.water.ca.gov/misc/flaglist.html"/>
    <hyperlink ref="D159" r:id="rId2" display="http://cdec4gov.water.ca.gov/misc/flaglist.html"/>
    <hyperlink ref="E160" r:id="rId3" display="http://cdec4gov.water.ca.gov/misc/flaglist.html"/>
    <hyperlink ref="E161" r:id="rId4" display="http://cdec4gov.water.ca.gov/misc/flaglist.html"/>
    <hyperlink ref="E218" r:id="rId5" display="http://cdec4gov.water.ca.gov/misc/flaglist.html"/>
    <hyperlink ref="U159" r:id="rId6" display="http://cdec4gov.water.ca.gov/misc/flaglist.html"/>
    <hyperlink ref="C221" r:id="rId7"/>
  </hyperlinks>
  <pageMargins left="0.75" right="0.75" top="1" bottom="1" header="0.5" footer="0.5"/>
  <pageSetup scale="67" fitToHeight="2" orientation="landscape" r:id="rId8"/>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56"/>
  <sheetViews>
    <sheetView workbookViewId="0">
      <pane xSplit="3" ySplit="3" topLeftCell="AG4" activePane="bottomRight" state="frozen"/>
      <selection pane="topRight" activeCell="D1" sqref="D1"/>
      <selection pane="bottomLeft" activeCell="A4" sqref="A4"/>
      <selection pane="bottomRight" activeCell="G29" sqref="G29"/>
    </sheetView>
  </sheetViews>
  <sheetFormatPr defaultRowHeight="12.5" x14ac:dyDescent="0.25"/>
  <cols>
    <col min="1" max="1" width="17.36328125" bestFit="1" customWidth="1"/>
    <col min="2" max="2" width="18.26953125" customWidth="1"/>
    <col min="3" max="3" width="11.6328125" customWidth="1"/>
    <col min="16" max="16" width="12.81640625" bestFit="1" customWidth="1"/>
    <col min="17" max="17" width="11.26953125" bestFit="1" customWidth="1"/>
    <col min="18" max="19" width="10.26953125" bestFit="1" customWidth="1"/>
  </cols>
  <sheetData>
    <row r="1" spans="1:33" x14ac:dyDescent="0.25">
      <c r="A1" s="3" t="s">
        <v>187</v>
      </c>
      <c r="B1" s="3" t="s">
        <v>169</v>
      </c>
      <c r="C1" t="s">
        <v>174</v>
      </c>
      <c r="D1" s="161" t="s">
        <v>226</v>
      </c>
      <c r="E1" s="161"/>
      <c r="F1" s="161"/>
      <c r="G1" s="161"/>
      <c r="H1" s="161"/>
      <c r="I1" s="161"/>
      <c r="J1" s="161"/>
      <c r="K1" s="161"/>
      <c r="L1" s="161"/>
      <c r="M1" s="161"/>
      <c r="N1" s="161"/>
      <c r="O1" s="161"/>
      <c r="P1" s="3" t="s">
        <v>219</v>
      </c>
      <c r="Q1" s="23" t="s">
        <v>168</v>
      </c>
      <c r="R1" s="3" t="s">
        <v>217</v>
      </c>
      <c r="S1" s="161" t="s">
        <v>226</v>
      </c>
      <c r="T1" s="161"/>
      <c r="U1" s="161"/>
      <c r="V1" s="161"/>
      <c r="W1" s="161"/>
      <c r="X1" s="161"/>
      <c r="Y1" s="161"/>
      <c r="Z1" s="161"/>
      <c r="AA1" s="161"/>
      <c r="AB1" s="161"/>
      <c r="AC1" s="161"/>
      <c r="AD1" s="161"/>
      <c r="AE1" s="30" t="s">
        <v>219</v>
      </c>
      <c r="AF1" s="30" t="s">
        <v>168</v>
      </c>
      <c r="AG1" s="30" t="s">
        <v>217</v>
      </c>
    </row>
    <row r="2" spans="1:33" x14ac:dyDescent="0.25">
      <c r="B2" s="3"/>
      <c r="D2" s="24">
        <v>40087</v>
      </c>
      <c r="E2" s="24">
        <v>40118</v>
      </c>
      <c r="F2" s="24">
        <v>40148</v>
      </c>
      <c r="G2" s="24">
        <v>40179</v>
      </c>
      <c r="H2" s="24">
        <v>40210</v>
      </c>
      <c r="I2" s="24">
        <v>40238</v>
      </c>
      <c r="J2" s="24">
        <v>40269</v>
      </c>
      <c r="K2" s="24">
        <v>40299</v>
      </c>
      <c r="L2" s="24">
        <v>40330</v>
      </c>
      <c r="M2" s="24">
        <v>40360</v>
      </c>
      <c r="N2" s="24">
        <v>40391</v>
      </c>
      <c r="O2" s="24">
        <v>40422</v>
      </c>
      <c r="P2" s="28" t="s">
        <v>223</v>
      </c>
      <c r="Q2" s="23" t="s">
        <v>170</v>
      </c>
      <c r="R2" s="3" t="s">
        <v>218</v>
      </c>
      <c r="S2" s="24">
        <v>41913</v>
      </c>
      <c r="T2" s="24">
        <v>41944</v>
      </c>
      <c r="U2" s="24">
        <v>41974</v>
      </c>
      <c r="V2" s="24">
        <v>42005</v>
      </c>
      <c r="W2" s="24">
        <v>42036</v>
      </c>
      <c r="X2" s="24">
        <v>42064</v>
      </c>
      <c r="Y2" s="24">
        <v>42095</v>
      </c>
      <c r="Z2" s="24">
        <v>42125</v>
      </c>
      <c r="AA2" s="24">
        <v>42156</v>
      </c>
      <c r="AB2" s="24">
        <v>42186</v>
      </c>
      <c r="AC2" s="24">
        <v>42217</v>
      </c>
      <c r="AD2" s="24">
        <v>42248</v>
      </c>
      <c r="AE2" s="28" t="s">
        <v>223</v>
      </c>
      <c r="AF2" s="30" t="s">
        <v>170</v>
      </c>
      <c r="AG2" s="30" t="s">
        <v>218</v>
      </c>
    </row>
    <row r="3" spans="1:33" x14ac:dyDescent="0.25">
      <c r="B3" s="23"/>
      <c r="D3" s="24"/>
      <c r="E3" s="24"/>
      <c r="F3" s="24"/>
      <c r="G3" s="24"/>
      <c r="H3" s="24"/>
      <c r="I3" s="24"/>
      <c r="J3" s="24"/>
      <c r="K3" s="24"/>
      <c r="L3" s="24"/>
      <c r="M3" s="24"/>
      <c r="N3" s="24"/>
      <c r="O3" s="24"/>
      <c r="P3" s="24"/>
      <c r="Q3" s="23" t="s">
        <v>222</v>
      </c>
      <c r="R3" s="23"/>
      <c r="S3" s="24"/>
      <c r="T3" s="24"/>
      <c r="U3" s="24"/>
      <c r="V3" s="24"/>
      <c r="W3" s="24"/>
      <c r="X3" s="24"/>
      <c r="Y3" s="24"/>
      <c r="Z3" s="24"/>
      <c r="AA3" s="24"/>
      <c r="AB3" s="24"/>
      <c r="AC3" s="24"/>
      <c r="AD3" s="24"/>
      <c r="AE3" s="24"/>
      <c r="AF3" s="30" t="s">
        <v>222</v>
      </c>
      <c r="AG3" s="30"/>
    </row>
    <row r="4" spans="1:33" x14ac:dyDescent="0.25">
      <c r="A4" t="s">
        <v>88</v>
      </c>
      <c r="B4" s="11" t="s">
        <v>171</v>
      </c>
      <c r="C4">
        <v>11532500</v>
      </c>
      <c r="D4">
        <v>496</v>
      </c>
      <c r="E4">
        <v>2284</v>
      </c>
      <c r="F4">
        <v>3332</v>
      </c>
      <c r="G4">
        <v>8909</v>
      </c>
      <c r="H4">
        <v>6012</v>
      </c>
      <c r="I4">
        <v>5637</v>
      </c>
      <c r="J4">
        <v>7744</v>
      </c>
      <c r="K4">
        <v>4270</v>
      </c>
      <c r="L4">
        <v>4990</v>
      </c>
      <c r="M4">
        <v>848</v>
      </c>
      <c r="N4">
        <v>440</v>
      </c>
      <c r="O4">
        <v>470</v>
      </c>
      <c r="P4" s="6">
        <f t="shared" ref="P4:P7" si="0">SUM(D4*31,E4*30,F4*31,G4*31,H4*28,I4*31,J4*30,K4*31,L4*30,M4*31,N4*31,O4*30)</f>
        <v>1374868</v>
      </c>
      <c r="Q4" s="25">
        <f t="shared" ref="Q4:Q5" si="1">(P4*1.983471074)/1000</f>
        <v>2727.010908568232</v>
      </c>
      <c r="S4" s="6"/>
    </row>
    <row r="5" spans="1:33" x14ac:dyDescent="0.25">
      <c r="B5" s="29" t="s">
        <v>227</v>
      </c>
      <c r="C5">
        <v>11530500</v>
      </c>
      <c r="D5">
        <v>3370</v>
      </c>
      <c r="E5">
        <v>4810</v>
      </c>
      <c r="F5">
        <v>7500</v>
      </c>
      <c r="G5">
        <v>22900</v>
      </c>
      <c r="H5">
        <v>21800</v>
      </c>
      <c r="I5">
        <v>19400</v>
      </c>
      <c r="J5">
        <v>27600</v>
      </c>
      <c r="K5">
        <v>26100</v>
      </c>
      <c r="L5">
        <v>23800</v>
      </c>
      <c r="M5">
        <v>7640</v>
      </c>
      <c r="N5">
        <v>3810</v>
      </c>
      <c r="O5">
        <v>3420</v>
      </c>
      <c r="P5" s="6">
        <f t="shared" si="0"/>
        <v>5211620</v>
      </c>
      <c r="Q5" s="25">
        <f t="shared" si="1"/>
        <v>10337.097518679879</v>
      </c>
      <c r="S5" s="6"/>
    </row>
    <row r="6" spans="1:33" x14ac:dyDescent="0.25">
      <c r="B6" s="11" t="s">
        <v>172</v>
      </c>
      <c r="C6">
        <v>11481000</v>
      </c>
      <c r="D6">
        <v>87</v>
      </c>
      <c r="E6">
        <v>232</v>
      </c>
      <c r="F6">
        <v>457</v>
      </c>
      <c r="G6">
        <v>2920</v>
      </c>
      <c r="H6">
        <v>2460</v>
      </c>
      <c r="I6">
        <v>2120</v>
      </c>
      <c r="J6">
        <v>3260</v>
      </c>
      <c r="K6">
        <v>1520</v>
      </c>
      <c r="L6">
        <v>1080</v>
      </c>
      <c r="M6">
        <v>146</v>
      </c>
      <c r="N6">
        <v>82</v>
      </c>
      <c r="O6">
        <v>86</v>
      </c>
      <c r="P6" s="6">
        <f t="shared" si="0"/>
        <v>435912</v>
      </c>
      <c r="Q6" s="25">
        <f>(P6*1.983471074)/1000</f>
        <v>864.618842809488</v>
      </c>
    </row>
    <row r="7" spans="1:33" x14ac:dyDescent="0.25">
      <c r="B7" s="11" t="s">
        <v>173</v>
      </c>
      <c r="C7" s="29">
        <v>11477000</v>
      </c>
      <c r="D7">
        <v>417</v>
      </c>
      <c r="E7">
        <v>741</v>
      </c>
      <c r="F7">
        <v>3480</v>
      </c>
      <c r="G7">
        <v>23200</v>
      </c>
      <c r="H7">
        <v>13900</v>
      </c>
      <c r="I7">
        <v>12320</v>
      </c>
      <c r="J7">
        <v>18830</v>
      </c>
      <c r="K7">
        <v>7785</v>
      </c>
      <c r="L7">
        <v>3961</v>
      </c>
      <c r="M7">
        <v>678</v>
      </c>
      <c r="N7">
        <v>235</v>
      </c>
      <c r="O7">
        <v>160</v>
      </c>
      <c r="P7" s="6">
        <f t="shared" si="0"/>
        <v>2591525</v>
      </c>
      <c r="Q7" s="25">
        <f>(P7*1.983471074)/1000</f>
        <v>5140.2148750478491</v>
      </c>
    </row>
    <row r="8" spans="1:33" x14ac:dyDescent="0.25">
      <c r="B8" t="s">
        <v>175</v>
      </c>
      <c r="C8" s="29">
        <v>11468092</v>
      </c>
      <c r="P8" t="s">
        <v>220</v>
      </c>
      <c r="Q8" s="25"/>
    </row>
    <row r="9" spans="1:33" x14ac:dyDescent="0.25">
      <c r="B9" t="s">
        <v>176</v>
      </c>
      <c r="C9">
        <v>11482500</v>
      </c>
      <c r="D9">
        <v>31</v>
      </c>
      <c r="E9">
        <v>205</v>
      </c>
      <c r="F9">
        <v>442</v>
      </c>
      <c r="G9">
        <v>2050</v>
      </c>
      <c r="H9">
        <v>1420</v>
      </c>
      <c r="I9">
        <v>1530</v>
      </c>
      <c r="J9">
        <v>2350</v>
      </c>
      <c r="K9">
        <v>1130</v>
      </c>
      <c r="L9">
        <v>1030</v>
      </c>
      <c r="M9">
        <v>180</v>
      </c>
      <c r="N9">
        <v>61</v>
      </c>
      <c r="O9">
        <v>47</v>
      </c>
      <c r="P9" s="6">
        <f>SUM(D9*31,E9*30,F9*31,G9*31,H9*28,I9*31,J9*30,K9*31,L9*30,M9*31,N9*31,O9*30)</f>
        <v>316864</v>
      </c>
      <c r="Q9" s="25">
        <f>(P9*1.983471074)/1000</f>
        <v>628.49057839193586</v>
      </c>
    </row>
    <row r="10" spans="1:33" x14ac:dyDescent="0.25">
      <c r="B10" t="s">
        <v>177</v>
      </c>
      <c r="C10">
        <v>11481200</v>
      </c>
      <c r="D10">
        <v>5.4</v>
      </c>
      <c r="E10">
        <v>28</v>
      </c>
      <c r="F10">
        <v>69</v>
      </c>
      <c r="G10">
        <v>319</v>
      </c>
      <c r="H10">
        <v>186</v>
      </c>
      <c r="I10">
        <v>230</v>
      </c>
      <c r="J10">
        <v>321</v>
      </c>
      <c r="K10">
        <v>125</v>
      </c>
      <c r="L10">
        <v>161</v>
      </c>
      <c r="M10">
        <v>24</v>
      </c>
      <c r="N10">
        <v>11</v>
      </c>
      <c r="O10">
        <v>10</v>
      </c>
      <c r="P10" s="6">
        <f t="shared" ref="P10:P13" si="2">SUM(D10*31,E10*30,F10*31,G10*31,H10*28,I10*31,J10*30,K10*31,L10*30,M10*31,N10*31,O10*30)</f>
        <v>45093.4</v>
      </c>
      <c r="Q10" s="25">
        <f t="shared" ref="Q10:Q13" si="3">(P10*1.983471074)/1000</f>
        <v>89.441454528311596</v>
      </c>
    </row>
    <row r="11" spans="1:33" x14ac:dyDescent="0.25">
      <c r="B11" t="s">
        <v>178</v>
      </c>
      <c r="C11">
        <v>11469000</v>
      </c>
      <c r="D11">
        <v>81</v>
      </c>
      <c r="E11">
        <v>213</v>
      </c>
      <c r="F11">
        <v>1020</v>
      </c>
      <c r="G11">
        <v>4750</v>
      </c>
      <c r="H11">
        <v>2740</v>
      </c>
      <c r="I11">
        <v>1850</v>
      </c>
      <c r="J11">
        <v>2110</v>
      </c>
      <c r="K11">
        <v>854</v>
      </c>
      <c r="L11">
        <v>654</v>
      </c>
      <c r="M11">
        <v>166</v>
      </c>
      <c r="N11">
        <v>72</v>
      </c>
      <c r="O11">
        <v>56</v>
      </c>
      <c r="P11" s="6">
        <f t="shared" si="2"/>
        <v>440293</v>
      </c>
      <c r="Q11" s="25">
        <f t="shared" si="3"/>
        <v>873.30842958468202</v>
      </c>
    </row>
    <row r="12" spans="1:33" x14ac:dyDescent="0.25">
      <c r="B12" t="s">
        <v>179</v>
      </c>
      <c r="C12">
        <v>11468500</v>
      </c>
      <c r="D12">
        <v>8.1</v>
      </c>
      <c r="E12">
        <v>13</v>
      </c>
      <c r="F12">
        <v>63</v>
      </c>
      <c r="G12">
        <v>570</v>
      </c>
      <c r="H12">
        <v>236</v>
      </c>
      <c r="I12">
        <v>346</v>
      </c>
      <c r="J12">
        <v>605</v>
      </c>
      <c r="K12">
        <v>142</v>
      </c>
      <c r="L12">
        <v>66</v>
      </c>
      <c r="M12">
        <v>23</v>
      </c>
      <c r="N12">
        <v>11</v>
      </c>
      <c r="O12">
        <v>6.9</v>
      </c>
      <c r="P12" s="6">
        <f t="shared" si="2"/>
        <v>63391.1</v>
      </c>
      <c r="Q12" s="25">
        <f t="shared" si="3"/>
        <v>125.73441319904138</v>
      </c>
    </row>
    <row r="13" spans="1:33" x14ac:dyDescent="0.25">
      <c r="B13" t="s">
        <v>180</v>
      </c>
      <c r="C13">
        <v>11468000</v>
      </c>
      <c r="D13">
        <v>15</v>
      </c>
      <c r="E13">
        <v>22</v>
      </c>
      <c r="F13">
        <v>92</v>
      </c>
      <c r="G13">
        <v>1870</v>
      </c>
      <c r="H13">
        <v>794</v>
      </c>
      <c r="I13">
        <v>843</v>
      </c>
      <c r="J13">
        <v>1500</v>
      </c>
      <c r="K13">
        <v>296</v>
      </c>
      <c r="L13">
        <v>87</v>
      </c>
      <c r="M13">
        <v>27</v>
      </c>
      <c r="N13">
        <v>11</v>
      </c>
      <c r="O13">
        <v>7.4</v>
      </c>
      <c r="P13" s="6">
        <f t="shared" si="2"/>
        <v>168498</v>
      </c>
      <c r="Q13" s="25">
        <f t="shared" si="3"/>
        <v>334.21090902685199</v>
      </c>
    </row>
    <row r="14" spans="1:33" x14ac:dyDescent="0.25">
      <c r="B14" s="11" t="s">
        <v>181</v>
      </c>
      <c r="C14" s="29">
        <v>11468010</v>
      </c>
      <c r="Q14" s="25">
        <v>18.8</v>
      </c>
    </row>
    <row r="15" spans="1:33" x14ac:dyDescent="0.25">
      <c r="B15" s="11" t="s">
        <v>182</v>
      </c>
      <c r="C15">
        <v>11467553</v>
      </c>
      <c r="D15">
        <v>10.199999999999999</v>
      </c>
      <c r="E15">
        <v>9.8000000000000007</v>
      </c>
      <c r="F15">
        <v>0</v>
      </c>
      <c r="G15">
        <v>0</v>
      </c>
      <c r="H15">
        <v>0</v>
      </c>
      <c r="I15">
        <v>0</v>
      </c>
      <c r="J15">
        <v>0</v>
      </c>
      <c r="K15">
        <v>85.2</v>
      </c>
      <c r="L15">
        <v>37.200000000000003</v>
      </c>
      <c r="M15">
        <v>17</v>
      </c>
      <c r="N15">
        <v>8.93</v>
      </c>
      <c r="O15">
        <v>6.4</v>
      </c>
      <c r="P15" s="6">
        <f t="shared" ref="P15:P16" si="4">SUM(D15*31,E15*30,F15*31,G15*31,H15*28,I15*31,J15*30,K15*31,L15*30,M15*31,N15*31,O15*30)</f>
        <v>5363.2300000000005</v>
      </c>
      <c r="Q15" s="25">
        <f t="shared" ref="Q15:Q16" si="5">(P15*1.983471074)/1000</f>
        <v>10.63781156820902</v>
      </c>
    </row>
    <row r="16" spans="1:33" x14ac:dyDescent="0.25">
      <c r="B16" s="11" t="s">
        <v>215</v>
      </c>
      <c r="C16">
        <v>11467000</v>
      </c>
      <c r="D16">
        <v>226</v>
      </c>
      <c r="E16">
        <v>231</v>
      </c>
      <c r="F16">
        <v>435</v>
      </c>
      <c r="G16">
        <v>8179</v>
      </c>
      <c r="H16">
        <v>4182</v>
      </c>
      <c r="I16">
        <v>3464</v>
      </c>
      <c r="J16">
        <v>4582</v>
      </c>
      <c r="K16">
        <v>1200</v>
      </c>
      <c r="L16">
        <v>533</v>
      </c>
      <c r="M16">
        <v>214</v>
      </c>
      <c r="N16">
        <v>156</v>
      </c>
      <c r="O16">
        <v>147</v>
      </c>
      <c r="P16" s="6">
        <f t="shared" si="4"/>
        <v>711980</v>
      </c>
      <c r="Q16" s="25">
        <f t="shared" si="5"/>
        <v>1412.19173526652</v>
      </c>
    </row>
    <row r="17" spans="1:18" x14ac:dyDescent="0.25">
      <c r="B17" s="11"/>
      <c r="Q17" s="25"/>
      <c r="R17" s="26">
        <f>SUM(Q4:Q16)</f>
        <v>22561.757476670999</v>
      </c>
    </row>
    <row r="18" spans="1:18" x14ac:dyDescent="0.25">
      <c r="A18" t="s">
        <v>183</v>
      </c>
      <c r="B18" s="11" t="s">
        <v>184</v>
      </c>
      <c r="C18">
        <v>11460600</v>
      </c>
      <c r="D18">
        <v>19</v>
      </c>
      <c r="E18">
        <v>17.100000000000001</v>
      </c>
      <c r="F18">
        <v>34.299999999999997</v>
      </c>
      <c r="G18">
        <v>254</v>
      </c>
      <c r="H18">
        <v>243</v>
      </c>
      <c r="I18">
        <v>162</v>
      </c>
      <c r="J18">
        <v>267</v>
      </c>
      <c r="K18">
        <v>36.6</v>
      </c>
      <c r="L18">
        <v>18.8</v>
      </c>
      <c r="M18">
        <v>9.48</v>
      </c>
      <c r="N18">
        <v>8.86</v>
      </c>
      <c r="O18">
        <v>8.4600000000000009</v>
      </c>
      <c r="P18" s="6">
        <f t="shared" ref="P18:P19" si="6">SUM(D18*31,E18*30,F18*31,G18*31,H18*28,I18*31,J18*30,K18*31,L18*30,M18*31,N18*31,O18*30)</f>
        <v>32396.239999999998</v>
      </c>
      <c r="Q18" s="25">
        <f t="shared" ref="Q18:Q19" si="7">(P18*1.983471074)/1000</f>
        <v>64.257004946361761</v>
      </c>
    </row>
    <row r="19" spans="1:18" x14ac:dyDescent="0.25">
      <c r="B19" s="11" t="s">
        <v>216</v>
      </c>
      <c r="C19">
        <v>11460750</v>
      </c>
      <c r="D19">
        <v>6.5</v>
      </c>
      <c r="E19">
        <v>6.36</v>
      </c>
      <c r="F19">
        <v>8.08</v>
      </c>
      <c r="G19">
        <v>101</v>
      </c>
      <c r="H19">
        <v>117</v>
      </c>
      <c r="I19">
        <v>70.7</v>
      </c>
      <c r="J19">
        <v>56</v>
      </c>
      <c r="K19">
        <v>8.2899999999999991</v>
      </c>
      <c r="L19">
        <v>6.15</v>
      </c>
      <c r="M19">
        <v>5.91</v>
      </c>
      <c r="N19">
        <v>5.64</v>
      </c>
      <c r="O19">
        <v>5.64</v>
      </c>
      <c r="P19" s="6">
        <f t="shared" si="6"/>
        <v>11890.22</v>
      </c>
      <c r="Q19" s="25">
        <f t="shared" si="7"/>
        <v>23.583907433496279</v>
      </c>
    </row>
    <row r="20" spans="1:18" x14ac:dyDescent="0.25">
      <c r="B20" t="s">
        <v>185</v>
      </c>
      <c r="C20">
        <v>11162630</v>
      </c>
      <c r="D20">
        <v>4.4000000000000004</v>
      </c>
      <c r="E20">
        <v>2.2000000000000002</v>
      </c>
      <c r="F20">
        <v>4.2</v>
      </c>
      <c r="G20">
        <v>30</v>
      </c>
      <c r="H20">
        <v>23</v>
      </c>
      <c r="I20">
        <v>33</v>
      </c>
      <c r="J20">
        <v>41</v>
      </c>
      <c r="K20">
        <v>18</v>
      </c>
      <c r="L20">
        <v>6.4</v>
      </c>
      <c r="M20">
        <v>2.8</v>
      </c>
      <c r="N20">
        <v>3.6</v>
      </c>
      <c r="O20">
        <v>2.8</v>
      </c>
      <c r="P20" s="6">
        <f t="shared" ref="P20:P22" si="8">SUM(D20*31,E20*30,F20*31,G20*31,H20*28,I20*31,J20*30,K20*31,L20*30,M20*31,N20*31,O20*30)</f>
        <v>5192.0000000000009</v>
      </c>
      <c r="Q20" s="25">
        <f t="shared" ref="Q20:Q22" si="9">(P20*1.983471074)/1000</f>
        <v>10.298181816208002</v>
      </c>
    </row>
    <row r="21" spans="1:18" x14ac:dyDescent="0.25">
      <c r="B21" t="s">
        <v>221</v>
      </c>
      <c r="C21">
        <v>11162570</v>
      </c>
      <c r="D21">
        <v>7.1</v>
      </c>
      <c r="E21">
        <v>2.2000000000000002</v>
      </c>
      <c r="F21">
        <v>5.4</v>
      </c>
      <c r="G21">
        <v>105</v>
      </c>
      <c r="H21">
        <v>66</v>
      </c>
      <c r="I21">
        <v>70</v>
      </c>
      <c r="J21">
        <v>75</v>
      </c>
      <c r="K21">
        <v>17</v>
      </c>
      <c r="L21">
        <v>8.1</v>
      </c>
      <c r="M21">
        <v>4.5</v>
      </c>
      <c r="N21">
        <v>2.9</v>
      </c>
      <c r="O21">
        <v>2.1</v>
      </c>
      <c r="P21" s="6">
        <f t="shared" si="8"/>
        <v>11038.9</v>
      </c>
      <c r="Q21" s="25">
        <f t="shared" si="9"/>
        <v>21.895338838778596</v>
      </c>
    </row>
    <row r="22" spans="1:18" x14ac:dyDescent="0.25">
      <c r="B22" t="s">
        <v>186</v>
      </c>
      <c r="C22">
        <v>11162500</v>
      </c>
      <c r="D22">
        <v>11</v>
      </c>
      <c r="E22">
        <v>2.7</v>
      </c>
      <c r="F22">
        <v>6.8</v>
      </c>
      <c r="G22">
        <v>101</v>
      </c>
      <c r="H22">
        <v>91</v>
      </c>
      <c r="I22">
        <v>90</v>
      </c>
      <c r="J22">
        <v>95</v>
      </c>
      <c r="K22">
        <v>22</v>
      </c>
      <c r="L22">
        <v>9.6999999999999993</v>
      </c>
      <c r="M22">
        <v>5.3</v>
      </c>
      <c r="N22">
        <v>3.9</v>
      </c>
      <c r="O22">
        <v>2.7</v>
      </c>
      <c r="P22" s="6">
        <f t="shared" si="8"/>
        <v>13290.999999999998</v>
      </c>
      <c r="Q22" s="25">
        <f t="shared" si="9"/>
        <v>26.362314044533996</v>
      </c>
    </row>
    <row r="23" spans="1:18" x14ac:dyDescent="0.25">
      <c r="Q23" s="25"/>
      <c r="R23" s="26">
        <f>SUM(Q18:Q22)</f>
        <v>146.39674707937863</v>
      </c>
    </row>
    <row r="24" spans="1:18" x14ac:dyDescent="0.25">
      <c r="A24" t="s">
        <v>95</v>
      </c>
      <c r="B24" t="s">
        <v>188</v>
      </c>
      <c r="C24">
        <v>11159200</v>
      </c>
      <c r="D24">
        <v>32</v>
      </c>
      <c r="E24">
        <v>0.2</v>
      </c>
      <c r="F24">
        <v>5.4</v>
      </c>
      <c r="G24">
        <v>47</v>
      </c>
      <c r="H24">
        <v>50</v>
      </c>
      <c r="I24">
        <v>42</v>
      </c>
      <c r="J24">
        <v>29</v>
      </c>
      <c r="K24">
        <v>8</v>
      </c>
      <c r="L24">
        <v>0.7</v>
      </c>
      <c r="M24">
        <v>0.3</v>
      </c>
      <c r="N24">
        <v>0.1</v>
      </c>
      <c r="O24">
        <v>0</v>
      </c>
      <c r="P24" s="6">
        <f t="shared" ref="P24:P28" si="10">SUM(D24*31,E24*30,F24*31,G24*31,H24*28,I24*31,J24*30,K24*31,L24*30,M24*31,N24*31,O24*30)</f>
        <v>6475.8</v>
      </c>
      <c r="Q24" s="25">
        <f t="shared" ref="Q24:Q28" si="11">(P24*1.983471074)/1000</f>
        <v>12.8445619810092</v>
      </c>
    </row>
    <row r="25" spans="1:18" x14ac:dyDescent="0.25">
      <c r="B25" t="s">
        <v>189</v>
      </c>
      <c r="C25">
        <v>11161000</v>
      </c>
      <c r="D25">
        <v>97</v>
      </c>
      <c r="E25">
        <v>14</v>
      </c>
      <c r="F25">
        <v>40</v>
      </c>
      <c r="G25">
        <v>396</v>
      </c>
      <c r="H25">
        <v>383</v>
      </c>
      <c r="I25">
        <v>261</v>
      </c>
      <c r="J25">
        <v>249</v>
      </c>
      <c r="K25">
        <v>84</v>
      </c>
      <c r="L25">
        <v>35</v>
      </c>
      <c r="M25">
        <v>20</v>
      </c>
      <c r="N25">
        <v>12</v>
      </c>
      <c r="O25">
        <v>9.1</v>
      </c>
      <c r="P25" s="6">
        <f t="shared" si="10"/>
        <v>48147</v>
      </c>
      <c r="Q25" s="25">
        <f t="shared" si="11"/>
        <v>95.498181799877983</v>
      </c>
    </row>
    <row r="26" spans="1:18" x14ac:dyDescent="0.25">
      <c r="B26" t="s">
        <v>190</v>
      </c>
      <c r="C26">
        <v>11160000</v>
      </c>
      <c r="D26">
        <v>57</v>
      </c>
      <c r="E26">
        <v>5.2</v>
      </c>
      <c r="F26">
        <v>17</v>
      </c>
      <c r="G26">
        <v>115</v>
      </c>
      <c r="H26">
        <v>107</v>
      </c>
      <c r="I26">
        <v>73</v>
      </c>
      <c r="J26">
        <v>64</v>
      </c>
      <c r="K26">
        <v>24</v>
      </c>
      <c r="L26">
        <v>11</v>
      </c>
      <c r="M26">
        <v>6.6</v>
      </c>
      <c r="N26">
        <v>4.4000000000000004</v>
      </c>
      <c r="O26">
        <v>3</v>
      </c>
      <c r="P26" s="6">
        <f t="shared" si="10"/>
        <v>14699</v>
      </c>
      <c r="Q26" s="25">
        <f t="shared" si="11"/>
        <v>29.155041316725999</v>
      </c>
    </row>
    <row r="27" spans="1:18" x14ac:dyDescent="0.25">
      <c r="B27" t="s">
        <v>191</v>
      </c>
      <c r="C27">
        <v>11159000</v>
      </c>
      <c r="D27">
        <v>52</v>
      </c>
      <c r="E27">
        <v>12</v>
      </c>
      <c r="F27">
        <v>32</v>
      </c>
      <c r="G27">
        <v>348</v>
      </c>
      <c r="H27">
        <v>278</v>
      </c>
      <c r="I27">
        <v>414</v>
      </c>
      <c r="J27">
        <v>253</v>
      </c>
      <c r="K27">
        <v>76</v>
      </c>
      <c r="L27">
        <v>30</v>
      </c>
      <c r="M27">
        <v>16</v>
      </c>
      <c r="N27">
        <v>14</v>
      </c>
      <c r="O27">
        <v>18</v>
      </c>
      <c r="P27" s="6">
        <f t="shared" si="10"/>
        <v>46686</v>
      </c>
      <c r="Q27" s="25">
        <f t="shared" si="11"/>
        <v>92.600330560763993</v>
      </c>
    </row>
    <row r="28" spans="1:18" x14ac:dyDescent="0.25">
      <c r="B28" t="s">
        <v>192</v>
      </c>
      <c r="C28">
        <v>11152500</v>
      </c>
      <c r="D28">
        <v>3.1</v>
      </c>
      <c r="E28">
        <v>0</v>
      </c>
      <c r="F28">
        <v>60</v>
      </c>
      <c r="G28">
        <v>882</v>
      </c>
      <c r="H28">
        <v>976</v>
      </c>
      <c r="I28">
        <v>912</v>
      </c>
      <c r="J28">
        <v>348</v>
      </c>
      <c r="K28">
        <v>85</v>
      </c>
      <c r="L28">
        <v>29</v>
      </c>
      <c r="M28">
        <v>40</v>
      </c>
      <c r="N28">
        <v>30</v>
      </c>
      <c r="O28">
        <v>17</v>
      </c>
      <c r="P28" s="6">
        <f t="shared" si="10"/>
        <v>101523.1</v>
      </c>
      <c r="Q28" s="25">
        <f t="shared" si="11"/>
        <v>201.36813219280938</v>
      </c>
    </row>
    <row r="29" spans="1:18" x14ac:dyDescent="0.25">
      <c r="B29" s="11" t="s">
        <v>193</v>
      </c>
      <c r="C29">
        <v>11143250</v>
      </c>
      <c r="D29">
        <v>55.3</v>
      </c>
      <c r="E29">
        <v>17.399999999999999</v>
      </c>
      <c r="F29">
        <v>57.6</v>
      </c>
      <c r="G29">
        <v>384</v>
      </c>
      <c r="H29">
        <v>362</v>
      </c>
      <c r="I29">
        <v>366</v>
      </c>
      <c r="J29">
        <v>288</v>
      </c>
      <c r="K29">
        <v>139</v>
      </c>
      <c r="L29">
        <v>63.5</v>
      </c>
      <c r="M29">
        <v>25.2</v>
      </c>
      <c r="N29">
        <v>7.73</v>
      </c>
      <c r="O29">
        <v>2.2599999999999998</v>
      </c>
      <c r="P29" s="6">
        <f t="shared" ref="P29:P31" si="12">SUM(D29*31,E29*30,F29*31,G29*31,H29*28,I29*31,J29*30,K29*31,L29*30,M29*31,N29*31,O29*30)</f>
        <v>53350.53</v>
      </c>
      <c r="Q29" s="25">
        <f t="shared" ref="Q29:Q31" si="13">(P29*1.983471074)/1000</f>
        <v>105.81923303756921</v>
      </c>
    </row>
    <row r="30" spans="1:18" x14ac:dyDescent="0.25">
      <c r="B30" s="11" t="s">
        <v>194</v>
      </c>
      <c r="C30">
        <v>11143000</v>
      </c>
      <c r="D30">
        <v>148</v>
      </c>
      <c r="E30">
        <v>38.200000000000003</v>
      </c>
      <c r="F30">
        <v>80</v>
      </c>
      <c r="G30">
        <v>340</v>
      </c>
      <c r="H30">
        <v>331</v>
      </c>
      <c r="I30">
        <v>311</v>
      </c>
      <c r="J30">
        <v>259</v>
      </c>
      <c r="K30">
        <v>126</v>
      </c>
      <c r="L30">
        <v>68.900000000000006</v>
      </c>
      <c r="M30">
        <v>44.7</v>
      </c>
      <c r="N30">
        <v>32</v>
      </c>
      <c r="O30">
        <v>25.4</v>
      </c>
      <c r="P30" s="6">
        <f t="shared" si="12"/>
        <v>54545.7</v>
      </c>
      <c r="Q30" s="25">
        <f t="shared" si="13"/>
        <v>108.18981816108179</v>
      </c>
    </row>
    <row r="31" spans="1:18" x14ac:dyDescent="0.25">
      <c r="B31" s="11" t="s">
        <v>195</v>
      </c>
      <c r="C31">
        <v>11135800</v>
      </c>
      <c r="D31">
        <v>0</v>
      </c>
      <c r="E31">
        <v>0</v>
      </c>
      <c r="F31">
        <v>0</v>
      </c>
      <c r="G31">
        <v>0.11</v>
      </c>
      <c r="H31">
        <v>0.3</v>
      </c>
      <c r="I31">
        <v>0</v>
      </c>
      <c r="J31">
        <v>0</v>
      </c>
      <c r="K31">
        <v>0</v>
      </c>
      <c r="L31">
        <v>0</v>
      </c>
      <c r="M31">
        <v>0</v>
      </c>
      <c r="N31">
        <v>0</v>
      </c>
      <c r="O31">
        <v>0</v>
      </c>
      <c r="P31" s="6">
        <f t="shared" si="12"/>
        <v>11.81</v>
      </c>
      <c r="Q31" s="25">
        <f t="shared" si="13"/>
        <v>2.3424793383940001E-2</v>
      </c>
    </row>
    <row r="32" spans="1:18" x14ac:dyDescent="0.25">
      <c r="B32" t="s">
        <v>196</v>
      </c>
      <c r="C32">
        <v>11132500</v>
      </c>
      <c r="D32">
        <v>0.14000000000000001</v>
      </c>
      <c r="E32">
        <v>0.3</v>
      </c>
      <c r="F32">
        <v>0.95</v>
      </c>
      <c r="G32">
        <v>31</v>
      </c>
      <c r="H32">
        <v>36</v>
      </c>
      <c r="I32">
        <v>6.6</v>
      </c>
      <c r="J32">
        <v>3.2</v>
      </c>
      <c r="K32">
        <v>2.2000000000000002</v>
      </c>
      <c r="L32">
        <v>1.1000000000000001</v>
      </c>
      <c r="M32">
        <v>0.5</v>
      </c>
      <c r="N32">
        <v>0.24</v>
      </c>
      <c r="O32">
        <v>0.21</v>
      </c>
      <c r="P32" s="6">
        <f t="shared" ref="P32:P33" si="14">SUM(D32*31,E32*30,F32*31,G32*31,H32*28,I32*31,J32*30,K32*31,L32*30,M32*31,N32*31,O32*30)</f>
        <v>2442.83</v>
      </c>
      <c r="Q32" s="25">
        <f t="shared" ref="Q32:Q33" si="15">(P32*1.983471074)/1000</f>
        <v>4.8452826436994192</v>
      </c>
    </row>
    <row r="33" spans="1:18" x14ac:dyDescent="0.25">
      <c r="B33" t="s">
        <v>197</v>
      </c>
      <c r="C33">
        <v>11133000</v>
      </c>
      <c r="D33">
        <v>0</v>
      </c>
      <c r="E33">
        <v>0</v>
      </c>
      <c r="F33">
        <v>0</v>
      </c>
      <c r="G33">
        <v>184</v>
      </c>
      <c r="H33">
        <v>181</v>
      </c>
      <c r="I33">
        <v>68</v>
      </c>
      <c r="J33">
        <v>51</v>
      </c>
      <c r="K33">
        <v>13</v>
      </c>
      <c r="L33">
        <v>1.8</v>
      </c>
      <c r="M33">
        <v>0.45</v>
      </c>
      <c r="N33">
        <v>22</v>
      </c>
      <c r="O33">
        <v>19</v>
      </c>
      <c r="P33" s="6">
        <f t="shared" si="14"/>
        <v>16132.95</v>
      </c>
      <c r="Q33" s="25">
        <f t="shared" si="15"/>
        <v>31.9992396632883</v>
      </c>
    </row>
    <row r="34" spans="1:18" x14ac:dyDescent="0.25">
      <c r="B34" t="s">
        <v>198</v>
      </c>
      <c r="C34">
        <v>11134800</v>
      </c>
      <c r="Q34" s="25"/>
    </row>
    <row r="35" spans="1:18" x14ac:dyDescent="0.25">
      <c r="B35" t="s">
        <v>199</v>
      </c>
      <c r="C35">
        <v>11120000</v>
      </c>
      <c r="D35">
        <v>13</v>
      </c>
      <c r="E35">
        <v>0.16</v>
      </c>
      <c r="F35">
        <v>4.4000000000000004</v>
      </c>
      <c r="G35">
        <v>28</v>
      </c>
      <c r="H35">
        <v>18</v>
      </c>
      <c r="I35">
        <v>3.5</v>
      </c>
      <c r="J35">
        <v>4.2</v>
      </c>
      <c r="K35">
        <v>0.17</v>
      </c>
      <c r="L35">
        <v>0.16</v>
      </c>
      <c r="M35">
        <v>0.1</v>
      </c>
      <c r="N35">
        <v>0.08</v>
      </c>
      <c r="O35">
        <v>0.12</v>
      </c>
      <c r="P35" s="6">
        <f t="shared" ref="P35:P36" si="16">SUM(D35*31,E35*30,F35*31,G35*31,H35*28,I35*31,J35*30,K35*31,L35*30,M35*31,N35*31,O35*30)</f>
        <v>2169.9499999999998</v>
      </c>
      <c r="Q35" s="25">
        <f t="shared" ref="Q35:Q36" si="17">(P35*1.983471074)/1000</f>
        <v>4.3040330570262997</v>
      </c>
    </row>
    <row r="36" spans="1:18" x14ac:dyDescent="0.25">
      <c r="B36" t="s">
        <v>200</v>
      </c>
      <c r="C36">
        <v>11121010</v>
      </c>
      <c r="D36">
        <v>1.8</v>
      </c>
      <c r="E36">
        <v>2.9</v>
      </c>
      <c r="F36">
        <v>1.6</v>
      </c>
      <c r="G36">
        <v>0.93</v>
      </c>
      <c r="H36">
        <v>0.7</v>
      </c>
      <c r="I36">
        <v>1.3</v>
      </c>
      <c r="J36">
        <v>1.5</v>
      </c>
      <c r="K36">
        <v>1.8</v>
      </c>
      <c r="L36">
        <v>2.1</v>
      </c>
      <c r="M36">
        <v>2.2000000000000002</v>
      </c>
      <c r="N36">
        <v>2.2000000000000002</v>
      </c>
      <c r="O36">
        <v>2.1</v>
      </c>
      <c r="P36" s="6">
        <f t="shared" si="16"/>
        <v>644.33000000000004</v>
      </c>
      <c r="Q36" s="25">
        <f t="shared" si="17"/>
        <v>1.27800991711042</v>
      </c>
    </row>
    <row r="37" spans="1:18" x14ac:dyDescent="0.25">
      <c r="Q37" s="25"/>
      <c r="R37" s="26">
        <f>SUM(Q24:Q36)</f>
        <v>687.92528912434614</v>
      </c>
    </row>
    <row r="38" spans="1:18" x14ac:dyDescent="0.25">
      <c r="A38" t="s">
        <v>98</v>
      </c>
      <c r="B38" t="s">
        <v>201</v>
      </c>
      <c r="C38">
        <v>11118500</v>
      </c>
      <c r="D38">
        <v>3.6</v>
      </c>
      <c r="E38">
        <v>2.5</v>
      </c>
      <c r="F38">
        <v>4.0999999999999996</v>
      </c>
      <c r="G38">
        <v>115</v>
      </c>
      <c r="H38">
        <v>77</v>
      </c>
      <c r="I38">
        <v>55</v>
      </c>
      <c r="J38">
        <v>36</v>
      </c>
      <c r="K38">
        <v>29</v>
      </c>
      <c r="L38">
        <v>16</v>
      </c>
      <c r="M38">
        <v>9.6999999999999993</v>
      </c>
      <c r="N38">
        <v>7</v>
      </c>
      <c r="O38">
        <v>5.7</v>
      </c>
      <c r="P38" s="6">
        <f t="shared" ref="P38:P48" si="18">SUM(D38*31,E38*30,F38*31,G38*31,H38*28,I38*31,J38*30,K38*31,L38*30,M38*31,N38*31,O38*30)</f>
        <v>10887.400000000001</v>
      </c>
      <c r="Q38" s="25">
        <f t="shared" ref="Q38:Q48" si="19">(P38*1.983471074)/1000</f>
        <v>21.594842971067603</v>
      </c>
    </row>
    <row r="39" spans="1:18" x14ac:dyDescent="0.25">
      <c r="B39" t="s">
        <v>202</v>
      </c>
      <c r="C39">
        <v>11106550</v>
      </c>
      <c r="D39">
        <v>76</v>
      </c>
      <c r="E39">
        <v>8</v>
      </c>
      <c r="F39">
        <v>86</v>
      </c>
      <c r="G39">
        <v>239</v>
      </c>
      <c r="H39">
        <v>130</v>
      </c>
      <c r="I39">
        <v>19</v>
      </c>
      <c r="J39">
        <v>32</v>
      </c>
      <c r="K39">
        <v>11</v>
      </c>
      <c r="L39">
        <v>6.1</v>
      </c>
      <c r="M39">
        <v>6</v>
      </c>
      <c r="N39">
        <v>10</v>
      </c>
      <c r="O39">
        <v>8.3000000000000007</v>
      </c>
      <c r="P39" s="6">
        <f t="shared" si="18"/>
        <v>19129</v>
      </c>
      <c r="Q39" s="25">
        <f t="shared" si="19"/>
        <v>37.941818174545993</v>
      </c>
    </row>
    <row r="40" spans="1:18" x14ac:dyDescent="0.25">
      <c r="B40" t="s">
        <v>203</v>
      </c>
      <c r="C40">
        <v>11087020</v>
      </c>
      <c r="D40">
        <v>114</v>
      </c>
      <c r="E40">
        <v>62</v>
      </c>
      <c r="F40">
        <v>268</v>
      </c>
      <c r="G40">
        <v>484</v>
      </c>
      <c r="H40">
        <v>398</v>
      </c>
      <c r="I40">
        <v>164</v>
      </c>
      <c r="J40">
        <v>337</v>
      </c>
      <c r="K40">
        <v>46</v>
      </c>
      <c r="L40">
        <v>38</v>
      </c>
      <c r="M40">
        <v>37</v>
      </c>
      <c r="N40">
        <v>35</v>
      </c>
      <c r="O40">
        <v>42</v>
      </c>
      <c r="P40" s="6">
        <f t="shared" si="18"/>
        <v>61102</v>
      </c>
      <c r="Q40" s="25">
        <f t="shared" si="19"/>
        <v>121.19404956354799</v>
      </c>
    </row>
    <row r="41" spans="1:18" x14ac:dyDescent="0.25">
      <c r="B41" t="s">
        <v>204</v>
      </c>
      <c r="C41">
        <v>11092450</v>
      </c>
      <c r="D41">
        <v>132</v>
      </c>
      <c r="E41">
        <v>52</v>
      </c>
      <c r="F41">
        <v>148</v>
      </c>
      <c r="G41">
        <v>423</v>
      </c>
      <c r="H41">
        <v>284</v>
      </c>
      <c r="I41">
        <v>92</v>
      </c>
      <c r="J41">
        <v>117</v>
      </c>
      <c r="K41">
        <v>67</v>
      </c>
      <c r="L41">
        <v>59</v>
      </c>
      <c r="M41">
        <v>57</v>
      </c>
      <c r="N41">
        <v>56</v>
      </c>
      <c r="O41">
        <v>57</v>
      </c>
      <c r="P41" s="6">
        <f t="shared" si="18"/>
        <v>46727</v>
      </c>
      <c r="Q41" s="25">
        <f t="shared" si="19"/>
        <v>92.68165287479799</v>
      </c>
    </row>
    <row r="42" spans="1:18" x14ac:dyDescent="0.25">
      <c r="B42" t="s">
        <v>205</v>
      </c>
      <c r="C42">
        <v>11089500</v>
      </c>
      <c r="D42">
        <v>1.5</v>
      </c>
      <c r="E42">
        <v>0.34</v>
      </c>
      <c r="F42">
        <v>4</v>
      </c>
      <c r="G42">
        <v>18</v>
      </c>
      <c r="H42">
        <v>12</v>
      </c>
      <c r="I42">
        <v>1.3</v>
      </c>
      <c r="J42">
        <v>2.2000000000000002</v>
      </c>
      <c r="K42">
        <v>0.56999999999999995</v>
      </c>
      <c r="L42">
        <v>0.57999999999999996</v>
      </c>
      <c r="M42">
        <v>0.28000000000000003</v>
      </c>
      <c r="N42">
        <v>0.28000000000000003</v>
      </c>
      <c r="O42">
        <v>0.35</v>
      </c>
      <c r="P42" s="6">
        <f t="shared" si="18"/>
        <v>1243.9300000000003</v>
      </c>
      <c r="Q42" s="25">
        <f t="shared" si="19"/>
        <v>2.4672991730808205</v>
      </c>
    </row>
    <row r="43" spans="1:18" x14ac:dyDescent="0.25">
      <c r="B43" t="s">
        <v>206</v>
      </c>
      <c r="C43">
        <v>11088500</v>
      </c>
      <c r="D43">
        <v>2.1</v>
      </c>
      <c r="E43">
        <v>0.47</v>
      </c>
      <c r="F43">
        <v>7.3</v>
      </c>
      <c r="G43">
        <v>36</v>
      </c>
      <c r="H43">
        <v>33</v>
      </c>
      <c r="I43">
        <v>5.6</v>
      </c>
      <c r="J43">
        <v>6</v>
      </c>
      <c r="K43">
        <v>1.6</v>
      </c>
      <c r="L43">
        <v>1.1000000000000001</v>
      </c>
      <c r="M43">
        <v>0.56000000000000005</v>
      </c>
      <c r="N43">
        <v>0.48</v>
      </c>
      <c r="O43">
        <v>0.56999999999999995</v>
      </c>
      <c r="P43" s="6">
        <f t="shared" si="18"/>
        <v>2831.04</v>
      </c>
      <c r="Q43" s="25">
        <f t="shared" si="19"/>
        <v>5.6152859493369593</v>
      </c>
    </row>
    <row r="44" spans="1:18" x14ac:dyDescent="0.25">
      <c r="B44" t="s">
        <v>207</v>
      </c>
      <c r="C44">
        <v>11048600</v>
      </c>
      <c r="D44">
        <v>0.83</v>
      </c>
      <c r="E44">
        <v>0.71</v>
      </c>
      <c r="F44">
        <v>2.8</v>
      </c>
      <c r="G44">
        <v>11</v>
      </c>
      <c r="H44">
        <v>6.9</v>
      </c>
      <c r="I44">
        <v>1.1000000000000001</v>
      </c>
      <c r="J44">
        <v>1.7</v>
      </c>
      <c r="K44">
        <v>0.72</v>
      </c>
      <c r="L44">
        <v>0.71</v>
      </c>
      <c r="M44">
        <v>0.64</v>
      </c>
      <c r="N44">
        <v>0.57999999999999996</v>
      </c>
      <c r="O44">
        <v>0.56000000000000005</v>
      </c>
      <c r="P44" s="6">
        <f t="shared" si="18"/>
        <v>851.37</v>
      </c>
      <c r="Q44" s="25">
        <f t="shared" si="19"/>
        <v>1.6886677682713798</v>
      </c>
    </row>
    <row r="45" spans="1:18" x14ac:dyDescent="0.25">
      <c r="B45" t="s">
        <v>208</v>
      </c>
      <c r="C45">
        <v>11078000</v>
      </c>
      <c r="D45">
        <v>2.4</v>
      </c>
      <c r="E45">
        <v>0</v>
      </c>
      <c r="F45">
        <v>33</v>
      </c>
      <c r="G45">
        <v>1070</v>
      </c>
      <c r="H45">
        <v>487</v>
      </c>
      <c r="I45">
        <v>68</v>
      </c>
      <c r="J45">
        <v>9.9</v>
      </c>
      <c r="K45">
        <v>0</v>
      </c>
      <c r="L45">
        <v>0</v>
      </c>
      <c r="M45">
        <v>0</v>
      </c>
      <c r="N45">
        <v>0</v>
      </c>
      <c r="O45">
        <v>0</v>
      </c>
      <c r="P45" s="6">
        <f t="shared" si="18"/>
        <v>50308.4</v>
      </c>
      <c r="Q45" s="25">
        <f t="shared" si="19"/>
        <v>99.785256179221605</v>
      </c>
    </row>
    <row r="46" spans="1:18" x14ac:dyDescent="0.25">
      <c r="B46" t="s">
        <v>209</v>
      </c>
      <c r="C46">
        <v>11047300</v>
      </c>
      <c r="D46">
        <v>3.7</v>
      </c>
      <c r="E46">
        <v>1.8</v>
      </c>
      <c r="F46">
        <v>30</v>
      </c>
      <c r="G46">
        <v>97</v>
      </c>
      <c r="H46">
        <v>65</v>
      </c>
      <c r="I46">
        <v>14</v>
      </c>
      <c r="J46">
        <v>15</v>
      </c>
      <c r="K46">
        <v>6.3</v>
      </c>
      <c r="L46">
        <v>2.9</v>
      </c>
      <c r="M46">
        <v>2.8</v>
      </c>
      <c r="N46">
        <v>1.5</v>
      </c>
      <c r="O46">
        <v>1.7</v>
      </c>
      <c r="P46" s="6">
        <f t="shared" si="18"/>
        <v>7276.3</v>
      </c>
      <c r="Q46" s="25">
        <f t="shared" si="19"/>
        <v>14.432330575746199</v>
      </c>
    </row>
    <row r="47" spans="1:18" x14ac:dyDescent="0.25">
      <c r="B47" t="s">
        <v>210</v>
      </c>
      <c r="C47">
        <v>11046360</v>
      </c>
      <c r="D47">
        <v>0</v>
      </c>
      <c r="E47">
        <v>0</v>
      </c>
      <c r="F47">
        <v>0.52</v>
      </c>
      <c r="G47">
        <v>6.8</v>
      </c>
      <c r="H47">
        <v>3.2</v>
      </c>
      <c r="I47">
        <v>0</v>
      </c>
      <c r="J47">
        <v>0</v>
      </c>
      <c r="K47">
        <v>0</v>
      </c>
      <c r="L47">
        <v>0</v>
      </c>
      <c r="M47">
        <v>0</v>
      </c>
      <c r="N47">
        <v>0</v>
      </c>
      <c r="O47">
        <v>0</v>
      </c>
      <c r="P47" s="6">
        <f t="shared" si="18"/>
        <v>316.52</v>
      </c>
      <c r="Q47" s="25">
        <f t="shared" si="19"/>
        <v>0.62780826434247994</v>
      </c>
    </row>
    <row r="48" spans="1:18" x14ac:dyDescent="0.25">
      <c r="B48" t="s">
        <v>211</v>
      </c>
      <c r="C48">
        <v>11046250</v>
      </c>
      <c r="D48">
        <v>0</v>
      </c>
      <c r="E48">
        <v>0</v>
      </c>
      <c r="F48">
        <v>0.67</v>
      </c>
      <c r="G48">
        <v>9</v>
      </c>
      <c r="H48">
        <v>4.3</v>
      </c>
      <c r="I48">
        <v>0</v>
      </c>
      <c r="J48">
        <v>0.08</v>
      </c>
      <c r="K48">
        <v>0</v>
      </c>
      <c r="L48">
        <v>0</v>
      </c>
      <c r="M48">
        <v>0</v>
      </c>
      <c r="N48">
        <v>0</v>
      </c>
      <c r="O48">
        <v>0</v>
      </c>
      <c r="P48" s="6">
        <f t="shared" si="18"/>
        <v>422.56999999999994</v>
      </c>
      <c r="Q48" s="25">
        <f t="shared" si="19"/>
        <v>0.83815537174017984</v>
      </c>
    </row>
    <row r="49" spans="1:18" x14ac:dyDescent="0.25">
      <c r="B49" t="s">
        <v>212</v>
      </c>
      <c r="C49">
        <v>11046100</v>
      </c>
      <c r="G49">
        <v>2.9</v>
      </c>
      <c r="H49">
        <v>1.2</v>
      </c>
      <c r="Q49" s="25"/>
    </row>
    <row r="50" spans="1:18" x14ac:dyDescent="0.25">
      <c r="B50" t="s">
        <v>213</v>
      </c>
      <c r="C50">
        <v>11023000</v>
      </c>
      <c r="D50">
        <v>1.2</v>
      </c>
      <c r="E50">
        <v>2.1</v>
      </c>
      <c r="F50">
        <v>84</v>
      </c>
      <c r="G50">
        <v>215</v>
      </c>
      <c r="H50">
        <v>93</v>
      </c>
      <c r="I50">
        <v>51</v>
      </c>
      <c r="J50">
        <v>48</v>
      </c>
      <c r="K50">
        <v>9.1999999999999993</v>
      </c>
      <c r="L50">
        <v>3.5</v>
      </c>
      <c r="M50">
        <v>2.1</v>
      </c>
      <c r="N50">
        <v>1.1000000000000001</v>
      </c>
      <c r="O50">
        <v>1.2</v>
      </c>
      <c r="P50" s="6">
        <f t="shared" ref="P50:P51" si="20">SUM(D50*31,E50*30,F50*31,G50*31,H50*28,I50*31,J50*30,K50*31,L50*30,M50*31,N50*31,O50*30)</f>
        <v>15519.600000000002</v>
      </c>
      <c r="Q50" s="25">
        <f t="shared" ref="Q50:Q51" si="21">(P50*1.983471074)/1000</f>
        <v>30.782677680050401</v>
      </c>
    </row>
    <row r="51" spans="1:18" x14ac:dyDescent="0.25">
      <c r="B51" t="s">
        <v>214</v>
      </c>
      <c r="C51">
        <v>11014000</v>
      </c>
      <c r="D51">
        <v>0</v>
      </c>
      <c r="E51">
        <v>0</v>
      </c>
      <c r="F51">
        <v>0.03</v>
      </c>
      <c r="G51">
        <v>16</v>
      </c>
      <c r="H51">
        <v>21</v>
      </c>
      <c r="I51">
        <v>15</v>
      </c>
      <c r="J51">
        <v>3.3</v>
      </c>
      <c r="K51">
        <v>2.5</v>
      </c>
      <c r="L51">
        <v>0.3</v>
      </c>
      <c r="M51">
        <v>0</v>
      </c>
      <c r="N51">
        <v>0</v>
      </c>
      <c r="O51">
        <v>0</v>
      </c>
      <c r="P51" s="6">
        <f t="shared" si="20"/>
        <v>1735.43</v>
      </c>
      <c r="Q51" s="25">
        <f t="shared" si="21"/>
        <v>3.4421752059518198</v>
      </c>
    </row>
    <row r="52" spans="1:18" x14ac:dyDescent="0.25">
      <c r="R52" s="26">
        <f>SUM(Q38:Q51)</f>
        <v>433.09201975170151</v>
      </c>
    </row>
    <row r="53" spans="1:18" x14ac:dyDescent="0.25">
      <c r="B53" s="29"/>
    </row>
    <row r="54" spans="1:18" x14ac:dyDescent="0.25">
      <c r="B54" s="29"/>
    </row>
    <row r="56" spans="1:18" x14ac:dyDescent="0.25">
      <c r="A56" s="27" t="s">
        <v>224</v>
      </c>
      <c r="B56">
        <f>(24*60*60)/43560</f>
        <v>1.9834710743801653</v>
      </c>
      <c r="C56" t="s">
        <v>225</v>
      </c>
    </row>
  </sheetData>
  <mergeCells count="2">
    <mergeCell ref="D1:O1"/>
    <mergeCell ref="S1:AD1"/>
  </mergeCells>
  <pageMargins left="0.7" right="0.7" top="0.56999999999999995" bottom="0.52" header="0.3" footer="0.3"/>
  <pageSetup paperSize="17"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workbookViewId="0">
      <selection activeCell="M198" sqref="M198"/>
    </sheetView>
  </sheetViews>
  <sheetFormatPr defaultRowHeight="12.5" x14ac:dyDescent="0.25"/>
  <sheetData>
    <row r="1" spans="1:12" x14ac:dyDescent="0.25">
      <c r="A1" t="s">
        <v>245</v>
      </c>
      <c r="F1" s="135" t="s">
        <v>250</v>
      </c>
      <c r="J1" s="135" t="s">
        <v>252</v>
      </c>
    </row>
    <row r="2" spans="1:12" x14ac:dyDescent="0.25">
      <c r="C2" s="135" t="s">
        <v>246</v>
      </c>
      <c r="D2" s="135" t="s">
        <v>247</v>
      </c>
    </row>
    <row r="3" spans="1:12" x14ac:dyDescent="0.25">
      <c r="B3" s="142">
        <v>37165</v>
      </c>
      <c r="C3" s="139">
        <v>376600</v>
      </c>
      <c r="D3" s="140"/>
      <c r="F3" s="142">
        <v>38626</v>
      </c>
      <c r="G3" s="139">
        <v>27932</v>
      </c>
      <c r="H3" s="140"/>
      <c r="J3" s="142">
        <v>36069</v>
      </c>
      <c r="K3" s="139">
        <v>85090</v>
      </c>
      <c r="L3" s="140"/>
    </row>
    <row r="4" spans="1:12" x14ac:dyDescent="0.25">
      <c r="B4" s="142">
        <v>37196</v>
      </c>
      <c r="C4" s="139">
        <v>383800</v>
      </c>
      <c r="D4" s="140"/>
      <c r="F4" s="142">
        <v>38657</v>
      </c>
      <c r="G4" s="139">
        <v>22401</v>
      </c>
      <c r="H4" s="140"/>
      <c r="J4" s="142">
        <v>36100</v>
      </c>
      <c r="K4" s="139">
        <v>127800</v>
      </c>
      <c r="L4" s="140"/>
    </row>
    <row r="5" spans="1:12" x14ac:dyDescent="0.25">
      <c r="B5" s="142">
        <v>37226</v>
      </c>
      <c r="C5" s="139">
        <v>333300</v>
      </c>
      <c r="D5" s="140"/>
      <c r="F5" s="142">
        <v>38687</v>
      </c>
      <c r="G5" s="139">
        <v>773</v>
      </c>
      <c r="H5" s="140"/>
      <c r="J5" s="142">
        <v>36130</v>
      </c>
      <c r="K5" s="139">
        <v>196400</v>
      </c>
      <c r="L5" s="140"/>
    </row>
    <row r="6" spans="1:12" x14ac:dyDescent="0.25">
      <c r="B6" s="142">
        <v>37257</v>
      </c>
      <c r="C6" s="139">
        <v>317600</v>
      </c>
      <c r="D6" s="140"/>
      <c r="F6" s="142">
        <v>38718</v>
      </c>
      <c r="G6" s="139">
        <v>141</v>
      </c>
      <c r="H6" s="140"/>
      <c r="J6" s="142">
        <v>36161</v>
      </c>
      <c r="K6" s="139">
        <v>213700</v>
      </c>
      <c r="L6" s="140"/>
    </row>
    <row r="7" spans="1:12" x14ac:dyDescent="0.25">
      <c r="B7" s="142">
        <v>37288</v>
      </c>
      <c r="C7" s="139">
        <v>255700</v>
      </c>
      <c r="D7" s="140"/>
      <c r="F7" s="142">
        <v>38749</v>
      </c>
      <c r="G7" s="139">
        <v>436</v>
      </c>
      <c r="H7" s="140"/>
      <c r="J7" s="142">
        <v>36192</v>
      </c>
      <c r="K7" s="139">
        <v>231200</v>
      </c>
      <c r="L7" s="140"/>
    </row>
    <row r="8" spans="1:12" x14ac:dyDescent="0.25">
      <c r="B8" s="142">
        <v>37316</v>
      </c>
      <c r="C8" s="139">
        <v>338400</v>
      </c>
      <c r="D8" s="140"/>
      <c r="F8" s="142">
        <v>38777</v>
      </c>
      <c r="G8" s="139">
        <v>3652</v>
      </c>
      <c r="H8" s="140"/>
      <c r="J8" s="142">
        <v>36220</v>
      </c>
      <c r="K8" s="139">
        <v>444600</v>
      </c>
      <c r="L8" s="140"/>
    </row>
    <row r="9" spans="1:12" x14ac:dyDescent="0.25">
      <c r="B9" s="142">
        <v>37347</v>
      </c>
      <c r="C9" s="139">
        <v>366800</v>
      </c>
      <c r="D9" s="140"/>
      <c r="F9" s="142">
        <v>38808</v>
      </c>
      <c r="G9" s="139">
        <v>28201</v>
      </c>
      <c r="H9" s="140"/>
      <c r="J9" s="142">
        <v>36251</v>
      </c>
      <c r="K9" s="139">
        <v>331800</v>
      </c>
      <c r="L9" s="140"/>
    </row>
    <row r="10" spans="1:12" x14ac:dyDescent="0.25">
      <c r="B10" s="142">
        <v>37377</v>
      </c>
      <c r="C10" s="139">
        <v>445000</v>
      </c>
      <c r="D10" s="140"/>
      <c r="F10" s="142">
        <v>38838</v>
      </c>
      <c r="G10" s="139">
        <v>11911</v>
      </c>
      <c r="H10" s="140"/>
      <c r="J10" s="142">
        <v>36281</v>
      </c>
      <c r="K10" s="139">
        <v>192300</v>
      </c>
      <c r="L10" s="140"/>
    </row>
    <row r="11" spans="1:12" x14ac:dyDescent="0.25">
      <c r="B11" s="142">
        <v>37408</v>
      </c>
      <c r="C11" s="139">
        <v>421800</v>
      </c>
      <c r="D11" s="140"/>
      <c r="F11" s="142">
        <v>38869</v>
      </c>
      <c r="G11" s="139">
        <v>23429</v>
      </c>
      <c r="H11" s="140"/>
      <c r="J11" s="142">
        <v>36312</v>
      </c>
      <c r="K11" s="139">
        <v>114000</v>
      </c>
      <c r="L11" s="140"/>
    </row>
    <row r="12" spans="1:12" x14ac:dyDescent="0.25">
      <c r="B12" s="142">
        <v>37438</v>
      </c>
      <c r="C12" s="139">
        <v>200400</v>
      </c>
      <c r="D12" s="140"/>
      <c r="F12" s="142">
        <v>38899</v>
      </c>
      <c r="G12" s="139">
        <v>28378</v>
      </c>
      <c r="H12" s="140"/>
      <c r="J12" s="142">
        <v>36342</v>
      </c>
      <c r="K12" s="139">
        <v>82140</v>
      </c>
      <c r="L12" s="140"/>
    </row>
    <row r="13" spans="1:12" x14ac:dyDescent="0.25">
      <c r="B13" s="142">
        <v>37469</v>
      </c>
      <c r="C13" s="139">
        <v>238100</v>
      </c>
      <c r="D13" s="140"/>
      <c r="F13" s="142">
        <v>38930</v>
      </c>
      <c r="G13" s="139">
        <v>26061</v>
      </c>
      <c r="H13" s="140"/>
      <c r="J13" s="142">
        <v>36373</v>
      </c>
      <c r="K13" s="139">
        <v>70530</v>
      </c>
      <c r="L13" s="140"/>
    </row>
    <row r="14" spans="1:12" x14ac:dyDescent="0.25">
      <c r="B14" s="142">
        <v>37500</v>
      </c>
      <c r="C14" s="139">
        <v>392200</v>
      </c>
      <c r="D14">
        <f>SUM(C3:C14)/1000</f>
        <v>4069.7</v>
      </c>
      <c r="F14" s="142">
        <v>38961</v>
      </c>
      <c r="G14" s="139">
        <v>23788</v>
      </c>
      <c r="H14">
        <f>SUM(G3:G14)/1000</f>
        <v>197.10300000000001</v>
      </c>
      <c r="J14" s="142">
        <v>36404</v>
      </c>
      <c r="K14" s="139">
        <v>79700</v>
      </c>
      <c r="L14">
        <f>SUM(K3:K14)/1000</f>
        <v>2169.2600000000002</v>
      </c>
    </row>
    <row r="15" spans="1:12" x14ac:dyDescent="0.25">
      <c r="B15" s="142">
        <v>37530</v>
      </c>
      <c r="C15" s="139">
        <v>371700</v>
      </c>
      <c r="D15" s="140"/>
      <c r="F15" s="142">
        <v>38991</v>
      </c>
      <c r="G15" s="139">
        <v>27151</v>
      </c>
      <c r="H15" s="140"/>
      <c r="J15" s="142">
        <v>36434</v>
      </c>
      <c r="K15" s="139">
        <v>87950</v>
      </c>
      <c r="L15" s="140"/>
    </row>
    <row r="16" spans="1:12" x14ac:dyDescent="0.25">
      <c r="B16" s="142">
        <v>37561</v>
      </c>
      <c r="C16" s="139">
        <v>383700</v>
      </c>
      <c r="D16" s="140"/>
      <c r="F16" s="142">
        <v>39022</v>
      </c>
      <c r="G16" s="139">
        <v>30766</v>
      </c>
      <c r="H16" s="140"/>
      <c r="J16" s="142">
        <v>36465</v>
      </c>
      <c r="K16" s="139">
        <v>108400</v>
      </c>
      <c r="L16" s="140"/>
    </row>
    <row r="17" spans="2:12" x14ac:dyDescent="0.25">
      <c r="B17" s="142">
        <v>37591</v>
      </c>
      <c r="C17" s="139">
        <v>279000</v>
      </c>
      <c r="D17" s="140"/>
      <c r="F17" s="142">
        <v>39052</v>
      </c>
      <c r="G17" s="139">
        <v>30306</v>
      </c>
      <c r="H17" s="140"/>
      <c r="J17" s="142">
        <v>36495</v>
      </c>
      <c r="K17" s="139">
        <v>112000</v>
      </c>
      <c r="L17" s="140"/>
    </row>
    <row r="18" spans="2:12" x14ac:dyDescent="0.25">
      <c r="B18" s="142">
        <v>37622</v>
      </c>
      <c r="C18" s="139">
        <v>263900</v>
      </c>
      <c r="D18" s="140"/>
      <c r="F18" s="142">
        <v>39083</v>
      </c>
      <c r="G18" s="139">
        <v>3214</v>
      </c>
      <c r="H18" s="140"/>
      <c r="J18" s="142">
        <v>36526</v>
      </c>
      <c r="K18" s="139">
        <v>171700</v>
      </c>
      <c r="L18" s="140"/>
    </row>
    <row r="19" spans="2:12" x14ac:dyDescent="0.25">
      <c r="B19" s="142">
        <v>37653</v>
      </c>
      <c r="C19" s="139">
        <v>281300</v>
      </c>
      <c r="D19" s="140"/>
      <c r="F19" s="142">
        <v>39114</v>
      </c>
      <c r="G19" s="139">
        <v>21</v>
      </c>
      <c r="H19" s="140"/>
      <c r="J19" s="142">
        <v>36557</v>
      </c>
      <c r="K19" s="139">
        <v>211900</v>
      </c>
      <c r="L19" s="140"/>
    </row>
    <row r="20" spans="2:12" x14ac:dyDescent="0.25">
      <c r="B20" s="142">
        <v>37681</v>
      </c>
      <c r="C20" s="139">
        <v>375800</v>
      </c>
      <c r="D20" s="140"/>
      <c r="F20" s="142">
        <v>39142</v>
      </c>
      <c r="G20" s="139">
        <v>223</v>
      </c>
      <c r="H20" s="140"/>
      <c r="J20" s="142">
        <v>36586</v>
      </c>
      <c r="K20" s="139">
        <v>227800</v>
      </c>
      <c r="L20" s="140"/>
    </row>
    <row r="21" spans="2:12" x14ac:dyDescent="0.25">
      <c r="B21" s="142">
        <v>37712</v>
      </c>
      <c r="C21" s="139">
        <v>386800</v>
      </c>
      <c r="D21" s="140"/>
      <c r="F21" s="142">
        <v>39173</v>
      </c>
      <c r="G21" s="139">
        <v>5815</v>
      </c>
      <c r="H21" s="140"/>
      <c r="J21" s="142">
        <v>36617</v>
      </c>
      <c r="K21" s="139">
        <v>152700</v>
      </c>
      <c r="L21" s="140"/>
    </row>
    <row r="22" spans="2:12" x14ac:dyDescent="0.25">
      <c r="B22" s="142">
        <v>37742</v>
      </c>
      <c r="C22" s="139">
        <v>1054100</v>
      </c>
      <c r="D22" s="140"/>
      <c r="F22" s="142">
        <v>39203</v>
      </c>
      <c r="G22" s="139">
        <v>7662</v>
      </c>
      <c r="H22" s="140"/>
      <c r="J22" s="142">
        <v>36647</v>
      </c>
      <c r="K22" s="139">
        <v>140300</v>
      </c>
      <c r="L22" s="140"/>
    </row>
    <row r="23" spans="2:12" x14ac:dyDescent="0.25">
      <c r="B23" s="142">
        <v>37773</v>
      </c>
      <c r="C23" s="139">
        <v>1643500</v>
      </c>
      <c r="D23" s="140"/>
      <c r="F23" s="142">
        <v>39234</v>
      </c>
      <c r="G23" s="139">
        <v>18292</v>
      </c>
      <c r="H23" s="140"/>
      <c r="J23" s="142">
        <v>36678</v>
      </c>
      <c r="K23" s="139">
        <v>79360</v>
      </c>
      <c r="L23" s="140"/>
    </row>
    <row r="24" spans="2:12" x14ac:dyDescent="0.25">
      <c r="B24" s="142">
        <v>37803</v>
      </c>
      <c r="C24" s="139">
        <v>447500</v>
      </c>
      <c r="D24" s="140"/>
      <c r="F24" s="142">
        <v>39264</v>
      </c>
      <c r="G24" s="139">
        <v>22106</v>
      </c>
      <c r="H24" s="140"/>
      <c r="J24" s="142">
        <v>36708</v>
      </c>
      <c r="K24" s="139">
        <v>64700</v>
      </c>
      <c r="L24" s="140"/>
    </row>
    <row r="25" spans="2:12" x14ac:dyDescent="0.25">
      <c r="B25" s="142">
        <v>37834</v>
      </c>
      <c r="C25" s="139">
        <v>292300</v>
      </c>
      <c r="D25" s="140"/>
      <c r="F25" s="142">
        <v>39295</v>
      </c>
      <c r="G25" s="139">
        <v>24014</v>
      </c>
      <c r="H25" s="140"/>
      <c r="J25" s="142">
        <v>36739</v>
      </c>
      <c r="K25" s="139">
        <v>65610</v>
      </c>
      <c r="L25" s="140"/>
    </row>
    <row r="26" spans="2:12" x14ac:dyDescent="0.25">
      <c r="B26" s="142">
        <v>37865</v>
      </c>
      <c r="C26" s="139">
        <v>490300</v>
      </c>
      <c r="D26">
        <f>SUM(C15:C26)/1000</f>
        <v>6269.9</v>
      </c>
      <c r="F26" s="142">
        <v>39326</v>
      </c>
      <c r="G26" s="139">
        <v>22539</v>
      </c>
      <c r="H26">
        <f>SUM(G15:G26)/1000</f>
        <v>192.10900000000001</v>
      </c>
      <c r="J26" s="142">
        <v>36770</v>
      </c>
      <c r="K26" s="139">
        <v>75350</v>
      </c>
      <c r="L26">
        <f>SUM(K15:K26)/1000</f>
        <v>1497.77</v>
      </c>
    </row>
    <row r="27" spans="2:12" x14ac:dyDescent="0.25">
      <c r="B27" s="142">
        <v>37895</v>
      </c>
      <c r="C27" s="139">
        <v>376200</v>
      </c>
      <c r="D27" s="140"/>
      <c r="F27" s="142">
        <v>39356</v>
      </c>
      <c r="G27" s="139">
        <v>6551</v>
      </c>
      <c r="H27" s="140"/>
      <c r="J27" s="142">
        <v>36800</v>
      </c>
      <c r="K27" s="139">
        <v>81520</v>
      </c>
      <c r="L27" s="140"/>
    </row>
    <row r="28" spans="2:12" x14ac:dyDescent="0.25">
      <c r="B28" s="142">
        <v>37926</v>
      </c>
      <c r="C28" s="139">
        <v>363800</v>
      </c>
      <c r="D28" s="140"/>
      <c r="F28" s="142">
        <v>39387</v>
      </c>
      <c r="G28" s="139">
        <v>7</v>
      </c>
      <c r="H28" s="140"/>
      <c r="J28" s="142">
        <v>36831</v>
      </c>
      <c r="K28" s="139">
        <v>78410</v>
      </c>
      <c r="L28" s="140"/>
    </row>
    <row r="29" spans="2:12" x14ac:dyDescent="0.25">
      <c r="B29" s="142">
        <v>37956</v>
      </c>
      <c r="C29" s="139">
        <v>311900</v>
      </c>
      <c r="D29" s="140"/>
      <c r="F29" s="142">
        <v>39417</v>
      </c>
      <c r="G29" s="139">
        <v>6</v>
      </c>
      <c r="H29" s="140"/>
      <c r="J29" s="142">
        <v>36861</v>
      </c>
      <c r="K29" s="139">
        <v>79360</v>
      </c>
      <c r="L29" s="140"/>
    </row>
    <row r="30" spans="2:12" x14ac:dyDescent="0.25">
      <c r="B30" s="142">
        <v>37987</v>
      </c>
      <c r="C30" s="139">
        <v>314300</v>
      </c>
      <c r="D30" s="140"/>
      <c r="F30" s="142">
        <v>39448</v>
      </c>
      <c r="G30" s="139">
        <v>316</v>
      </c>
      <c r="H30" s="140"/>
      <c r="J30" s="142">
        <v>36892</v>
      </c>
      <c r="K30" s="139">
        <v>79420</v>
      </c>
      <c r="L30" s="140"/>
    </row>
    <row r="31" spans="2:12" x14ac:dyDescent="0.25">
      <c r="B31" s="142">
        <v>38018</v>
      </c>
      <c r="C31" s="139">
        <v>252600</v>
      </c>
      <c r="D31" s="140"/>
      <c r="F31" s="142">
        <v>39479</v>
      </c>
      <c r="G31" s="139">
        <v>398</v>
      </c>
      <c r="H31" s="140"/>
      <c r="J31" s="142">
        <v>36923</v>
      </c>
      <c r="K31" s="139">
        <v>72020</v>
      </c>
      <c r="L31" s="140"/>
    </row>
    <row r="32" spans="2:12" x14ac:dyDescent="0.25">
      <c r="B32" s="142">
        <v>38047</v>
      </c>
      <c r="C32" s="139">
        <v>416700</v>
      </c>
      <c r="D32" s="140"/>
      <c r="F32" s="142">
        <v>39508</v>
      </c>
      <c r="G32" s="139">
        <v>23</v>
      </c>
      <c r="H32" s="140"/>
      <c r="J32" s="142">
        <v>36951</v>
      </c>
      <c r="K32" s="139">
        <v>79240</v>
      </c>
      <c r="L32" s="140"/>
    </row>
    <row r="33" spans="2:12" x14ac:dyDescent="0.25">
      <c r="B33" s="142">
        <v>38078</v>
      </c>
      <c r="C33" s="139">
        <v>609000</v>
      </c>
      <c r="D33" s="140"/>
      <c r="F33" s="142">
        <v>39539</v>
      </c>
      <c r="G33" s="139">
        <v>10981</v>
      </c>
      <c r="H33" s="140"/>
      <c r="J33" s="142">
        <v>36982</v>
      </c>
      <c r="K33" s="139">
        <v>95070</v>
      </c>
      <c r="L33" s="140"/>
    </row>
    <row r="34" spans="2:12" x14ac:dyDescent="0.25">
      <c r="B34" s="142">
        <v>38108</v>
      </c>
      <c r="C34" s="139">
        <v>972400</v>
      </c>
      <c r="D34" s="140"/>
      <c r="F34" s="142">
        <v>39569</v>
      </c>
      <c r="G34" s="139">
        <v>27664</v>
      </c>
      <c r="H34" s="140"/>
      <c r="J34" s="142">
        <v>37012</v>
      </c>
      <c r="K34" s="139">
        <v>106100</v>
      </c>
      <c r="L34" s="140"/>
    </row>
    <row r="35" spans="2:12" x14ac:dyDescent="0.25">
      <c r="B35" s="142">
        <v>38139</v>
      </c>
      <c r="C35" s="139">
        <v>835200</v>
      </c>
      <c r="D35" s="140"/>
      <c r="F35" s="142">
        <v>39600</v>
      </c>
      <c r="G35" s="139">
        <v>14422</v>
      </c>
      <c r="H35" s="140"/>
      <c r="J35" s="142">
        <v>37043</v>
      </c>
      <c r="K35" s="139">
        <v>112900</v>
      </c>
      <c r="L35" s="140"/>
    </row>
    <row r="36" spans="2:12" x14ac:dyDescent="0.25">
      <c r="B36" s="142">
        <v>38169</v>
      </c>
      <c r="C36" s="139">
        <v>468500</v>
      </c>
      <c r="D36" s="140"/>
      <c r="F36" s="142">
        <v>39630</v>
      </c>
      <c r="G36" s="139">
        <v>16287</v>
      </c>
      <c r="H36" s="140"/>
      <c r="J36" s="142">
        <v>37073</v>
      </c>
      <c r="K36" s="139">
        <v>62260</v>
      </c>
      <c r="L36" s="140"/>
    </row>
    <row r="37" spans="2:12" x14ac:dyDescent="0.25">
      <c r="B37" s="142">
        <v>38200</v>
      </c>
      <c r="C37" s="139">
        <v>302900</v>
      </c>
      <c r="D37" s="140"/>
      <c r="F37" s="142">
        <v>39661</v>
      </c>
      <c r="G37" s="139">
        <v>16266</v>
      </c>
      <c r="H37" s="140"/>
      <c r="J37" s="142">
        <v>37104</v>
      </c>
      <c r="K37" s="139">
        <v>62920</v>
      </c>
      <c r="L37" s="140"/>
    </row>
    <row r="38" spans="2:12" x14ac:dyDescent="0.25">
      <c r="B38" s="142">
        <v>38231</v>
      </c>
      <c r="C38" s="139">
        <v>414000</v>
      </c>
      <c r="D38">
        <f>SUM(C27:C38)/1000</f>
        <v>5637.5</v>
      </c>
      <c r="F38" s="142">
        <v>39692</v>
      </c>
      <c r="G38" s="139">
        <v>13682</v>
      </c>
      <c r="H38">
        <f>SUM(G27:G38)/1000</f>
        <v>106.60299999999999</v>
      </c>
      <c r="J38" s="142">
        <v>37135</v>
      </c>
      <c r="K38" s="139">
        <v>61030</v>
      </c>
      <c r="L38">
        <f>SUM(K27:K38)/1000</f>
        <v>970.25</v>
      </c>
    </row>
    <row r="39" spans="2:12" x14ac:dyDescent="0.25">
      <c r="B39" s="142">
        <v>38261</v>
      </c>
      <c r="C39" s="139">
        <v>517100</v>
      </c>
      <c r="D39" s="140"/>
      <c r="F39" s="142">
        <v>39722</v>
      </c>
      <c r="G39" s="139">
        <v>9111</v>
      </c>
      <c r="H39" s="140"/>
      <c r="J39" s="142">
        <v>37165</v>
      </c>
      <c r="K39" s="139">
        <v>80450</v>
      </c>
      <c r="L39" s="140"/>
    </row>
    <row r="40" spans="2:12" x14ac:dyDescent="0.25">
      <c r="B40" s="142">
        <v>38292</v>
      </c>
      <c r="C40" s="139">
        <v>461380</v>
      </c>
      <c r="D40" s="140"/>
      <c r="F40" s="142">
        <v>39753</v>
      </c>
      <c r="G40" s="139">
        <v>3253</v>
      </c>
      <c r="H40" s="140"/>
      <c r="J40" s="142">
        <v>37196</v>
      </c>
      <c r="K40" s="139">
        <v>78090</v>
      </c>
      <c r="L40" s="140"/>
    </row>
    <row r="41" spans="2:12" x14ac:dyDescent="0.25">
      <c r="B41" s="142">
        <v>38322</v>
      </c>
      <c r="C41" s="139">
        <v>376800</v>
      </c>
      <c r="D41" s="140"/>
      <c r="F41" s="142">
        <v>39783</v>
      </c>
      <c r="G41" s="139">
        <v>3873</v>
      </c>
      <c r="H41" s="140"/>
      <c r="J41" s="142">
        <v>37226</v>
      </c>
      <c r="K41" s="139">
        <v>81140</v>
      </c>
      <c r="L41" s="140"/>
    </row>
    <row r="42" spans="2:12" x14ac:dyDescent="0.25">
      <c r="B42" s="142">
        <v>38353</v>
      </c>
      <c r="C42" s="139">
        <v>502700</v>
      </c>
      <c r="D42" s="140"/>
      <c r="F42" s="142">
        <v>39814</v>
      </c>
      <c r="G42" s="139">
        <v>6340</v>
      </c>
      <c r="H42" s="140"/>
      <c r="J42" s="142">
        <v>37257</v>
      </c>
      <c r="K42" s="139">
        <v>110300</v>
      </c>
      <c r="L42" s="140"/>
    </row>
    <row r="43" spans="2:12" x14ac:dyDescent="0.25">
      <c r="B43" s="142">
        <v>38384</v>
      </c>
      <c r="C43" s="139">
        <v>471880</v>
      </c>
      <c r="D43" s="140"/>
      <c r="F43" s="142">
        <v>39845</v>
      </c>
      <c r="G43" s="139">
        <v>4069</v>
      </c>
      <c r="H43" s="140"/>
      <c r="J43" s="142">
        <v>37288</v>
      </c>
      <c r="K43" s="139">
        <v>103000</v>
      </c>
      <c r="L43" s="140"/>
    </row>
    <row r="44" spans="2:12" x14ac:dyDescent="0.25">
      <c r="B44" s="142">
        <v>38412</v>
      </c>
      <c r="C44" s="139">
        <v>526200</v>
      </c>
      <c r="D44" s="140"/>
      <c r="F44" s="142">
        <v>39873</v>
      </c>
      <c r="G44" s="139">
        <v>4760</v>
      </c>
      <c r="H44" s="140"/>
      <c r="J44" s="142">
        <v>37316</v>
      </c>
      <c r="K44" s="139">
        <v>145100</v>
      </c>
      <c r="L44" s="140"/>
    </row>
    <row r="45" spans="2:12" x14ac:dyDescent="0.25">
      <c r="B45" s="142">
        <v>38443</v>
      </c>
      <c r="C45" s="139">
        <v>955200</v>
      </c>
      <c r="D45" s="140"/>
      <c r="F45" s="142">
        <v>39904</v>
      </c>
      <c r="G45" s="139">
        <v>8425</v>
      </c>
      <c r="H45" s="140"/>
      <c r="J45" s="142">
        <v>37347</v>
      </c>
      <c r="K45" s="139">
        <v>104000</v>
      </c>
      <c r="L45" s="140"/>
    </row>
    <row r="46" spans="2:12" x14ac:dyDescent="0.25">
      <c r="B46" s="142">
        <v>38473</v>
      </c>
      <c r="C46" s="139">
        <v>2498700</v>
      </c>
      <c r="D46" s="140"/>
      <c r="F46" s="142">
        <v>39934</v>
      </c>
      <c r="G46" s="139">
        <v>8185</v>
      </c>
      <c r="H46" s="140"/>
      <c r="J46" s="142">
        <v>37377</v>
      </c>
      <c r="K46" s="139">
        <v>93440</v>
      </c>
      <c r="L46" s="140"/>
    </row>
    <row r="47" spans="2:12" x14ac:dyDescent="0.25">
      <c r="B47" s="142">
        <v>38504</v>
      </c>
      <c r="C47" s="139">
        <v>2873900</v>
      </c>
      <c r="D47" s="140"/>
      <c r="F47" s="142">
        <v>39965</v>
      </c>
      <c r="G47" s="139">
        <v>7772</v>
      </c>
      <c r="H47" s="140"/>
      <c r="J47" s="142">
        <v>37408</v>
      </c>
      <c r="K47" s="139">
        <v>59080</v>
      </c>
      <c r="L47" s="140"/>
    </row>
    <row r="48" spans="2:12" x14ac:dyDescent="0.25">
      <c r="B48" s="142">
        <v>38534</v>
      </c>
      <c r="C48" s="139">
        <v>1163300</v>
      </c>
      <c r="D48" s="140"/>
      <c r="F48" s="142">
        <v>39995</v>
      </c>
      <c r="G48" s="139">
        <v>5872</v>
      </c>
      <c r="H48" s="140"/>
      <c r="J48" s="142">
        <v>37438</v>
      </c>
      <c r="K48" s="139">
        <v>51470</v>
      </c>
      <c r="L48" s="140"/>
    </row>
    <row r="49" spans="2:12" x14ac:dyDescent="0.25">
      <c r="B49" s="142">
        <v>38565</v>
      </c>
      <c r="C49" s="139">
        <v>530700</v>
      </c>
      <c r="D49" s="140"/>
      <c r="F49" s="142">
        <v>40026</v>
      </c>
      <c r="G49" s="139">
        <v>5861</v>
      </c>
      <c r="H49" s="140"/>
      <c r="J49" s="142">
        <v>37469</v>
      </c>
      <c r="K49" s="139">
        <v>40920</v>
      </c>
      <c r="L49" s="140"/>
    </row>
    <row r="50" spans="2:12" x14ac:dyDescent="0.25">
      <c r="B50" s="142">
        <v>38596</v>
      </c>
      <c r="C50" s="139">
        <v>465500</v>
      </c>
      <c r="D50">
        <f>SUM(C39:C50)/1000</f>
        <v>11343.36</v>
      </c>
      <c r="F50" s="142">
        <v>40057</v>
      </c>
      <c r="G50" s="139">
        <v>27759</v>
      </c>
      <c r="H50">
        <f>SUM(G39:G50)/1000</f>
        <v>95.28</v>
      </c>
      <c r="J50" s="142">
        <v>37500</v>
      </c>
      <c r="K50" s="139">
        <v>48370</v>
      </c>
      <c r="L50">
        <f>SUM(K39:K50)/1000</f>
        <v>995.36</v>
      </c>
    </row>
    <row r="51" spans="2:12" x14ac:dyDescent="0.25">
      <c r="B51" s="142">
        <v>38626</v>
      </c>
      <c r="C51" s="139">
        <v>607900</v>
      </c>
      <c r="D51" s="140"/>
      <c r="F51" s="142">
        <v>40087</v>
      </c>
      <c r="G51" s="139">
        <v>24704</v>
      </c>
      <c r="H51" s="140"/>
      <c r="J51" s="142">
        <v>37530</v>
      </c>
      <c r="K51" s="139">
        <v>64350</v>
      </c>
      <c r="L51" s="140"/>
    </row>
    <row r="52" spans="2:12" x14ac:dyDescent="0.25">
      <c r="B52" s="142">
        <v>38657</v>
      </c>
      <c r="C52" s="139">
        <v>553600</v>
      </c>
      <c r="D52" s="140"/>
      <c r="F52" s="142">
        <v>40118</v>
      </c>
      <c r="G52" s="139">
        <v>10765</v>
      </c>
      <c r="H52" s="140"/>
      <c r="J52" s="142">
        <v>37561</v>
      </c>
      <c r="K52" s="139">
        <v>52778</v>
      </c>
      <c r="L52" s="140"/>
    </row>
    <row r="53" spans="2:12" x14ac:dyDescent="0.25">
      <c r="B53" s="142">
        <v>38687</v>
      </c>
      <c r="C53" s="139">
        <v>435100</v>
      </c>
      <c r="D53" s="140"/>
      <c r="F53" s="142">
        <v>40148</v>
      </c>
      <c r="G53" s="139">
        <v>2074</v>
      </c>
      <c r="H53" s="140"/>
      <c r="J53" s="142">
        <v>37591</v>
      </c>
      <c r="K53" s="139">
        <v>65425</v>
      </c>
      <c r="L53" s="140"/>
    </row>
    <row r="54" spans="2:12" x14ac:dyDescent="0.25">
      <c r="B54" s="142">
        <v>38718</v>
      </c>
      <c r="C54" s="139">
        <v>429700</v>
      </c>
      <c r="D54" s="140"/>
      <c r="F54" s="142">
        <v>40179</v>
      </c>
      <c r="G54" s="139">
        <v>397</v>
      </c>
      <c r="H54" s="140"/>
      <c r="J54" s="142">
        <v>37622</v>
      </c>
      <c r="K54" s="139">
        <v>89590</v>
      </c>
      <c r="L54" s="140"/>
    </row>
    <row r="55" spans="2:12" x14ac:dyDescent="0.25">
      <c r="B55" s="142">
        <v>38749</v>
      </c>
      <c r="C55" s="139">
        <v>389700</v>
      </c>
      <c r="D55" s="140"/>
      <c r="F55" s="142">
        <v>40210</v>
      </c>
      <c r="G55" s="139">
        <v>2651</v>
      </c>
      <c r="H55" s="140"/>
      <c r="J55" s="142">
        <v>37653</v>
      </c>
      <c r="K55" s="139">
        <v>57880</v>
      </c>
      <c r="L55" s="140"/>
    </row>
    <row r="56" spans="2:12" x14ac:dyDescent="0.25">
      <c r="B56" s="142">
        <v>38777</v>
      </c>
      <c r="C56" s="139">
        <v>482500</v>
      </c>
      <c r="D56" s="140"/>
      <c r="F56" s="142">
        <v>40238</v>
      </c>
      <c r="G56" s="139">
        <v>18363</v>
      </c>
      <c r="H56" s="140"/>
      <c r="J56" s="142">
        <v>37681</v>
      </c>
      <c r="K56" s="139">
        <v>97880</v>
      </c>
      <c r="L56" s="140"/>
    </row>
    <row r="57" spans="2:12" x14ac:dyDescent="0.25">
      <c r="B57" s="142">
        <v>38808</v>
      </c>
      <c r="C57" s="139">
        <v>907200</v>
      </c>
      <c r="D57" s="140"/>
      <c r="F57" s="142">
        <v>40269</v>
      </c>
      <c r="G57" s="139">
        <v>24133</v>
      </c>
      <c r="H57" s="140"/>
      <c r="J57" s="142">
        <v>37712</v>
      </c>
      <c r="K57" s="139">
        <v>163400</v>
      </c>
      <c r="L57" s="140"/>
    </row>
    <row r="58" spans="2:12" x14ac:dyDescent="0.25">
      <c r="B58" s="142">
        <v>38838</v>
      </c>
      <c r="C58" s="139">
        <v>1729500</v>
      </c>
      <c r="D58" s="140"/>
      <c r="F58" s="142">
        <v>40299</v>
      </c>
      <c r="G58" s="139">
        <v>18175</v>
      </c>
      <c r="H58" s="140"/>
      <c r="J58" s="142">
        <v>37742</v>
      </c>
      <c r="K58" s="139">
        <v>144900</v>
      </c>
      <c r="L58" s="140"/>
    </row>
    <row r="59" spans="2:12" x14ac:dyDescent="0.25">
      <c r="B59" s="142">
        <v>38869</v>
      </c>
      <c r="C59" s="139">
        <v>1496600</v>
      </c>
      <c r="D59" s="140"/>
      <c r="F59" s="142">
        <v>40330</v>
      </c>
      <c r="G59" s="139">
        <v>16976</v>
      </c>
      <c r="H59" s="140"/>
      <c r="J59" s="142">
        <v>37773</v>
      </c>
      <c r="K59" s="139">
        <v>77590</v>
      </c>
      <c r="L59" s="140"/>
    </row>
    <row r="60" spans="2:12" x14ac:dyDescent="0.25">
      <c r="B60" s="142">
        <v>38899</v>
      </c>
      <c r="C60" s="139">
        <v>666000</v>
      </c>
      <c r="D60" s="140"/>
      <c r="F60" s="142">
        <v>40360</v>
      </c>
      <c r="G60" s="139">
        <v>17226</v>
      </c>
      <c r="H60" s="140"/>
      <c r="J60" s="142">
        <v>37803</v>
      </c>
      <c r="K60" s="139">
        <v>50840</v>
      </c>
      <c r="L60" s="140"/>
    </row>
    <row r="61" spans="2:12" x14ac:dyDescent="0.25">
      <c r="B61" s="142">
        <v>38930</v>
      </c>
      <c r="C61" s="139">
        <v>506600</v>
      </c>
      <c r="D61" s="140"/>
      <c r="F61" s="142">
        <v>40391</v>
      </c>
      <c r="G61" s="139">
        <v>30026</v>
      </c>
      <c r="H61" s="140"/>
      <c r="J61" s="142">
        <v>37834</v>
      </c>
      <c r="K61" s="139">
        <v>61250</v>
      </c>
      <c r="L61" s="140"/>
    </row>
    <row r="62" spans="2:12" x14ac:dyDescent="0.25">
      <c r="B62" s="142">
        <v>38961</v>
      </c>
      <c r="C62" s="139">
        <v>506800</v>
      </c>
      <c r="D62">
        <f>SUM(C51:C62)/1000</f>
        <v>8711.2000000000007</v>
      </c>
      <c r="F62" s="142">
        <v>40422</v>
      </c>
      <c r="G62" s="139">
        <v>30112</v>
      </c>
      <c r="H62">
        <f>SUM(G51:G62)/1000</f>
        <v>195.602</v>
      </c>
      <c r="J62" s="142">
        <v>37865</v>
      </c>
      <c r="K62" s="139">
        <v>74640</v>
      </c>
      <c r="L62">
        <f>SUM(K51:K62)/1000</f>
        <v>1000.523</v>
      </c>
    </row>
    <row r="63" spans="2:12" x14ac:dyDescent="0.25">
      <c r="B63" s="142">
        <v>38991</v>
      </c>
      <c r="C63" s="139">
        <v>922800</v>
      </c>
      <c r="D63" s="140"/>
      <c r="F63" s="142">
        <v>40452</v>
      </c>
      <c r="G63" s="139">
        <v>19201</v>
      </c>
      <c r="H63" s="140"/>
      <c r="J63" s="142">
        <v>37895</v>
      </c>
      <c r="K63" s="139">
        <v>84000</v>
      </c>
      <c r="L63" s="140"/>
    </row>
    <row r="64" spans="2:12" x14ac:dyDescent="0.25">
      <c r="B64" s="142">
        <v>39022</v>
      </c>
      <c r="C64" s="139">
        <v>535600</v>
      </c>
      <c r="D64" s="140"/>
      <c r="F64" s="142">
        <v>40483</v>
      </c>
      <c r="G64" s="139">
        <v>11808</v>
      </c>
      <c r="H64" s="140"/>
      <c r="J64" s="142">
        <v>37926</v>
      </c>
      <c r="K64" s="139">
        <v>81140</v>
      </c>
      <c r="L64" s="140"/>
    </row>
    <row r="65" spans="2:12" x14ac:dyDescent="0.25">
      <c r="B65" s="142">
        <v>39052</v>
      </c>
      <c r="C65" s="139">
        <v>501500</v>
      </c>
      <c r="D65" s="140"/>
      <c r="F65" s="142">
        <v>40513</v>
      </c>
      <c r="G65" s="139">
        <v>4669</v>
      </c>
      <c r="H65" s="140"/>
      <c r="J65" s="142">
        <v>37956</v>
      </c>
      <c r="K65" s="139">
        <v>93660</v>
      </c>
      <c r="L65" s="140"/>
    </row>
    <row r="66" spans="2:12" x14ac:dyDescent="0.25">
      <c r="B66" s="142">
        <v>39083</v>
      </c>
      <c r="C66" s="139">
        <v>425700</v>
      </c>
      <c r="D66" s="140"/>
      <c r="F66" s="142">
        <v>40544</v>
      </c>
      <c r="G66" s="139">
        <v>4421</v>
      </c>
      <c r="H66" s="140"/>
      <c r="J66" s="142">
        <v>37987</v>
      </c>
      <c r="K66" s="139">
        <v>84560</v>
      </c>
      <c r="L66" s="140"/>
    </row>
    <row r="67" spans="2:12" x14ac:dyDescent="0.25">
      <c r="B67" s="142">
        <v>39114</v>
      </c>
      <c r="C67" s="139">
        <v>461700</v>
      </c>
      <c r="D67" s="140"/>
      <c r="F67" s="142">
        <v>40575</v>
      </c>
      <c r="G67" s="139">
        <v>4284</v>
      </c>
      <c r="H67" s="140"/>
      <c r="J67" s="142">
        <v>38018</v>
      </c>
      <c r="K67" s="139">
        <v>110440</v>
      </c>
      <c r="L67" s="140"/>
    </row>
    <row r="68" spans="2:12" x14ac:dyDescent="0.25">
      <c r="B68" s="142">
        <v>39142</v>
      </c>
      <c r="C68" s="139">
        <v>680100</v>
      </c>
      <c r="D68" s="140"/>
      <c r="F68" s="142">
        <v>40603</v>
      </c>
      <c r="G68" s="139">
        <v>12662</v>
      </c>
      <c r="H68" s="140"/>
      <c r="J68" s="142">
        <v>38047</v>
      </c>
      <c r="K68" s="139">
        <v>133347</v>
      </c>
      <c r="L68" s="140"/>
    </row>
    <row r="69" spans="2:12" x14ac:dyDescent="0.25">
      <c r="B69" s="142">
        <v>39173</v>
      </c>
      <c r="C69" s="139">
        <v>700700</v>
      </c>
      <c r="D69" s="140"/>
      <c r="F69" s="142">
        <v>40634</v>
      </c>
      <c r="G69" s="139">
        <v>25875</v>
      </c>
      <c r="H69" s="140"/>
      <c r="J69" s="142">
        <v>38078</v>
      </c>
      <c r="K69" s="139">
        <v>107900</v>
      </c>
      <c r="L69" s="140"/>
    </row>
    <row r="70" spans="2:12" x14ac:dyDescent="0.25">
      <c r="B70" s="142">
        <v>39203</v>
      </c>
      <c r="C70" s="139">
        <v>1440600</v>
      </c>
      <c r="D70" s="140"/>
      <c r="F70" s="142">
        <v>40664</v>
      </c>
      <c r="G70" s="139">
        <v>22350</v>
      </c>
      <c r="H70" s="140"/>
      <c r="J70" s="142">
        <v>38108</v>
      </c>
      <c r="K70" s="139">
        <v>79260</v>
      </c>
      <c r="L70" s="140"/>
    </row>
    <row r="71" spans="2:12" x14ac:dyDescent="0.25">
      <c r="B71" s="142">
        <v>39234</v>
      </c>
      <c r="C71" s="139">
        <v>1071800</v>
      </c>
      <c r="D71" s="140"/>
      <c r="F71" s="142">
        <v>40695</v>
      </c>
      <c r="G71" s="139">
        <v>11112</v>
      </c>
      <c r="H71" s="140"/>
      <c r="J71" s="142">
        <v>38139</v>
      </c>
      <c r="K71" s="139">
        <v>56070</v>
      </c>
      <c r="L71" s="140"/>
    </row>
    <row r="72" spans="2:12" x14ac:dyDescent="0.25">
      <c r="B72" s="142">
        <v>39264</v>
      </c>
      <c r="C72" s="139">
        <v>451200</v>
      </c>
      <c r="D72" s="140"/>
      <c r="F72" s="142">
        <v>40725</v>
      </c>
      <c r="G72" s="139">
        <v>8902</v>
      </c>
      <c r="H72" s="140"/>
      <c r="J72" s="142">
        <v>38169</v>
      </c>
      <c r="K72" s="139">
        <v>41080</v>
      </c>
      <c r="L72" s="140"/>
    </row>
    <row r="73" spans="2:12" x14ac:dyDescent="0.25">
      <c r="B73" s="142">
        <v>39295</v>
      </c>
      <c r="C73" s="139">
        <v>436700</v>
      </c>
      <c r="D73" s="140"/>
      <c r="F73" s="142">
        <v>40756</v>
      </c>
      <c r="G73" s="139">
        <v>19317</v>
      </c>
      <c r="H73" s="140"/>
      <c r="J73" s="142">
        <v>38200</v>
      </c>
      <c r="K73" s="139">
        <v>46830</v>
      </c>
      <c r="L73" s="140"/>
    </row>
    <row r="74" spans="2:12" x14ac:dyDescent="0.25">
      <c r="B74" s="142">
        <v>39326</v>
      </c>
      <c r="C74" s="139">
        <v>453600</v>
      </c>
      <c r="D74">
        <f>SUM(C63:C74)/1000</f>
        <v>8082</v>
      </c>
      <c r="F74" s="142">
        <v>40787</v>
      </c>
      <c r="G74" s="139">
        <v>26815</v>
      </c>
      <c r="H74">
        <f>SUM(G63:G74)/1000</f>
        <v>171.416</v>
      </c>
      <c r="J74" s="142">
        <v>38231</v>
      </c>
      <c r="K74" s="139">
        <v>54300</v>
      </c>
      <c r="L74">
        <f>SUM(K63:K74)/1000</f>
        <v>972.58699999999999</v>
      </c>
    </row>
    <row r="75" spans="2:12" x14ac:dyDescent="0.25">
      <c r="B75" s="142">
        <v>39356</v>
      </c>
      <c r="C75" s="139">
        <v>540000</v>
      </c>
      <c r="D75" s="140"/>
      <c r="F75" s="142">
        <v>40817</v>
      </c>
      <c r="G75" s="139">
        <v>31788</v>
      </c>
      <c r="H75" s="140"/>
      <c r="J75" s="142">
        <v>38261</v>
      </c>
      <c r="K75" s="139">
        <v>56980</v>
      </c>
      <c r="L75" s="140"/>
    </row>
    <row r="76" spans="2:12" x14ac:dyDescent="0.25">
      <c r="B76" s="142">
        <v>39387</v>
      </c>
      <c r="C76" s="139">
        <v>469500</v>
      </c>
      <c r="D76" s="140"/>
      <c r="F76" s="142">
        <v>40848</v>
      </c>
      <c r="G76" s="139">
        <v>23368</v>
      </c>
      <c r="H76" s="140"/>
      <c r="J76" s="142">
        <v>38292</v>
      </c>
      <c r="K76" s="139">
        <v>55500</v>
      </c>
      <c r="L76" s="140"/>
    </row>
    <row r="77" spans="2:12" x14ac:dyDescent="0.25">
      <c r="B77" s="142">
        <v>39417</v>
      </c>
      <c r="C77" s="139">
        <v>454832</v>
      </c>
      <c r="D77" s="140"/>
      <c r="F77" s="142">
        <v>40878</v>
      </c>
      <c r="G77" s="139">
        <v>6337</v>
      </c>
      <c r="H77" s="140"/>
      <c r="J77" s="142">
        <v>38322</v>
      </c>
      <c r="K77" s="139">
        <v>71550</v>
      </c>
      <c r="L77" s="140"/>
    </row>
    <row r="78" spans="2:12" x14ac:dyDescent="0.25">
      <c r="B78" s="142">
        <v>39448</v>
      </c>
      <c r="C78" s="139">
        <v>439600</v>
      </c>
      <c r="D78" s="140"/>
      <c r="F78" s="142">
        <v>40909</v>
      </c>
      <c r="G78" s="139">
        <v>10320</v>
      </c>
      <c r="H78" s="140"/>
      <c r="J78" s="142">
        <v>38353</v>
      </c>
      <c r="K78" s="139">
        <v>65100</v>
      </c>
      <c r="L78" s="140"/>
    </row>
    <row r="79" spans="2:12" x14ac:dyDescent="0.25">
      <c r="B79" s="142">
        <v>39479</v>
      </c>
      <c r="C79" s="139">
        <v>568000</v>
      </c>
      <c r="D79" s="140"/>
      <c r="F79" s="142">
        <v>40940</v>
      </c>
      <c r="G79" s="139">
        <v>6672</v>
      </c>
      <c r="H79" s="140"/>
      <c r="J79" s="142">
        <v>38384</v>
      </c>
      <c r="K79" s="139">
        <v>45580</v>
      </c>
      <c r="L79" s="140"/>
    </row>
    <row r="80" spans="2:12" x14ac:dyDescent="0.25">
      <c r="B80" s="142">
        <v>39508</v>
      </c>
      <c r="C80" s="139">
        <v>717000</v>
      </c>
      <c r="D80" s="140"/>
      <c r="F80" s="142">
        <v>40969</v>
      </c>
      <c r="G80" s="139">
        <v>2452</v>
      </c>
      <c r="H80" s="140"/>
      <c r="J80" s="142">
        <v>38412</v>
      </c>
      <c r="K80" s="139">
        <v>53558</v>
      </c>
      <c r="L80" s="140"/>
    </row>
    <row r="81" spans="2:12" x14ac:dyDescent="0.25">
      <c r="B81" s="142">
        <v>39539</v>
      </c>
      <c r="C81" s="139">
        <v>985900</v>
      </c>
      <c r="D81" s="140"/>
      <c r="F81" s="142">
        <v>41000</v>
      </c>
      <c r="G81" s="139">
        <v>14894</v>
      </c>
      <c r="H81" s="140"/>
      <c r="J81" s="142">
        <v>38443</v>
      </c>
      <c r="K81" s="139">
        <v>81096</v>
      </c>
      <c r="L81" s="140"/>
    </row>
    <row r="82" spans="2:12" x14ac:dyDescent="0.25">
      <c r="B82" s="142">
        <v>39569</v>
      </c>
      <c r="C82" s="139">
        <v>2384500</v>
      </c>
      <c r="D82" s="140"/>
      <c r="F82" s="142">
        <v>41030</v>
      </c>
      <c r="G82" s="139">
        <v>21081</v>
      </c>
      <c r="H82" s="140"/>
      <c r="J82" s="142">
        <v>38473</v>
      </c>
      <c r="K82" s="139">
        <v>218900</v>
      </c>
      <c r="L82" s="140"/>
    </row>
    <row r="83" spans="2:12" x14ac:dyDescent="0.25">
      <c r="B83" s="142">
        <v>39600</v>
      </c>
      <c r="C83" s="139">
        <v>3376600</v>
      </c>
      <c r="D83" s="140"/>
      <c r="F83" s="142">
        <v>41061</v>
      </c>
      <c r="G83" s="139">
        <v>25373</v>
      </c>
      <c r="H83" s="140"/>
      <c r="J83" s="142">
        <v>38504</v>
      </c>
      <c r="K83" s="139">
        <v>72730</v>
      </c>
      <c r="L83" s="140"/>
    </row>
    <row r="84" spans="2:12" x14ac:dyDescent="0.25">
      <c r="B84" s="142">
        <v>39630</v>
      </c>
      <c r="C84" s="139">
        <v>1392800</v>
      </c>
      <c r="D84" s="140"/>
      <c r="F84" s="142">
        <v>41091</v>
      </c>
      <c r="G84" s="139">
        <v>19537</v>
      </c>
      <c r="H84" s="140"/>
      <c r="J84" s="142">
        <v>38534</v>
      </c>
      <c r="K84" s="139">
        <v>56800</v>
      </c>
      <c r="L84" s="140"/>
    </row>
    <row r="85" spans="2:12" x14ac:dyDescent="0.25">
      <c r="B85" s="142">
        <v>39661</v>
      </c>
      <c r="C85" s="139">
        <v>585600</v>
      </c>
      <c r="D85" s="140"/>
      <c r="F85" s="142">
        <v>41122</v>
      </c>
      <c r="G85" s="139">
        <v>26752</v>
      </c>
      <c r="H85" s="140"/>
      <c r="J85" s="142">
        <v>38565</v>
      </c>
      <c r="K85" s="139">
        <v>61450</v>
      </c>
      <c r="L85" s="140"/>
    </row>
    <row r="86" spans="2:12" x14ac:dyDescent="0.25">
      <c r="B86" s="142">
        <v>39692</v>
      </c>
      <c r="C86" s="139">
        <v>539300</v>
      </c>
      <c r="D86">
        <f>SUM(C75:C86)/1000</f>
        <v>12453.632</v>
      </c>
      <c r="F86" s="142">
        <v>41153</v>
      </c>
      <c r="G86" s="139">
        <v>27567</v>
      </c>
      <c r="H86">
        <f>SUM(G75:G86)/1000</f>
        <v>216.14099999999999</v>
      </c>
      <c r="J86" s="142">
        <v>38596</v>
      </c>
      <c r="K86" s="139">
        <v>70140</v>
      </c>
      <c r="L86">
        <f>SUM(K75:K86)/1000</f>
        <v>909.38400000000001</v>
      </c>
    </row>
    <row r="87" spans="2:12" x14ac:dyDescent="0.25">
      <c r="B87" s="142">
        <v>39722</v>
      </c>
      <c r="C87" s="139">
        <v>488600</v>
      </c>
      <c r="D87" s="140"/>
      <c r="F87" s="142">
        <v>41183</v>
      </c>
      <c r="G87" s="139">
        <v>16661</v>
      </c>
      <c r="H87" s="140"/>
      <c r="J87" s="142">
        <v>38626</v>
      </c>
      <c r="K87" s="139">
        <v>83430</v>
      </c>
      <c r="L87" s="140"/>
    </row>
    <row r="88" spans="2:12" x14ac:dyDescent="0.25">
      <c r="B88" s="142">
        <v>39753</v>
      </c>
      <c r="C88" s="139">
        <v>450000</v>
      </c>
      <c r="D88" s="140"/>
      <c r="F88" s="142">
        <v>41214</v>
      </c>
      <c r="G88" s="139">
        <v>10731</v>
      </c>
      <c r="H88" s="140"/>
      <c r="J88" s="142">
        <v>38657</v>
      </c>
      <c r="K88" s="139">
        <v>80000</v>
      </c>
      <c r="L88" s="140"/>
    </row>
    <row r="89" spans="2:12" x14ac:dyDescent="0.25">
      <c r="B89" s="142">
        <v>39783</v>
      </c>
      <c r="C89" s="139">
        <v>418300</v>
      </c>
      <c r="D89" s="140"/>
      <c r="F89" s="142">
        <v>41244</v>
      </c>
      <c r="G89" s="139">
        <v>6593</v>
      </c>
      <c r="H89" s="140"/>
      <c r="J89" s="142">
        <v>38687</v>
      </c>
      <c r="K89" s="139">
        <v>162300</v>
      </c>
      <c r="L89" s="140"/>
    </row>
    <row r="90" spans="2:12" x14ac:dyDescent="0.25">
      <c r="B90" s="142">
        <v>39814</v>
      </c>
      <c r="C90" s="139">
        <v>393900</v>
      </c>
      <c r="D90" s="140"/>
      <c r="F90" s="142">
        <v>41275</v>
      </c>
      <c r="G90" s="139">
        <v>1765</v>
      </c>
      <c r="H90" s="140"/>
      <c r="J90" s="142">
        <v>38718</v>
      </c>
      <c r="K90" s="139">
        <v>400000</v>
      </c>
      <c r="L90" s="140"/>
    </row>
    <row r="91" spans="2:12" x14ac:dyDescent="0.25">
      <c r="B91" s="142">
        <v>39845</v>
      </c>
      <c r="C91" s="139">
        <v>379500</v>
      </c>
      <c r="D91" s="140"/>
      <c r="F91" s="142">
        <v>41306</v>
      </c>
      <c r="G91" s="139">
        <v>6353</v>
      </c>
      <c r="H91" s="140"/>
      <c r="J91" s="142">
        <v>38749</v>
      </c>
      <c r="K91" s="139">
        <v>263300</v>
      </c>
      <c r="L91" s="140"/>
    </row>
    <row r="92" spans="2:12" x14ac:dyDescent="0.25">
      <c r="B92" s="142">
        <v>39873</v>
      </c>
      <c r="C92" s="139">
        <v>442300</v>
      </c>
      <c r="D92" s="140"/>
      <c r="F92" s="142">
        <v>41334</v>
      </c>
      <c r="G92" s="139">
        <v>10997</v>
      </c>
      <c r="H92" s="140"/>
      <c r="J92" s="142">
        <v>38777</v>
      </c>
      <c r="K92" s="139">
        <v>229500</v>
      </c>
      <c r="L92" s="140"/>
    </row>
    <row r="93" spans="2:12" x14ac:dyDescent="0.25">
      <c r="B93" s="142">
        <v>39904</v>
      </c>
      <c r="C93" s="139">
        <v>651400</v>
      </c>
      <c r="D93" s="140"/>
      <c r="F93" s="142">
        <v>41365</v>
      </c>
      <c r="G93" s="139">
        <v>11822</v>
      </c>
      <c r="H93" s="140"/>
      <c r="J93" s="142">
        <v>38808</v>
      </c>
      <c r="K93" s="139">
        <v>381800</v>
      </c>
      <c r="L93" s="140"/>
    </row>
    <row r="94" spans="2:12" x14ac:dyDescent="0.25">
      <c r="B94" s="142">
        <v>39934</v>
      </c>
      <c r="C94" s="139">
        <v>2451700</v>
      </c>
      <c r="D94" s="140"/>
      <c r="F94" s="142">
        <v>41395</v>
      </c>
      <c r="G94" s="139">
        <v>14434</v>
      </c>
      <c r="H94" s="140"/>
      <c r="J94" s="142">
        <v>38838</v>
      </c>
      <c r="K94" s="139">
        <v>247800</v>
      </c>
      <c r="L94" s="140"/>
    </row>
    <row r="95" spans="2:12" x14ac:dyDescent="0.25">
      <c r="B95" s="142">
        <v>39965</v>
      </c>
      <c r="C95" s="139">
        <v>2224400</v>
      </c>
      <c r="D95" s="140"/>
      <c r="F95" s="142">
        <v>41426</v>
      </c>
      <c r="G95" s="139">
        <v>15586</v>
      </c>
      <c r="H95" s="140"/>
      <c r="J95" s="142">
        <v>38869</v>
      </c>
      <c r="K95" s="139">
        <v>185300</v>
      </c>
      <c r="L95" s="140"/>
    </row>
    <row r="96" spans="2:12" x14ac:dyDescent="0.25">
      <c r="B96" s="142">
        <v>39995</v>
      </c>
      <c r="C96" s="139">
        <v>1225300</v>
      </c>
      <c r="D96" s="140"/>
      <c r="F96" s="142">
        <v>41456</v>
      </c>
      <c r="G96" s="139">
        <v>13488</v>
      </c>
      <c r="H96" s="140"/>
      <c r="J96" s="142">
        <v>38899</v>
      </c>
      <c r="K96" s="139">
        <v>84430</v>
      </c>
      <c r="L96" s="140"/>
    </row>
    <row r="97" spans="2:12" x14ac:dyDescent="0.25">
      <c r="B97" s="142">
        <v>40026</v>
      </c>
      <c r="C97" s="139">
        <v>535300</v>
      </c>
      <c r="D97" s="140"/>
      <c r="F97" s="142">
        <v>41487</v>
      </c>
      <c r="G97" s="139">
        <v>17288</v>
      </c>
      <c r="H97" s="140"/>
      <c r="J97" s="142">
        <v>38930</v>
      </c>
      <c r="K97" s="139">
        <v>61060</v>
      </c>
      <c r="L97" s="140"/>
    </row>
    <row r="98" spans="2:12" x14ac:dyDescent="0.25">
      <c r="B98" s="142">
        <v>40057</v>
      </c>
      <c r="C98" s="139">
        <v>470000</v>
      </c>
      <c r="D98">
        <f>SUM(C87:C98)/1000</f>
        <v>10130.700000000001</v>
      </c>
      <c r="F98" s="142">
        <v>41518</v>
      </c>
      <c r="G98" s="139">
        <v>15565</v>
      </c>
      <c r="H98">
        <f>SUM(G87:G98)/1000</f>
        <v>141.28299999999999</v>
      </c>
      <c r="J98" s="142">
        <v>38961</v>
      </c>
      <c r="K98" s="139">
        <v>62160</v>
      </c>
      <c r="L98">
        <f>SUM(K87:K98)/1000</f>
        <v>2241.08</v>
      </c>
    </row>
    <row r="99" spans="2:12" x14ac:dyDescent="0.25">
      <c r="B99" s="142">
        <v>40087</v>
      </c>
      <c r="C99" s="139">
        <v>507900</v>
      </c>
      <c r="D99" s="140"/>
      <c r="F99" s="142">
        <v>41548</v>
      </c>
      <c r="G99" s="139">
        <v>7605</v>
      </c>
      <c r="H99" s="140"/>
      <c r="J99" s="142">
        <v>38991</v>
      </c>
      <c r="K99" s="139">
        <v>79300</v>
      </c>
      <c r="L99" s="140"/>
    </row>
    <row r="100" spans="2:12" x14ac:dyDescent="0.25">
      <c r="B100" s="142">
        <v>40118</v>
      </c>
      <c r="C100" s="139">
        <v>490400</v>
      </c>
      <c r="D100" s="140"/>
      <c r="F100" s="142">
        <v>41579</v>
      </c>
      <c r="G100" s="139">
        <v>1438</v>
      </c>
      <c r="H100" s="140"/>
      <c r="J100" s="142">
        <v>39022</v>
      </c>
      <c r="K100" s="139">
        <v>78530</v>
      </c>
      <c r="L100" s="140"/>
    </row>
    <row r="101" spans="2:12" x14ac:dyDescent="0.25">
      <c r="B101" s="142">
        <v>40148</v>
      </c>
      <c r="C101" s="139">
        <v>437200</v>
      </c>
      <c r="D101" s="140"/>
      <c r="F101" s="142">
        <v>41609</v>
      </c>
      <c r="G101" s="139">
        <v>1387</v>
      </c>
      <c r="H101" s="140"/>
      <c r="J101" s="142">
        <v>39052</v>
      </c>
      <c r="K101" s="139">
        <v>87510</v>
      </c>
      <c r="L101" s="140"/>
    </row>
    <row r="102" spans="2:12" x14ac:dyDescent="0.25">
      <c r="B102" s="142">
        <v>40179</v>
      </c>
      <c r="C102" s="139">
        <v>425900</v>
      </c>
      <c r="D102" s="140"/>
      <c r="F102" s="142">
        <v>41640</v>
      </c>
      <c r="G102" s="139">
        <v>0</v>
      </c>
      <c r="H102" s="140"/>
      <c r="J102" s="142">
        <v>39083</v>
      </c>
      <c r="K102" s="139">
        <v>87174</v>
      </c>
      <c r="L102" s="140"/>
    </row>
    <row r="103" spans="2:12" x14ac:dyDescent="0.25">
      <c r="B103" s="142">
        <v>40210</v>
      </c>
      <c r="C103" s="139">
        <v>387700</v>
      </c>
      <c r="D103" s="140"/>
      <c r="F103" s="142">
        <v>41671</v>
      </c>
      <c r="G103" s="139">
        <v>2945</v>
      </c>
      <c r="H103" s="140"/>
      <c r="J103" s="142">
        <v>39114</v>
      </c>
      <c r="K103" s="139">
        <v>94470</v>
      </c>
      <c r="L103" s="140"/>
    </row>
    <row r="104" spans="2:12" x14ac:dyDescent="0.25">
      <c r="B104" s="142">
        <v>40238</v>
      </c>
      <c r="C104" s="139">
        <v>464500</v>
      </c>
      <c r="D104" s="140"/>
      <c r="F104" s="142">
        <v>41699</v>
      </c>
      <c r="G104" s="139">
        <v>2796</v>
      </c>
      <c r="H104" s="140"/>
      <c r="J104" s="142">
        <v>39142</v>
      </c>
      <c r="K104" s="139">
        <v>215200</v>
      </c>
      <c r="L104" s="140"/>
    </row>
    <row r="105" spans="2:12" x14ac:dyDescent="0.25">
      <c r="B105" s="142">
        <v>40269</v>
      </c>
      <c r="C105" s="139">
        <v>702900</v>
      </c>
      <c r="D105" s="140"/>
      <c r="F105" s="142">
        <v>41730</v>
      </c>
      <c r="G105" s="139">
        <v>7146</v>
      </c>
      <c r="H105" s="140"/>
      <c r="J105" s="142">
        <v>39173</v>
      </c>
      <c r="K105" s="139">
        <v>129800</v>
      </c>
      <c r="L105" s="140"/>
    </row>
    <row r="106" spans="2:12" x14ac:dyDescent="0.25">
      <c r="B106" s="142">
        <v>40299</v>
      </c>
      <c r="C106" s="139">
        <v>1256800</v>
      </c>
      <c r="D106" s="140"/>
      <c r="F106" s="142">
        <v>41760</v>
      </c>
      <c r="G106" s="139">
        <v>12950</v>
      </c>
      <c r="H106" s="140"/>
      <c r="J106" s="142">
        <v>39203</v>
      </c>
      <c r="K106" s="139">
        <v>90585</v>
      </c>
      <c r="L106" s="140"/>
    </row>
    <row r="107" spans="2:12" x14ac:dyDescent="0.25">
      <c r="B107" s="142">
        <v>40330</v>
      </c>
      <c r="C107" s="139">
        <v>2322800</v>
      </c>
      <c r="D107" s="140"/>
      <c r="F107" s="142">
        <v>41791</v>
      </c>
      <c r="G107" s="139">
        <v>10480</v>
      </c>
      <c r="H107" s="140"/>
      <c r="J107" s="142">
        <v>39234</v>
      </c>
      <c r="K107" s="139">
        <v>91940</v>
      </c>
      <c r="L107" s="140"/>
    </row>
    <row r="108" spans="2:12" x14ac:dyDescent="0.25">
      <c r="B108" s="142">
        <v>40360</v>
      </c>
      <c r="C108" s="139">
        <v>708100</v>
      </c>
      <c r="D108" s="140"/>
      <c r="F108" s="142">
        <v>41821</v>
      </c>
      <c r="G108" s="139">
        <v>12242</v>
      </c>
      <c r="H108" s="140"/>
      <c r="J108" s="142">
        <v>39264</v>
      </c>
      <c r="K108" s="139">
        <v>64978</v>
      </c>
      <c r="L108" s="140"/>
    </row>
    <row r="109" spans="2:12" x14ac:dyDescent="0.25">
      <c r="B109" s="142">
        <v>40391</v>
      </c>
      <c r="C109" s="139">
        <v>607900</v>
      </c>
      <c r="D109" s="140"/>
      <c r="F109" s="142">
        <v>41852</v>
      </c>
      <c r="G109" s="139">
        <v>14394</v>
      </c>
      <c r="H109" s="140"/>
      <c r="J109" s="142">
        <v>39295</v>
      </c>
      <c r="K109" s="139">
        <v>63390</v>
      </c>
      <c r="L109" s="140"/>
    </row>
    <row r="110" spans="2:12" x14ac:dyDescent="0.25">
      <c r="B110" s="142">
        <v>40422</v>
      </c>
      <c r="C110" s="139">
        <v>460700</v>
      </c>
      <c r="D110">
        <f>SUM(C99:C110)/1000</f>
        <v>8772.7999999999993</v>
      </c>
      <c r="F110" s="142">
        <v>41883</v>
      </c>
      <c r="G110" s="139">
        <v>15102</v>
      </c>
      <c r="H110">
        <f>SUM(G99:G110)/1000</f>
        <v>88.484999999999999</v>
      </c>
      <c r="J110" s="142">
        <v>39326</v>
      </c>
      <c r="K110" s="139">
        <v>61920</v>
      </c>
      <c r="L110">
        <f>SUM(K99:K110)/1000</f>
        <v>1144.797</v>
      </c>
    </row>
    <row r="111" spans="2:12" x14ac:dyDescent="0.25">
      <c r="B111" s="142">
        <v>40452</v>
      </c>
      <c r="C111" s="139">
        <v>512400</v>
      </c>
      <c r="D111" s="140"/>
      <c r="F111" s="142">
        <v>41913</v>
      </c>
      <c r="G111" s="139">
        <v>6635</v>
      </c>
      <c r="H111" s="140"/>
      <c r="J111" s="142">
        <v>39356</v>
      </c>
      <c r="K111" s="139">
        <v>81759</v>
      </c>
      <c r="L111" s="140"/>
    </row>
    <row r="112" spans="2:12" x14ac:dyDescent="0.25">
      <c r="B112" s="142">
        <v>40483</v>
      </c>
      <c r="C112" s="139">
        <v>467200</v>
      </c>
      <c r="D112" s="140"/>
      <c r="F112" s="142">
        <v>41944</v>
      </c>
      <c r="G112" s="139">
        <v>4643</v>
      </c>
      <c r="H112" s="140"/>
      <c r="J112" s="142">
        <v>39387</v>
      </c>
      <c r="K112" s="139">
        <v>79180</v>
      </c>
      <c r="L112" s="140"/>
    </row>
    <row r="113" spans="2:12" x14ac:dyDescent="0.25">
      <c r="B113" s="142">
        <v>40513</v>
      </c>
      <c r="C113" s="139">
        <v>447200</v>
      </c>
      <c r="D113" s="140"/>
      <c r="F113" s="142">
        <v>41974</v>
      </c>
      <c r="G113" s="139">
        <v>4144</v>
      </c>
      <c r="H113" s="140"/>
      <c r="J113" s="142">
        <v>39417</v>
      </c>
      <c r="K113" s="139">
        <v>82284</v>
      </c>
      <c r="L113" s="140"/>
    </row>
    <row r="114" spans="2:12" x14ac:dyDescent="0.25">
      <c r="B114" s="142">
        <v>40544</v>
      </c>
      <c r="C114" s="139">
        <v>427500</v>
      </c>
      <c r="D114" s="140"/>
      <c r="F114" s="142">
        <v>42005</v>
      </c>
      <c r="G114" s="139">
        <v>1656</v>
      </c>
      <c r="H114" s="140"/>
      <c r="J114" s="142">
        <v>39448</v>
      </c>
      <c r="K114" s="139">
        <v>84496</v>
      </c>
      <c r="L114" s="140"/>
    </row>
    <row r="115" spans="2:12" x14ac:dyDescent="0.25">
      <c r="B115" s="142">
        <v>40575</v>
      </c>
      <c r="C115" s="139">
        <v>385200</v>
      </c>
      <c r="D115" s="140"/>
      <c r="F115" s="142">
        <v>42036</v>
      </c>
      <c r="G115" s="139">
        <v>85</v>
      </c>
      <c r="H115" s="140"/>
      <c r="J115" s="142">
        <v>39479</v>
      </c>
      <c r="K115" s="139">
        <v>96200</v>
      </c>
      <c r="L115" s="140"/>
    </row>
    <row r="116" spans="2:12" x14ac:dyDescent="0.25">
      <c r="B116" s="142">
        <v>40603</v>
      </c>
      <c r="C116" s="139">
        <v>595800</v>
      </c>
      <c r="D116" s="140"/>
      <c r="F116" s="142">
        <v>42064</v>
      </c>
      <c r="G116" s="139">
        <v>1668</v>
      </c>
      <c r="H116" s="140"/>
      <c r="J116" s="142">
        <v>39508</v>
      </c>
      <c r="K116" s="139">
        <v>143300</v>
      </c>
      <c r="L116" s="140"/>
    </row>
    <row r="117" spans="2:12" x14ac:dyDescent="0.25">
      <c r="B117" s="142">
        <v>40634</v>
      </c>
      <c r="C117" s="139">
        <v>943200</v>
      </c>
      <c r="D117" s="140"/>
      <c r="F117" s="142">
        <v>42095</v>
      </c>
      <c r="G117" s="139">
        <v>6905</v>
      </c>
      <c r="H117" s="140"/>
      <c r="J117" s="142">
        <v>39539</v>
      </c>
      <c r="K117" s="139">
        <v>173177</v>
      </c>
      <c r="L117" s="140"/>
    </row>
    <row r="118" spans="2:12" x14ac:dyDescent="0.25">
      <c r="B118" s="142">
        <v>40664</v>
      </c>
      <c r="C118" s="139">
        <v>2220000</v>
      </c>
      <c r="D118" s="140"/>
      <c r="F118" s="142">
        <v>42125</v>
      </c>
      <c r="G118" s="139">
        <v>7492</v>
      </c>
      <c r="H118" s="140"/>
      <c r="J118" s="142">
        <v>39569</v>
      </c>
      <c r="K118" s="139">
        <v>134142</v>
      </c>
      <c r="L118" s="140"/>
    </row>
    <row r="119" spans="2:12" x14ac:dyDescent="0.25">
      <c r="B119" s="142">
        <v>40695</v>
      </c>
      <c r="C119" s="139">
        <v>4866300</v>
      </c>
      <c r="D119" s="140"/>
      <c r="F119" s="142">
        <v>42156</v>
      </c>
      <c r="G119" s="139">
        <v>2499</v>
      </c>
      <c r="H119" s="140"/>
      <c r="J119" s="142">
        <v>39600</v>
      </c>
      <c r="K119" s="139">
        <v>114030</v>
      </c>
      <c r="L119" s="140"/>
    </row>
    <row r="120" spans="2:12" x14ac:dyDescent="0.25">
      <c r="B120" s="142">
        <v>40725</v>
      </c>
      <c r="C120" s="139">
        <v>3756000</v>
      </c>
      <c r="D120" s="140"/>
      <c r="F120" s="142">
        <v>42186</v>
      </c>
      <c r="G120" s="139">
        <v>2050</v>
      </c>
      <c r="H120" s="140"/>
      <c r="J120" s="142">
        <v>39630</v>
      </c>
      <c r="K120" s="139">
        <v>65038</v>
      </c>
      <c r="L120" s="140"/>
    </row>
    <row r="121" spans="2:12" x14ac:dyDescent="0.25">
      <c r="B121" s="142">
        <v>40756</v>
      </c>
      <c r="C121" s="139">
        <v>973700</v>
      </c>
      <c r="D121" s="140"/>
      <c r="F121" s="142">
        <v>42217</v>
      </c>
      <c r="G121" s="139">
        <v>3459</v>
      </c>
      <c r="H121" s="140"/>
      <c r="J121" s="142">
        <v>39661</v>
      </c>
      <c r="K121" s="139">
        <v>67740</v>
      </c>
      <c r="L121" s="140"/>
    </row>
    <row r="122" spans="2:12" x14ac:dyDescent="0.25">
      <c r="B122" s="142">
        <v>40787</v>
      </c>
      <c r="C122" s="139">
        <v>743800</v>
      </c>
      <c r="D122">
        <f>SUM(C111:C122)/1000</f>
        <v>16338.3</v>
      </c>
      <c r="F122" s="142">
        <v>42248</v>
      </c>
      <c r="G122" s="139">
        <v>6635</v>
      </c>
      <c r="H122">
        <f>SUM(G111:G122)/1000</f>
        <v>47.871000000000002</v>
      </c>
      <c r="J122" s="142">
        <v>39692</v>
      </c>
      <c r="K122" s="139">
        <v>60952</v>
      </c>
      <c r="L122">
        <f>SUM(K111:K122)/1000</f>
        <v>1182.298</v>
      </c>
    </row>
    <row r="123" spans="2:12" x14ac:dyDescent="0.25">
      <c r="B123" s="142">
        <v>40817</v>
      </c>
      <c r="C123" s="139">
        <v>692600</v>
      </c>
      <c r="D123" s="140"/>
      <c r="J123" s="142">
        <v>39722</v>
      </c>
      <c r="K123" s="139">
        <v>81381</v>
      </c>
      <c r="L123" s="140"/>
    </row>
    <row r="124" spans="2:12" x14ac:dyDescent="0.25">
      <c r="B124" s="142">
        <v>40848</v>
      </c>
      <c r="C124" s="139">
        <v>594000</v>
      </c>
      <c r="D124" s="140"/>
      <c r="J124" s="142">
        <v>39753</v>
      </c>
      <c r="K124" s="139">
        <v>79140</v>
      </c>
      <c r="L124" s="140"/>
    </row>
    <row r="125" spans="2:12" x14ac:dyDescent="0.25">
      <c r="B125" s="142">
        <v>40878</v>
      </c>
      <c r="C125" s="139">
        <v>486600</v>
      </c>
      <c r="D125" s="140"/>
      <c r="J125" s="142">
        <v>39783</v>
      </c>
      <c r="K125" s="139">
        <v>81838</v>
      </c>
      <c r="L125" s="140"/>
    </row>
    <row r="126" spans="2:12" x14ac:dyDescent="0.25">
      <c r="B126" s="142">
        <v>40909</v>
      </c>
      <c r="C126" s="139">
        <v>503100</v>
      </c>
      <c r="D126" s="140"/>
      <c r="J126" s="142">
        <v>39814</v>
      </c>
      <c r="K126" s="139">
        <v>81541</v>
      </c>
      <c r="L126" s="140"/>
    </row>
    <row r="127" spans="2:12" x14ac:dyDescent="0.25">
      <c r="B127" s="142">
        <v>40940</v>
      </c>
      <c r="C127" s="139">
        <v>459900</v>
      </c>
      <c r="D127" s="140"/>
      <c r="J127" s="142">
        <v>39845</v>
      </c>
      <c r="K127" s="139">
        <v>73845</v>
      </c>
      <c r="L127" s="140"/>
    </row>
    <row r="128" spans="2:12" x14ac:dyDescent="0.25">
      <c r="B128" s="142">
        <v>40969</v>
      </c>
      <c r="C128" s="139">
        <v>624800</v>
      </c>
      <c r="D128" s="140"/>
      <c r="J128" s="142">
        <v>39873</v>
      </c>
      <c r="K128" s="139">
        <v>108040</v>
      </c>
      <c r="L128" s="140"/>
    </row>
    <row r="129" spans="2:12" x14ac:dyDescent="0.25">
      <c r="B129" s="142">
        <v>41000</v>
      </c>
      <c r="C129" s="139">
        <v>689300</v>
      </c>
      <c r="D129" s="140"/>
      <c r="J129" s="142">
        <v>39904</v>
      </c>
      <c r="K129" s="139">
        <v>95365</v>
      </c>
      <c r="L129" s="140"/>
    </row>
    <row r="130" spans="2:12" x14ac:dyDescent="0.25">
      <c r="B130" s="142">
        <v>41030</v>
      </c>
      <c r="C130" s="139">
        <v>769700</v>
      </c>
      <c r="D130" s="140"/>
      <c r="J130" s="142">
        <v>39934</v>
      </c>
      <c r="K130" s="139">
        <v>90704</v>
      </c>
      <c r="L130" s="140"/>
    </row>
    <row r="131" spans="2:12" x14ac:dyDescent="0.25">
      <c r="B131" s="142">
        <v>41061</v>
      </c>
      <c r="C131" s="139">
        <v>397500</v>
      </c>
      <c r="D131" s="140"/>
      <c r="J131" s="142">
        <v>39965</v>
      </c>
      <c r="K131" s="139">
        <v>90670</v>
      </c>
      <c r="L131" s="140"/>
    </row>
    <row r="132" spans="2:12" x14ac:dyDescent="0.25">
      <c r="B132" s="142">
        <v>41091</v>
      </c>
      <c r="C132" s="139">
        <v>284500</v>
      </c>
      <c r="D132" s="140"/>
      <c r="J132" s="142">
        <v>39995</v>
      </c>
      <c r="K132" s="139">
        <v>63310</v>
      </c>
      <c r="L132" s="140"/>
    </row>
    <row r="133" spans="2:12" x14ac:dyDescent="0.25">
      <c r="B133" s="142">
        <v>41122</v>
      </c>
      <c r="C133" s="139">
        <v>288600</v>
      </c>
      <c r="D133" s="140"/>
      <c r="J133" s="142">
        <v>40026</v>
      </c>
      <c r="K133" s="139">
        <v>61200</v>
      </c>
      <c r="L133" s="140"/>
    </row>
    <row r="134" spans="2:12" x14ac:dyDescent="0.25">
      <c r="B134" s="142">
        <v>41153</v>
      </c>
      <c r="C134" s="139">
        <v>295700</v>
      </c>
      <c r="D134">
        <f>SUM(C123:C134)/1000</f>
        <v>6086.3</v>
      </c>
      <c r="J134" s="142">
        <v>40057</v>
      </c>
      <c r="K134" s="139">
        <v>59310</v>
      </c>
      <c r="L134">
        <f>SUM(K123:K134)/1000</f>
        <v>966.34400000000005</v>
      </c>
    </row>
    <row r="135" spans="2:12" x14ac:dyDescent="0.25">
      <c r="B135" s="142">
        <v>41183</v>
      </c>
      <c r="C135" s="139">
        <v>294100</v>
      </c>
      <c r="D135" s="140"/>
      <c r="J135" s="142">
        <v>40087</v>
      </c>
      <c r="K135" s="139">
        <v>79700</v>
      </c>
      <c r="L135" s="140"/>
    </row>
    <row r="136" spans="2:12" x14ac:dyDescent="0.25">
      <c r="B136" s="142">
        <v>41214</v>
      </c>
      <c r="C136" s="139">
        <v>273000</v>
      </c>
      <c r="D136" s="140"/>
      <c r="J136" s="142">
        <v>40118</v>
      </c>
      <c r="K136" s="139">
        <v>78089</v>
      </c>
      <c r="L136" s="140"/>
    </row>
    <row r="137" spans="2:12" x14ac:dyDescent="0.25">
      <c r="B137" s="142">
        <v>41244</v>
      </c>
      <c r="C137" s="139">
        <v>247100</v>
      </c>
      <c r="D137" s="140"/>
      <c r="J137" s="142">
        <v>40148</v>
      </c>
      <c r="K137" s="139">
        <v>81104</v>
      </c>
      <c r="L137" s="140"/>
    </row>
    <row r="138" spans="2:12" x14ac:dyDescent="0.25">
      <c r="B138" s="142">
        <v>41275</v>
      </c>
      <c r="C138" s="139" t="s">
        <v>248</v>
      </c>
      <c r="D138" s="140"/>
      <c r="J138" s="142">
        <v>40179</v>
      </c>
      <c r="K138" s="139">
        <v>81243</v>
      </c>
      <c r="L138" s="140"/>
    </row>
    <row r="139" spans="2:12" x14ac:dyDescent="0.25">
      <c r="B139" s="142">
        <v>41306</v>
      </c>
      <c r="C139" s="139">
        <v>299500</v>
      </c>
      <c r="D139" s="140"/>
      <c r="J139" s="142">
        <v>40210</v>
      </c>
      <c r="K139" s="139">
        <v>73884</v>
      </c>
      <c r="L139" s="140"/>
    </row>
    <row r="140" spans="2:12" x14ac:dyDescent="0.25">
      <c r="B140" s="142">
        <v>41334</v>
      </c>
      <c r="C140" s="139">
        <v>356700</v>
      </c>
      <c r="D140" s="140"/>
      <c r="J140" s="142">
        <v>40238</v>
      </c>
      <c r="K140" s="139">
        <v>87748</v>
      </c>
      <c r="L140" s="140"/>
    </row>
    <row r="141" spans="2:12" x14ac:dyDescent="0.25">
      <c r="B141" s="142">
        <v>41365</v>
      </c>
      <c r="C141" s="139">
        <v>325900</v>
      </c>
      <c r="D141" s="140"/>
      <c r="J141" s="142">
        <v>40269</v>
      </c>
      <c r="K141" s="139">
        <v>79894</v>
      </c>
      <c r="L141" s="140"/>
    </row>
    <row r="142" spans="2:12" x14ac:dyDescent="0.25">
      <c r="B142" s="142">
        <v>41395</v>
      </c>
      <c r="C142" s="139">
        <v>924600</v>
      </c>
      <c r="D142" s="140"/>
      <c r="J142" s="142">
        <v>40299</v>
      </c>
      <c r="K142" s="139">
        <v>75352</v>
      </c>
      <c r="L142" s="140"/>
    </row>
    <row r="143" spans="2:12" x14ac:dyDescent="0.25">
      <c r="B143" s="142">
        <v>41426</v>
      </c>
      <c r="C143" s="139">
        <v>906500</v>
      </c>
      <c r="D143" s="140"/>
      <c r="J143" s="142">
        <v>40330</v>
      </c>
      <c r="K143" s="139">
        <v>62499</v>
      </c>
      <c r="L143" s="140"/>
    </row>
    <row r="144" spans="2:12" x14ac:dyDescent="0.25">
      <c r="B144" s="142">
        <v>41456</v>
      </c>
      <c r="C144" s="139">
        <v>297700</v>
      </c>
      <c r="D144" s="140"/>
      <c r="J144" s="142">
        <v>40360</v>
      </c>
      <c r="K144" s="139">
        <v>50436</v>
      </c>
      <c r="L144" s="140"/>
    </row>
    <row r="145" spans="2:12" x14ac:dyDescent="0.25">
      <c r="B145" s="142">
        <v>41487</v>
      </c>
      <c r="C145" s="139">
        <v>400900</v>
      </c>
      <c r="D145" s="140"/>
      <c r="J145" s="142">
        <v>40391</v>
      </c>
      <c r="K145" s="139">
        <v>62384</v>
      </c>
      <c r="L145" s="140"/>
    </row>
    <row r="146" spans="2:12" x14ac:dyDescent="0.25">
      <c r="B146" s="142">
        <v>41518</v>
      </c>
      <c r="C146" s="139">
        <v>801800</v>
      </c>
      <c r="D146">
        <f>SUM(C135:C146)/1000</f>
        <v>5127.8</v>
      </c>
      <c r="J146" s="142">
        <v>40422</v>
      </c>
      <c r="K146" s="139">
        <v>61150</v>
      </c>
      <c r="L146">
        <f>SUM(K135:K146)/1000</f>
        <v>873.48299999999995</v>
      </c>
    </row>
    <row r="147" spans="2:12" x14ac:dyDescent="0.25">
      <c r="B147" s="142">
        <v>41548</v>
      </c>
      <c r="C147" s="139">
        <v>475000</v>
      </c>
      <c r="D147" s="140"/>
      <c r="J147" s="142">
        <v>40452</v>
      </c>
      <c r="K147" s="139">
        <v>63650</v>
      </c>
      <c r="L147" s="140"/>
    </row>
    <row r="148" spans="2:12" x14ac:dyDescent="0.25">
      <c r="B148" s="142">
        <v>41579</v>
      </c>
      <c r="C148" s="139">
        <v>419100</v>
      </c>
      <c r="D148" s="140"/>
      <c r="J148" s="142">
        <v>40483</v>
      </c>
      <c r="K148" s="139">
        <v>79180</v>
      </c>
      <c r="L148" s="140"/>
    </row>
    <row r="149" spans="2:12" x14ac:dyDescent="0.25">
      <c r="B149" s="142">
        <v>41609</v>
      </c>
      <c r="C149" s="139">
        <v>291200</v>
      </c>
      <c r="D149" s="140"/>
      <c r="J149" s="142">
        <v>40513</v>
      </c>
      <c r="K149" s="139">
        <v>89256</v>
      </c>
      <c r="L149" s="140"/>
    </row>
    <row r="150" spans="2:12" x14ac:dyDescent="0.25">
      <c r="B150" s="142">
        <v>41640</v>
      </c>
      <c r="C150" s="139">
        <v>271300</v>
      </c>
      <c r="D150" s="140"/>
      <c r="J150" s="142">
        <v>40544</v>
      </c>
      <c r="K150" s="139">
        <v>91299</v>
      </c>
      <c r="L150" s="140"/>
    </row>
    <row r="151" spans="2:12" x14ac:dyDescent="0.25">
      <c r="B151" s="142">
        <v>41671</v>
      </c>
      <c r="C151" s="139">
        <v>320700</v>
      </c>
      <c r="D151" s="140"/>
      <c r="J151" s="142">
        <v>40575</v>
      </c>
      <c r="K151" s="139">
        <v>106036</v>
      </c>
      <c r="L151" s="140"/>
    </row>
    <row r="152" spans="2:12" x14ac:dyDescent="0.25">
      <c r="B152" s="142">
        <v>41699</v>
      </c>
      <c r="C152" s="139">
        <v>444300</v>
      </c>
      <c r="D152" s="140"/>
      <c r="J152" s="142">
        <v>40603</v>
      </c>
      <c r="K152" s="139">
        <v>199359</v>
      </c>
      <c r="L152" s="140"/>
    </row>
    <row r="153" spans="2:12" x14ac:dyDescent="0.25">
      <c r="B153" s="142">
        <v>41730</v>
      </c>
      <c r="C153" s="139">
        <v>774100</v>
      </c>
      <c r="D153" s="140"/>
      <c r="J153" s="142">
        <v>40634</v>
      </c>
      <c r="K153" s="139">
        <v>247874</v>
      </c>
      <c r="L153" s="140"/>
    </row>
    <row r="154" spans="2:12" x14ac:dyDescent="0.25">
      <c r="B154" s="142">
        <v>41760</v>
      </c>
      <c r="C154" s="139">
        <v>1632000</v>
      </c>
      <c r="D154" s="140"/>
      <c r="J154" s="142">
        <v>40664</v>
      </c>
      <c r="K154" s="139">
        <v>210209</v>
      </c>
      <c r="L154" s="140"/>
    </row>
    <row r="155" spans="2:12" x14ac:dyDescent="0.25">
      <c r="B155" s="142">
        <v>41791</v>
      </c>
      <c r="C155" s="139">
        <v>2675900</v>
      </c>
      <c r="D155" s="140"/>
      <c r="J155" s="142">
        <v>40695</v>
      </c>
      <c r="K155" s="139">
        <v>145587</v>
      </c>
      <c r="L155" s="140"/>
    </row>
    <row r="156" spans="2:12" x14ac:dyDescent="0.25">
      <c r="B156" s="142">
        <v>41821</v>
      </c>
      <c r="C156" s="139">
        <v>730500</v>
      </c>
      <c r="D156" s="140"/>
      <c r="J156" s="142">
        <v>40725</v>
      </c>
      <c r="K156" s="139">
        <v>72039</v>
      </c>
      <c r="L156" s="140"/>
    </row>
    <row r="157" spans="2:12" x14ac:dyDescent="0.25">
      <c r="B157" s="142">
        <v>41852</v>
      </c>
      <c r="C157" s="139">
        <v>615200</v>
      </c>
      <c r="D157" s="140"/>
      <c r="J157" s="142">
        <v>40756</v>
      </c>
      <c r="K157" s="139">
        <v>64522</v>
      </c>
      <c r="L157" s="140"/>
    </row>
    <row r="158" spans="2:12" x14ac:dyDescent="0.25">
      <c r="B158" s="142">
        <v>41883</v>
      </c>
      <c r="C158" s="139">
        <v>621600</v>
      </c>
      <c r="D158">
        <f>SUM(C147:C158)/1000</f>
        <v>9270.9</v>
      </c>
      <c r="J158" s="142">
        <v>40787</v>
      </c>
      <c r="K158" s="139">
        <v>64185</v>
      </c>
      <c r="L158">
        <f>SUM(K147:K158)/1000</f>
        <v>1433.1959999999999</v>
      </c>
    </row>
    <row r="159" spans="2:12" x14ac:dyDescent="0.25">
      <c r="B159" s="142">
        <v>41913</v>
      </c>
      <c r="C159" s="139">
        <v>635800</v>
      </c>
      <c r="D159" s="140"/>
      <c r="J159" s="142">
        <v>40817</v>
      </c>
      <c r="K159" s="139">
        <v>63590</v>
      </c>
      <c r="L159" s="140"/>
    </row>
    <row r="160" spans="2:12" x14ac:dyDescent="0.25">
      <c r="B160" s="142">
        <v>41944</v>
      </c>
      <c r="C160" s="139">
        <v>418600</v>
      </c>
      <c r="D160" s="140"/>
      <c r="J160" s="142">
        <v>40848</v>
      </c>
      <c r="K160" s="139">
        <v>81977</v>
      </c>
      <c r="L160" s="140"/>
    </row>
    <row r="161" spans="2:12" x14ac:dyDescent="0.25">
      <c r="B161" s="142">
        <v>41974</v>
      </c>
      <c r="C161" s="139">
        <v>465200</v>
      </c>
      <c r="D161" s="140"/>
      <c r="J161" s="142">
        <v>40878</v>
      </c>
      <c r="K161" s="139">
        <v>74142</v>
      </c>
      <c r="L161" s="140"/>
    </row>
    <row r="162" spans="2:12" x14ac:dyDescent="0.25">
      <c r="B162" s="142">
        <v>42005</v>
      </c>
      <c r="C162" s="139">
        <v>448500</v>
      </c>
      <c r="D162" s="140"/>
      <c r="J162" s="142">
        <v>40909</v>
      </c>
      <c r="K162" s="139">
        <v>72614</v>
      </c>
      <c r="L162" s="140"/>
    </row>
    <row r="163" spans="2:12" x14ac:dyDescent="0.25">
      <c r="B163" s="142">
        <v>42036</v>
      </c>
      <c r="C163" s="139">
        <v>464100</v>
      </c>
      <c r="D163" s="140"/>
      <c r="J163" s="142">
        <v>40940</v>
      </c>
      <c r="K163" s="139">
        <v>57660</v>
      </c>
      <c r="L163" s="140"/>
    </row>
    <row r="164" spans="2:12" x14ac:dyDescent="0.25">
      <c r="B164" s="142">
        <v>42064</v>
      </c>
      <c r="C164" s="139">
        <v>543400</v>
      </c>
      <c r="D164" s="140"/>
      <c r="J164" s="142">
        <v>40969</v>
      </c>
      <c r="K164" s="139">
        <v>85666</v>
      </c>
      <c r="L164" s="140"/>
    </row>
    <row r="165" spans="2:12" x14ac:dyDescent="0.25">
      <c r="B165" s="142">
        <v>42095</v>
      </c>
      <c r="C165" s="139">
        <v>539300</v>
      </c>
      <c r="D165" s="140"/>
      <c r="J165" s="142">
        <v>41000</v>
      </c>
      <c r="K165" s="139">
        <v>197300</v>
      </c>
      <c r="L165" s="140"/>
    </row>
    <row r="166" spans="2:12" x14ac:dyDescent="0.25">
      <c r="B166" s="142">
        <v>42125</v>
      </c>
      <c r="C166" s="139">
        <v>1431200</v>
      </c>
      <c r="D166" s="140"/>
      <c r="J166" s="142">
        <v>41030</v>
      </c>
      <c r="K166" s="139">
        <v>158063</v>
      </c>
      <c r="L166" s="140"/>
    </row>
    <row r="167" spans="2:12" x14ac:dyDescent="0.25">
      <c r="B167" s="142">
        <v>42156</v>
      </c>
      <c r="C167" s="139">
        <v>2570000</v>
      </c>
      <c r="D167" s="140"/>
      <c r="J167" s="142">
        <v>41061</v>
      </c>
      <c r="K167" s="139">
        <v>92450</v>
      </c>
      <c r="L167" s="140"/>
    </row>
    <row r="168" spans="2:12" x14ac:dyDescent="0.25">
      <c r="B168" s="142">
        <v>42186</v>
      </c>
      <c r="C168" s="139">
        <v>1001800</v>
      </c>
      <c r="D168" s="140"/>
      <c r="J168" s="142">
        <v>41091</v>
      </c>
      <c r="K168" s="139">
        <v>63650</v>
      </c>
      <c r="L168" s="140"/>
    </row>
    <row r="169" spans="2:12" x14ac:dyDescent="0.25">
      <c r="B169" s="142">
        <v>42217</v>
      </c>
      <c r="C169" s="139">
        <v>465800</v>
      </c>
      <c r="D169" s="140"/>
      <c r="J169" s="142">
        <v>41122</v>
      </c>
      <c r="K169" s="139">
        <v>63769</v>
      </c>
      <c r="L169" s="140"/>
    </row>
    <row r="170" spans="2:12" x14ac:dyDescent="0.25">
      <c r="B170" s="142">
        <v>42248</v>
      </c>
      <c r="C170" s="139">
        <v>434600</v>
      </c>
      <c r="D170">
        <f>SUM(C159:C170)/1000</f>
        <v>9418.2999999999993</v>
      </c>
      <c r="J170" s="142">
        <v>41153</v>
      </c>
      <c r="K170" s="139">
        <v>62023</v>
      </c>
      <c r="L170">
        <f>SUM(K159:K170)/1000</f>
        <v>1072.904</v>
      </c>
    </row>
    <row r="171" spans="2:12" x14ac:dyDescent="0.25">
      <c r="J171" s="142">
        <v>41183</v>
      </c>
      <c r="K171" s="139">
        <v>62501</v>
      </c>
      <c r="L171" s="140"/>
    </row>
    <row r="172" spans="2:12" x14ac:dyDescent="0.25">
      <c r="J172" s="142">
        <v>41214</v>
      </c>
      <c r="K172" s="139">
        <v>65887</v>
      </c>
      <c r="L172" s="140"/>
    </row>
    <row r="173" spans="2:12" x14ac:dyDescent="0.25">
      <c r="J173" s="142">
        <v>41244</v>
      </c>
      <c r="K173" s="139">
        <v>69253</v>
      </c>
      <c r="L173" s="140"/>
    </row>
    <row r="174" spans="2:12" x14ac:dyDescent="0.25">
      <c r="J174" s="142">
        <v>41275</v>
      </c>
      <c r="K174" s="139">
        <v>70175</v>
      </c>
      <c r="L174" s="140"/>
    </row>
    <row r="175" spans="2:12" x14ac:dyDescent="0.25">
      <c r="J175" s="142">
        <v>41306</v>
      </c>
      <c r="K175" s="139">
        <v>59357</v>
      </c>
      <c r="L175" s="140"/>
    </row>
    <row r="176" spans="2:12" x14ac:dyDescent="0.25">
      <c r="J176" s="142">
        <v>41334</v>
      </c>
      <c r="K176" s="139">
        <v>105045</v>
      </c>
      <c r="L176" s="140"/>
    </row>
    <row r="177" spans="10:12" x14ac:dyDescent="0.25">
      <c r="J177" s="142">
        <v>41365</v>
      </c>
      <c r="K177" s="139">
        <v>90228</v>
      </c>
      <c r="L177" s="140"/>
    </row>
    <row r="178" spans="10:12" x14ac:dyDescent="0.25">
      <c r="J178" s="142">
        <v>41395</v>
      </c>
      <c r="K178" s="139">
        <v>71008</v>
      </c>
      <c r="L178" s="140"/>
    </row>
    <row r="179" spans="10:12" x14ac:dyDescent="0.25">
      <c r="J179" s="142">
        <v>41426</v>
      </c>
      <c r="K179" s="139">
        <v>61133</v>
      </c>
      <c r="L179" s="140"/>
    </row>
    <row r="180" spans="10:12" x14ac:dyDescent="0.25">
      <c r="J180" s="142">
        <v>41456</v>
      </c>
      <c r="K180" s="139">
        <v>56001</v>
      </c>
      <c r="L180" s="140"/>
    </row>
    <row r="181" spans="10:12" x14ac:dyDescent="0.25">
      <c r="J181" s="142">
        <v>41487</v>
      </c>
      <c r="K181" s="139">
        <v>55652</v>
      </c>
      <c r="L181" s="140"/>
    </row>
    <row r="182" spans="10:12" x14ac:dyDescent="0.25">
      <c r="J182" s="142">
        <v>41518</v>
      </c>
      <c r="K182" s="139">
        <v>59659</v>
      </c>
      <c r="L182">
        <f>SUM(K171:K182)/1000</f>
        <v>825.899</v>
      </c>
    </row>
    <row r="183" spans="10:12" x14ac:dyDescent="0.25">
      <c r="J183" s="142">
        <v>41548</v>
      </c>
      <c r="K183" s="139">
        <v>63041</v>
      </c>
      <c r="L183" s="140"/>
    </row>
    <row r="184" spans="10:12" x14ac:dyDescent="0.25">
      <c r="J184" s="142">
        <v>41579</v>
      </c>
      <c r="K184" s="139">
        <v>60694</v>
      </c>
      <c r="L184" s="140"/>
    </row>
    <row r="185" spans="10:12" x14ac:dyDescent="0.25">
      <c r="J185" s="142">
        <v>41609</v>
      </c>
      <c r="K185" s="139">
        <v>59260</v>
      </c>
      <c r="L185" s="140"/>
    </row>
    <row r="186" spans="10:12" x14ac:dyDescent="0.25">
      <c r="J186" s="142">
        <v>41640</v>
      </c>
      <c r="K186" s="139">
        <v>59300</v>
      </c>
      <c r="L186" s="140"/>
    </row>
    <row r="187" spans="10:12" x14ac:dyDescent="0.25">
      <c r="J187" s="142">
        <v>41671</v>
      </c>
      <c r="K187" s="139">
        <v>58970</v>
      </c>
      <c r="L187" s="140"/>
    </row>
    <row r="188" spans="10:12" x14ac:dyDescent="0.25">
      <c r="J188" s="142">
        <v>41699</v>
      </c>
      <c r="K188" s="139">
        <v>88578</v>
      </c>
      <c r="L188" s="140"/>
    </row>
    <row r="189" spans="10:12" x14ac:dyDescent="0.25">
      <c r="J189" s="142">
        <v>41730</v>
      </c>
      <c r="K189" s="139">
        <v>80072</v>
      </c>
      <c r="L189" s="140"/>
    </row>
    <row r="190" spans="10:12" x14ac:dyDescent="0.25">
      <c r="J190" s="142">
        <v>41760</v>
      </c>
      <c r="K190" s="139">
        <v>75430</v>
      </c>
      <c r="L190" s="140"/>
    </row>
    <row r="191" spans="10:12" x14ac:dyDescent="0.25">
      <c r="J191" s="142">
        <v>41791</v>
      </c>
      <c r="K191" s="139">
        <v>67160</v>
      </c>
      <c r="L191" s="140"/>
    </row>
    <row r="192" spans="10:12" x14ac:dyDescent="0.25">
      <c r="J192" s="142">
        <v>41821</v>
      </c>
      <c r="K192" s="139">
        <v>54216</v>
      </c>
      <c r="L192" s="140"/>
    </row>
    <row r="193" spans="10:12" x14ac:dyDescent="0.25">
      <c r="J193" s="142">
        <v>41852</v>
      </c>
      <c r="K193" s="139">
        <v>55154</v>
      </c>
      <c r="L193" s="140"/>
    </row>
    <row r="194" spans="10:12" x14ac:dyDescent="0.25">
      <c r="J194" s="142">
        <v>41883</v>
      </c>
      <c r="K194" s="139">
        <v>63652</v>
      </c>
      <c r="L194">
        <f>SUM(K183:K194)/1000</f>
        <v>785.52700000000004</v>
      </c>
    </row>
    <row r="195" spans="10:12" x14ac:dyDescent="0.25">
      <c r="J195" s="142">
        <v>41913</v>
      </c>
      <c r="K195" s="139">
        <v>78345</v>
      </c>
      <c r="L195" s="140"/>
    </row>
    <row r="196" spans="10:12" x14ac:dyDescent="0.25">
      <c r="J196" s="142">
        <v>41944</v>
      </c>
      <c r="K196" s="139">
        <v>62346</v>
      </c>
      <c r="L196" s="140"/>
    </row>
    <row r="197" spans="10:12" x14ac:dyDescent="0.25">
      <c r="J197" s="142">
        <v>41974</v>
      </c>
      <c r="K197" s="139">
        <v>61706</v>
      </c>
      <c r="L197" s="140"/>
    </row>
    <row r="198" spans="10:12" x14ac:dyDescent="0.25">
      <c r="J198" s="142">
        <v>42005</v>
      </c>
      <c r="K198" s="139">
        <v>66204</v>
      </c>
      <c r="L198" s="140"/>
    </row>
    <row r="199" spans="10:12" x14ac:dyDescent="0.25">
      <c r="J199" s="142">
        <v>42036</v>
      </c>
      <c r="K199" s="139">
        <v>67644</v>
      </c>
      <c r="L199" s="140"/>
    </row>
    <row r="200" spans="10:12" x14ac:dyDescent="0.25">
      <c r="J200" s="142">
        <v>42064</v>
      </c>
      <c r="K200" s="139">
        <v>73710</v>
      </c>
      <c r="L200" s="140"/>
    </row>
    <row r="201" spans="10:12" x14ac:dyDescent="0.25">
      <c r="J201" s="142">
        <v>42095</v>
      </c>
      <c r="K201" s="139">
        <v>85567</v>
      </c>
      <c r="L201" s="140"/>
    </row>
    <row r="202" spans="10:12" x14ac:dyDescent="0.25">
      <c r="J202" s="142">
        <v>42125</v>
      </c>
      <c r="K202" s="139">
        <v>70910</v>
      </c>
      <c r="L202" s="140"/>
    </row>
    <row r="203" spans="10:12" x14ac:dyDescent="0.25">
      <c r="J203" s="142">
        <v>42156</v>
      </c>
      <c r="K203" s="139">
        <v>59660</v>
      </c>
      <c r="L203" s="140"/>
    </row>
    <row r="204" spans="10:12" x14ac:dyDescent="0.25">
      <c r="J204" s="142">
        <v>42186</v>
      </c>
      <c r="K204" s="139">
        <v>54069</v>
      </c>
      <c r="L204" s="140"/>
    </row>
    <row r="205" spans="10:12" x14ac:dyDescent="0.25">
      <c r="J205" s="142">
        <v>42217</v>
      </c>
      <c r="K205" s="139">
        <v>53850</v>
      </c>
      <c r="L205" s="140"/>
    </row>
    <row r="206" spans="10:12" x14ac:dyDescent="0.25">
      <c r="J206" s="142">
        <v>42248</v>
      </c>
      <c r="K206" s="139">
        <v>58140</v>
      </c>
      <c r="L206">
        <f>SUM(K195:K206)/1000</f>
        <v>792.15099999999995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selection activeCell="H9" sqref="H9"/>
    </sheetView>
  </sheetViews>
  <sheetFormatPr defaultRowHeight="12.5" x14ac:dyDescent="0.25"/>
  <cols>
    <col min="3" max="3" width="9.1796875" bestFit="1" customWidth="1"/>
    <col min="6" max="6" width="3.54296875" customWidth="1"/>
    <col min="11" max="11" width="2.90625" customWidth="1"/>
  </cols>
  <sheetData>
    <row r="1" spans="1:15" x14ac:dyDescent="0.25">
      <c r="B1">
        <v>11454210</v>
      </c>
      <c r="C1" t="s">
        <v>42</v>
      </c>
      <c r="H1">
        <v>11276600</v>
      </c>
      <c r="I1" t="s">
        <v>259</v>
      </c>
      <c r="L1" t="s">
        <v>262</v>
      </c>
      <c r="M1">
        <v>11510700</v>
      </c>
      <c r="N1" t="s">
        <v>263</v>
      </c>
    </row>
    <row r="2" spans="1:15" x14ac:dyDescent="0.25">
      <c r="C2" s="137" t="s">
        <v>253</v>
      </c>
      <c r="D2" s="137" t="s">
        <v>254</v>
      </c>
      <c r="H2" s="148" t="s">
        <v>253</v>
      </c>
      <c r="I2" s="148" t="s">
        <v>254</v>
      </c>
      <c r="J2" s="135" t="s">
        <v>232</v>
      </c>
      <c r="M2" s="148" t="s">
        <v>253</v>
      </c>
      <c r="N2" s="148" t="s">
        <v>254</v>
      </c>
      <c r="O2" s="135" t="s">
        <v>232</v>
      </c>
    </row>
    <row r="3" spans="1:15" x14ac:dyDescent="0.25">
      <c r="B3" s="24">
        <v>40087</v>
      </c>
      <c r="C3" s="143">
        <v>6010</v>
      </c>
    </row>
    <row r="4" spans="1:15" x14ac:dyDescent="0.25">
      <c r="B4" s="24">
        <v>40118</v>
      </c>
      <c r="C4" s="143">
        <v>1860</v>
      </c>
    </row>
    <row r="5" spans="1:15" x14ac:dyDescent="0.25">
      <c r="B5" s="24">
        <v>40148</v>
      </c>
      <c r="C5" s="143">
        <v>3520</v>
      </c>
    </row>
    <row r="6" spans="1:15" x14ac:dyDescent="0.25">
      <c r="B6" s="24">
        <v>40179</v>
      </c>
      <c r="C6" s="143">
        <v>3620</v>
      </c>
    </row>
    <row r="7" spans="1:15" x14ac:dyDescent="0.25">
      <c r="B7" s="24">
        <v>40210</v>
      </c>
      <c r="C7" s="143">
        <v>3260</v>
      </c>
    </row>
    <row r="8" spans="1:15" x14ac:dyDescent="0.25">
      <c r="B8" s="24">
        <v>40238</v>
      </c>
      <c r="C8" s="143">
        <v>4100</v>
      </c>
    </row>
    <row r="9" spans="1:15" x14ac:dyDescent="0.25">
      <c r="B9" s="24">
        <v>40269</v>
      </c>
      <c r="C9" s="143">
        <v>7140</v>
      </c>
    </row>
    <row r="10" spans="1:15" x14ac:dyDescent="0.25">
      <c r="B10" s="24">
        <v>40299</v>
      </c>
      <c r="C10" s="143">
        <v>20710</v>
      </c>
    </row>
    <row r="11" spans="1:15" x14ac:dyDescent="0.25">
      <c r="B11" s="24">
        <v>40330</v>
      </c>
      <c r="C11" s="143">
        <v>32030</v>
      </c>
    </row>
    <row r="12" spans="1:15" x14ac:dyDescent="0.25">
      <c r="B12" s="24">
        <v>40360</v>
      </c>
      <c r="C12" s="143">
        <v>39060</v>
      </c>
    </row>
    <row r="13" spans="1:15" x14ac:dyDescent="0.25">
      <c r="B13" s="24">
        <v>40391</v>
      </c>
      <c r="C13" s="143">
        <v>31440</v>
      </c>
    </row>
    <row r="14" spans="1:15" x14ac:dyDescent="0.25">
      <c r="B14" s="24">
        <v>40422</v>
      </c>
      <c r="C14" s="143">
        <v>21600</v>
      </c>
      <c r="D14">
        <f>SUM(C3:C14)/1000</f>
        <v>174.35</v>
      </c>
    </row>
    <row r="15" spans="1:15" x14ac:dyDescent="0.25">
      <c r="A15">
        <v>31</v>
      </c>
      <c r="B15" s="24">
        <v>40452</v>
      </c>
      <c r="C15" s="143">
        <v>9300</v>
      </c>
      <c r="G15" s="153">
        <v>40452</v>
      </c>
      <c r="H15" s="6">
        <f t="shared" ref="H15:H50" si="0">J15*$C$76*$A15</f>
        <v>5533.8842853000006</v>
      </c>
      <c r="J15" s="150">
        <v>90</v>
      </c>
      <c r="M15" s="6">
        <f t="shared" ref="M15:M74" si="1">O15*$C$76*$A15</f>
        <v>56623.933759252992</v>
      </c>
      <c r="O15" s="154">
        <v>920.9</v>
      </c>
    </row>
    <row r="16" spans="1:15" x14ac:dyDescent="0.25">
      <c r="A16">
        <v>30</v>
      </c>
      <c r="B16" s="24">
        <v>40483</v>
      </c>
      <c r="C16" s="143">
        <v>1750</v>
      </c>
      <c r="G16" s="153">
        <v>40483</v>
      </c>
      <c r="H16" s="6">
        <f t="shared" si="0"/>
        <v>6194.3801516099993</v>
      </c>
      <c r="J16" s="152">
        <v>104.1</v>
      </c>
      <c r="M16" s="6">
        <f t="shared" si="1"/>
        <v>75213.222974400007</v>
      </c>
      <c r="O16" s="155">
        <v>1264</v>
      </c>
    </row>
    <row r="17" spans="1:15" x14ac:dyDescent="0.25">
      <c r="A17">
        <v>31</v>
      </c>
      <c r="B17" s="24">
        <v>40513</v>
      </c>
      <c r="C17" s="143">
        <v>2890</v>
      </c>
      <c r="G17" s="153">
        <v>40513</v>
      </c>
      <c r="H17" s="6">
        <f t="shared" si="0"/>
        <v>29606.280926355001</v>
      </c>
      <c r="J17" s="152">
        <v>481.5</v>
      </c>
      <c r="M17" s="6">
        <f t="shared" si="1"/>
        <v>63824.13209046</v>
      </c>
      <c r="O17" s="155">
        <v>1038</v>
      </c>
    </row>
    <row r="18" spans="1:15" x14ac:dyDescent="0.25">
      <c r="A18">
        <v>31</v>
      </c>
      <c r="B18" s="24">
        <v>40544</v>
      </c>
      <c r="C18" s="143">
        <v>3630</v>
      </c>
      <c r="G18" s="153">
        <v>40544</v>
      </c>
      <c r="H18" s="6">
        <f t="shared" si="0"/>
        <v>9635.1074167389979</v>
      </c>
      <c r="J18" s="150">
        <v>156.69999999999999</v>
      </c>
      <c r="M18" s="6">
        <f t="shared" si="1"/>
        <v>67205.950264810002</v>
      </c>
      <c r="O18" s="155">
        <v>1093</v>
      </c>
    </row>
    <row r="19" spans="1:15" x14ac:dyDescent="0.25">
      <c r="A19">
        <v>28</v>
      </c>
      <c r="B19" s="24">
        <v>40575</v>
      </c>
      <c r="C19" s="143">
        <v>3260</v>
      </c>
      <c r="G19" s="153">
        <v>40575</v>
      </c>
      <c r="H19" s="6">
        <f t="shared" si="0"/>
        <v>10968.5950171</v>
      </c>
      <c r="J19" s="150">
        <v>197.5</v>
      </c>
      <c r="M19" s="6">
        <f t="shared" si="1"/>
        <v>94913.05764164</v>
      </c>
      <c r="O19" s="155">
        <v>1709</v>
      </c>
    </row>
    <row r="20" spans="1:15" x14ac:dyDescent="0.25">
      <c r="A20">
        <v>31</v>
      </c>
      <c r="B20" s="24">
        <v>40603</v>
      </c>
      <c r="C20" s="143">
        <v>3420</v>
      </c>
      <c r="G20" s="153">
        <v>40603</v>
      </c>
      <c r="H20" s="6">
        <f t="shared" si="0"/>
        <v>21440.727225379</v>
      </c>
      <c r="J20" s="150">
        <v>348.7</v>
      </c>
      <c r="M20" s="6">
        <f t="shared" si="1"/>
        <v>146094.54513191999</v>
      </c>
      <c r="O20" s="155">
        <v>2376</v>
      </c>
    </row>
    <row r="21" spans="1:15" x14ac:dyDescent="0.25">
      <c r="A21">
        <v>30</v>
      </c>
      <c r="B21" s="24">
        <v>40634</v>
      </c>
      <c r="C21" s="143">
        <v>11910</v>
      </c>
      <c r="G21" s="153">
        <v>40634</v>
      </c>
      <c r="H21" s="6">
        <f t="shared" si="0"/>
        <v>17357.355333569998</v>
      </c>
      <c r="J21" s="150">
        <v>291.7</v>
      </c>
      <c r="M21" s="6">
        <f t="shared" si="1"/>
        <v>197851.2392325</v>
      </c>
      <c r="O21" s="155">
        <v>3325</v>
      </c>
    </row>
    <row r="22" spans="1:15" x14ac:dyDescent="0.25">
      <c r="A22">
        <v>31</v>
      </c>
      <c r="B22" s="24">
        <v>40664</v>
      </c>
      <c r="C22" s="143">
        <v>24720</v>
      </c>
      <c r="G22" s="153">
        <v>40664</v>
      </c>
      <c r="H22" s="6">
        <f t="shared" si="0"/>
        <v>122483.30551464</v>
      </c>
      <c r="J22" s="151">
        <v>1992</v>
      </c>
      <c r="M22" s="6">
        <f t="shared" si="1"/>
        <v>177945.12357398</v>
      </c>
      <c r="O22" s="155">
        <v>2894</v>
      </c>
    </row>
    <row r="23" spans="1:15" x14ac:dyDescent="0.25">
      <c r="A23">
        <v>30</v>
      </c>
      <c r="B23" s="24">
        <v>40695</v>
      </c>
      <c r="C23" s="143">
        <v>25170</v>
      </c>
      <c r="G23" s="153">
        <v>40695</v>
      </c>
      <c r="H23" s="6">
        <f t="shared" si="0"/>
        <v>254142.14819909999</v>
      </c>
      <c r="J23" s="151">
        <v>4271</v>
      </c>
      <c r="M23" s="6">
        <f t="shared" si="1"/>
        <v>126981.81790140001</v>
      </c>
      <c r="O23" s="155">
        <v>2134</v>
      </c>
    </row>
    <row r="24" spans="1:15" x14ac:dyDescent="0.25">
      <c r="A24">
        <v>31</v>
      </c>
      <c r="B24" s="24">
        <v>40725</v>
      </c>
      <c r="C24" s="143">
        <v>36520</v>
      </c>
      <c r="G24" s="153">
        <v>40725</v>
      </c>
      <c r="H24" s="6">
        <f t="shared" si="0"/>
        <v>194177.85081085999</v>
      </c>
      <c r="J24" s="151">
        <v>3158</v>
      </c>
      <c r="M24" s="6">
        <f t="shared" si="1"/>
        <v>65422.809772880006</v>
      </c>
      <c r="O24" s="155">
        <v>1064</v>
      </c>
    </row>
    <row r="25" spans="1:15" x14ac:dyDescent="0.25">
      <c r="A25">
        <v>31</v>
      </c>
      <c r="B25" s="24">
        <v>40756</v>
      </c>
      <c r="C25" s="143">
        <v>34070</v>
      </c>
      <c r="G25" s="153">
        <v>40756</v>
      </c>
      <c r="H25" s="6">
        <f t="shared" si="0"/>
        <v>16823.008227311999</v>
      </c>
      <c r="J25" s="150">
        <v>273.60000000000002</v>
      </c>
      <c r="M25" s="6">
        <f t="shared" si="1"/>
        <v>60411.570114524999</v>
      </c>
      <c r="O25" s="154">
        <v>982.5</v>
      </c>
    </row>
    <row r="26" spans="1:15" x14ac:dyDescent="0.25">
      <c r="A26">
        <v>30</v>
      </c>
      <c r="B26" s="24">
        <v>40787</v>
      </c>
      <c r="C26" s="143">
        <v>21300</v>
      </c>
      <c r="D26">
        <f>SUM(C15:C26)/1000</f>
        <v>177.94</v>
      </c>
      <c r="G26" s="153">
        <v>40787</v>
      </c>
      <c r="H26" s="6">
        <f t="shared" si="0"/>
        <v>6944.1322160700001</v>
      </c>
      <c r="I26">
        <f>ROUND(SUM(H15:H26)/1000,0)</f>
        <v>695</v>
      </c>
      <c r="J26" s="150">
        <v>116.7</v>
      </c>
      <c r="M26" s="6">
        <f t="shared" si="1"/>
        <v>63431.4048186</v>
      </c>
      <c r="N26">
        <f>ROUND(SUM(M15:M26)/1000,0)</f>
        <v>1196</v>
      </c>
      <c r="O26" s="155">
        <v>1066</v>
      </c>
    </row>
    <row r="27" spans="1:15" x14ac:dyDescent="0.25">
      <c r="A27">
        <v>31</v>
      </c>
      <c r="B27" s="24">
        <v>40817</v>
      </c>
      <c r="C27" s="143">
        <v>6020</v>
      </c>
      <c r="G27" s="153">
        <v>40817</v>
      </c>
      <c r="H27" s="6">
        <f t="shared" si="0"/>
        <v>4955.9008155019992</v>
      </c>
      <c r="J27" s="150">
        <v>80.599999999999994</v>
      </c>
      <c r="M27" s="6">
        <f t="shared" si="1"/>
        <v>54976.065994297001</v>
      </c>
      <c r="O27" s="154">
        <v>894.1</v>
      </c>
    </row>
    <row r="28" spans="1:15" x14ac:dyDescent="0.25">
      <c r="A28">
        <v>30</v>
      </c>
      <c r="B28" s="24">
        <v>40848</v>
      </c>
      <c r="C28" s="143">
        <v>2080</v>
      </c>
      <c r="G28" s="153">
        <v>40848</v>
      </c>
      <c r="H28" s="6">
        <f t="shared" si="0"/>
        <v>4296.1983376199996</v>
      </c>
      <c r="J28" s="150">
        <v>72.2</v>
      </c>
      <c r="M28" s="6">
        <f t="shared" si="1"/>
        <v>75748.760163300001</v>
      </c>
      <c r="O28" s="155">
        <v>1273</v>
      </c>
    </row>
    <row r="29" spans="1:15" x14ac:dyDescent="0.25">
      <c r="A29">
        <v>31</v>
      </c>
      <c r="B29" s="24">
        <v>40878</v>
      </c>
      <c r="C29" s="143">
        <v>2820</v>
      </c>
      <c r="G29" s="153">
        <v>40878</v>
      </c>
      <c r="H29" s="6">
        <f t="shared" si="0"/>
        <v>3732.2975124190002</v>
      </c>
      <c r="J29" s="150">
        <v>60.7</v>
      </c>
      <c r="M29" s="6">
        <f t="shared" si="1"/>
        <v>66283.636217259991</v>
      </c>
      <c r="O29" s="155">
        <v>1078</v>
      </c>
    </row>
    <row r="30" spans="1:15" x14ac:dyDescent="0.25">
      <c r="A30">
        <v>31</v>
      </c>
      <c r="B30" s="24">
        <v>40909</v>
      </c>
      <c r="C30" s="143">
        <v>3230</v>
      </c>
      <c r="G30" s="153">
        <v>40909</v>
      </c>
      <c r="H30" s="6">
        <f t="shared" si="0"/>
        <v>3363.3718933990003</v>
      </c>
      <c r="J30" s="150">
        <v>54.7</v>
      </c>
      <c r="M30" s="6">
        <f t="shared" si="1"/>
        <v>66468.099026769996</v>
      </c>
      <c r="O30" s="155">
        <v>1081</v>
      </c>
    </row>
    <row r="31" spans="1:15" x14ac:dyDescent="0.25">
      <c r="A31">
        <v>29</v>
      </c>
      <c r="B31" s="24">
        <v>40940</v>
      </c>
      <c r="C31" s="143">
        <v>3950</v>
      </c>
      <c r="G31" s="153">
        <v>40940</v>
      </c>
      <c r="H31" s="6">
        <f t="shared" si="0"/>
        <v>4032.1983382029998</v>
      </c>
      <c r="J31" s="150">
        <v>70.099999999999994</v>
      </c>
      <c r="M31" s="6">
        <f t="shared" si="1"/>
        <v>46367.404856283007</v>
      </c>
      <c r="O31" s="154">
        <v>806.1</v>
      </c>
    </row>
    <row r="32" spans="1:15" x14ac:dyDescent="0.25">
      <c r="A32">
        <v>31</v>
      </c>
      <c r="B32" s="24">
        <v>40969</v>
      </c>
      <c r="C32" s="143">
        <v>6820</v>
      </c>
      <c r="G32" s="153">
        <v>40969</v>
      </c>
      <c r="H32" s="6">
        <f t="shared" si="0"/>
        <v>4556.2313948969995</v>
      </c>
      <c r="J32" s="150">
        <v>74.099999999999994</v>
      </c>
      <c r="M32" s="6">
        <f t="shared" si="1"/>
        <v>62409.917217549999</v>
      </c>
      <c r="O32" s="155">
        <v>1015</v>
      </c>
    </row>
    <row r="33" spans="1:15" x14ac:dyDescent="0.25">
      <c r="A33">
        <v>30</v>
      </c>
      <c r="B33" s="24">
        <v>41000</v>
      </c>
      <c r="C33" s="143">
        <v>7520</v>
      </c>
      <c r="G33" s="153">
        <v>41000</v>
      </c>
      <c r="H33" s="6">
        <f t="shared" si="0"/>
        <v>8526.9421299300011</v>
      </c>
      <c r="J33" s="150">
        <v>143.30000000000001</v>
      </c>
      <c r="M33" s="6">
        <f t="shared" si="1"/>
        <v>165183.47070959999</v>
      </c>
      <c r="O33" s="155">
        <v>2776</v>
      </c>
    </row>
    <row r="34" spans="1:15" x14ac:dyDescent="0.25">
      <c r="A34">
        <v>31</v>
      </c>
      <c r="B34" s="24">
        <v>41030</v>
      </c>
      <c r="C34" s="143">
        <v>30250</v>
      </c>
      <c r="G34" s="153">
        <v>41030</v>
      </c>
      <c r="H34" s="6">
        <f t="shared" si="0"/>
        <v>58474.710614670003</v>
      </c>
      <c r="J34" s="150">
        <v>951</v>
      </c>
      <c r="M34" s="6">
        <f t="shared" si="1"/>
        <v>147385.78479849</v>
      </c>
      <c r="O34" s="155">
        <v>2397</v>
      </c>
    </row>
    <row r="35" spans="1:15" x14ac:dyDescent="0.25">
      <c r="A35">
        <v>30</v>
      </c>
      <c r="B35" s="24">
        <v>41061</v>
      </c>
      <c r="C35" s="143">
        <v>34620</v>
      </c>
      <c r="G35" s="153">
        <v>41061</v>
      </c>
      <c r="H35" s="6">
        <f t="shared" si="0"/>
        <v>13739.504101890001</v>
      </c>
      <c r="J35" s="150">
        <v>230.9</v>
      </c>
      <c r="M35" s="6">
        <f t="shared" si="1"/>
        <v>82948.760147399997</v>
      </c>
      <c r="O35" s="155">
        <v>1394</v>
      </c>
    </row>
    <row r="36" spans="1:15" x14ac:dyDescent="0.25">
      <c r="A36">
        <v>31</v>
      </c>
      <c r="B36" s="24">
        <v>41091</v>
      </c>
      <c r="C36" s="143">
        <v>37260</v>
      </c>
      <c r="G36" s="153">
        <v>41091</v>
      </c>
      <c r="H36" s="6">
        <f t="shared" si="0"/>
        <v>8153.2561803419994</v>
      </c>
      <c r="J36" s="150">
        <v>132.6</v>
      </c>
      <c r="M36" s="6">
        <f t="shared" si="1"/>
        <v>63516.694074610001</v>
      </c>
      <c r="O36" s="155">
        <v>1033</v>
      </c>
    </row>
    <row r="37" spans="1:15" x14ac:dyDescent="0.25">
      <c r="A37">
        <v>31</v>
      </c>
      <c r="B37" s="24">
        <v>41122</v>
      </c>
      <c r="C37" s="143">
        <v>33820</v>
      </c>
      <c r="G37" s="153">
        <v>41122</v>
      </c>
      <c r="H37" s="6">
        <f t="shared" si="0"/>
        <v>8196.2975025609994</v>
      </c>
      <c r="J37" s="150">
        <v>133.30000000000001</v>
      </c>
      <c r="M37" s="6">
        <f t="shared" si="1"/>
        <v>60227.107305015001</v>
      </c>
      <c r="O37" s="154">
        <v>979.5</v>
      </c>
    </row>
    <row r="38" spans="1:15" x14ac:dyDescent="0.25">
      <c r="A38">
        <v>30</v>
      </c>
      <c r="B38" s="24">
        <v>41153</v>
      </c>
      <c r="C38" s="143">
        <v>21200</v>
      </c>
      <c r="D38">
        <f>SUM(C27:C38)/1000</f>
        <v>189.59</v>
      </c>
      <c r="G38" s="153">
        <v>41153</v>
      </c>
      <c r="H38" s="6">
        <f t="shared" si="0"/>
        <v>5153.0578398600001</v>
      </c>
      <c r="I38">
        <f>ROUND(SUM(H27:H38)/1000,0)</f>
        <v>127</v>
      </c>
      <c r="J38" s="150">
        <v>86.6</v>
      </c>
      <c r="M38" s="6">
        <f t="shared" si="1"/>
        <v>61467.768459300001</v>
      </c>
      <c r="N38">
        <f>ROUND(SUM(M27:M38)/1000,0)</f>
        <v>953</v>
      </c>
      <c r="O38" s="155">
        <v>1033</v>
      </c>
    </row>
    <row r="39" spans="1:15" x14ac:dyDescent="0.25">
      <c r="A39">
        <v>31</v>
      </c>
      <c r="B39" s="24">
        <v>41183</v>
      </c>
      <c r="C39" s="143">
        <v>10760</v>
      </c>
      <c r="G39" s="153">
        <v>41183</v>
      </c>
      <c r="H39" s="6">
        <f t="shared" si="0"/>
        <v>3781.4875949550001</v>
      </c>
      <c r="J39" s="150">
        <v>61.5</v>
      </c>
      <c r="M39" s="6">
        <f t="shared" si="1"/>
        <v>50598.148648593</v>
      </c>
      <c r="O39" s="154">
        <v>822.9</v>
      </c>
    </row>
    <row r="40" spans="1:15" x14ac:dyDescent="0.25">
      <c r="A40">
        <v>30</v>
      </c>
      <c r="B40" s="24">
        <v>41214</v>
      </c>
      <c r="C40" s="143">
        <v>1380</v>
      </c>
      <c r="G40" s="153">
        <v>41214</v>
      </c>
      <c r="H40" s="6">
        <f t="shared" si="0"/>
        <v>3909.42147897</v>
      </c>
      <c r="J40" s="150">
        <v>65.7</v>
      </c>
      <c r="M40" s="6">
        <f t="shared" si="1"/>
        <v>62955.371761799994</v>
      </c>
      <c r="O40" s="155">
        <v>1058</v>
      </c>
    </row>
    <row r="41" spans="1:15" x14ac:dyDescent="0.25">
      <c r="A41">
        <v>31</v>
      </c>
      <c r="B41" s="24">
        <v>41244</v>
      </c>
      <c r="C41" s="143">
        <v>3640</v>
      </c>
      <c r="G41" s="153">
        <v>41244</v>
      </c>
      <c r="H41" s="6">
        <f t="shared" si="0"/>
        <v>7107.9669264519998</v>
      </c>
      <c r="J41" s="150">
        <v>115.6</v>
      </c>
      <c r="M41" s="6">
        <f t="shared" si="1"/>
        <v>50665.785012079999</v>
      </c>
      <c r="O41" s="154">
        <v>824</v>
      </c>
    </row>
    <row r="42" spans="1:15" x14ac:dyDescent="0.25">
      <c r="A42">
        <v>31</v>
      </c>
      <c r="B42" s="24">
        <v>41275</v>
      </c>
      <c r="C42" s="143">
        <v>3850</v>
      </c>
      <c r="G42" s="153">
        <v>41275</v>
      </c>
      <c r="H42" s="6">
        <f t="shared" si="0"/>
        <v>6622.2148614090002</v>
      </c>
      <c r="J42" s="150">
        <v>107.7</v>
      </c>
      <c r="M42" s="6">
        <f t="shared" si="1"/>
        <v>59796.694082825001</v>
      </c>
      <c r="O42" s="154">
        <v>972.5</v>
      </c>
    </row>
    <row r="43" spans="1:15" x14ac:dyDescent="0.25">
      <c r="A43">
        <v>28</v>
      </c>
      <c r="B43" s="24">
        <v>41306</v>
      </c>
      <c r="C43" s="143">
        <v>3960</v>
      </c>
      <c r="G43" s="153">
        <v>41306</v>
      </c>
      <c r="H43" s="6">
        <f t="shared" si="0"/>
        <v>5975.8016396959993</v>
      </c>
      <c r="J43" s="150">
        <v>107.6</v>
      </c>
      <c r="M43" s="6">
        <f t="shared" si="1"/>
        <v>41497.388338112003</v>
      </c>
      <c r="O43" s="154">
        <v>747.2</v>
      </c>
    </row>
    <row r="44" spans="1:15" x14ac:dyDescent="0.25">
      <c r="A44">
        <v>31</v>
      </c>
      <c r="B44" s="24">
        <v>41334</v>
      </c>
      <c r="C44" s="143">
        <v>22130</v>
      </c>
      <c r="G44" s="153">
        <v>41334</v>
      </c>
      <c r="H44" s="6">
        <f t="shared" si="0"/>
        <v>6991.1404804290005</v>
      </c>
      <c r="J44" s="150">
        <v>113.7</v>
      </c>
      <c r="M44" s="6">
        <f t="shared" si="1"/>
        <v>91862.47913598</v>
      </c>
      <c r="O44" s="155">
        <v>1494</v>
      </c>
    </row>
    <row r="45" spans="1:15" x14ac:dyDescent="0.25">
      <c r="A45">
        <v>30</v>
      </c>
      <c r="B45" s="24">
        <v>41365</v>
      </c>
      <c r="C45" s="143">
        <v>20930</v>
      </c>
      <c r="G45" s="153">
        <v>41365</v>
      </c>
      <c r="H45" s="6">
        <f t="shared" si="0"/>
        <v>10597.685927010001</v>
      </c>
      <c r="J45" s="150">
        <v>178.1</v>
      </c>
      <c r="M45" s="6">
        <f t="shared" si="1"/>
        <v>75153.718842300004</v>
      </c>
      <c r="O45" s="155">
        <v>1263</v>
      </c>
    </row>
    <row r="46" spans="1:15" x14ac:dyDescent="0.25">
      <c r="A46">
        <v>31</v>
      </c>
      <c r="B46" s="24">
        <v>41395</v>
      </c>
      <c r="C46" s="143">
        <v>31610</v>
      </c>
      <c r="G46" s="153">
        <v>41395</v>
      </c>
      <c r="H46" s="6">
        <f t="shared" si="0"/>
        <v>10778.776835701001</v>
      </c>
      <c r="J46" s="150">
        <v>175.3</v>
      </c>
      <c r="M46" s="6">
        <f t="shared" si="1"/>
        <v>66283.636217259991</v>
      </c>
      <c r="O46" s="155">
        <v>1078</v>
      </c>
    </row>
    <row r="47" spans="1:15" x14ac:dyDescent="0.25">
      <c r="A47">
        <v>30</v>
      </c>
      <c r="B47" s="24">
        <v>41426</v>
      </c>
      <c r="C47" s="143">
        <v>35470</v>
      </c>
      <c r="G47" s="153">
        <v>41426</v>
      </c>
      <c r="H47" s="6">
        <f t="shared" si="0"/>
        <v>10085.95039095</v>
      </c>
      <c r="J47" s="150">
        <v>169.5</v>
      </c>
      <c r="M47" s="6">
        <f t="shared" si="1"/>
        <v>57516.69408786</v>
      </c>
      <c r="O47" s="154">
        <v>966.6</v>
      </c>
    </row>
    <row r="48" spans="1:15" x14ac:dyDescent="0.25">
      <c r="A48">
        <v>31</v>
      </c>
      <c r="B48" s="24">
        <v>41456</v>
      </c>
      <c r="C48" s="143">
        <v>38360</v>
      </c>
      <c r="G48" s="153">
        <v>41456</v>
      </c>
      <c r="H48" s="6">
        <f t="shared" si="0"/>
        <v>8270.0826263649997</v>
      </c>
      <c r="J48" s="150">
        <v>134.5</v>
      </c>
      <c r="M48" s="6">
        <f t="shared" si="1"/>
        <v>47775.867663090001</v>
      </c>
      <c r="O48" s="154">
        <v>777</v>
      </c>
    </row>
    <row r="49" spans="1:15" x14ac:dyDescent="0.25">
      <c r="A49">
        <v>31</v>
      </c>
      <c r="B49" s="24">
        <v>41487</v>
      </c>
      <c r="C49" s="143">
        <v>28290</v>
      </c>
      <c r="G49" s="153">
        <v>41487</v>
      </c>
      <c r="H49" s="6">
        <f t="shared" si="0"/>
        <v>8380.760312071001</v>
      </c>
      <c r="J49" s="150">
        <v>136.30000000000001</v>
      </c>
      <c r="M49" s="6">
        <f t="shared" si="1"/>
        <v>49030.214767758</v>
      </c>
      <c r="O49" s="154">
        <v>797.4</v>
      </c>
    </row>
    <row r="50" spans="1:15" x14ac:dyDescent="0.25">
      <c r="A50">
        <v>30</v>
      </c>
      <c r="B50" s="24">
        <v>41518</v>
      </c>
      <c r="C50" s="143">
        <v>16690</v>
      </c>
      <c r="D50">
        <f>SUM(C39:C50)/1000</f>
        <v>217.07</v>
      </c>
      <c r="E50" s="135" t="s">
        <v>232</v>
      </c>
      <c r="F50" s="135"/>
      <c r="G50" s="153">
        <v>41518</v>
      </c>
      <c r="H50" s="6">
        <f t="shared" si="0"/>
        <v>5438.6776739400002</v>
      </c>
      <c r="I50">
        <f>ROUND(SUM(H39:H50)/1000,0)</f>
        <v>88</v>
      </c>
      <c r="J50" s="150">
        <v>91.4</v>
      </c>
      <c r="M50" s="6">
        <f t="shared" si="1"/>
        <v>49079.008156079995</v>
      </c>
      <c r="N50">
        <f>ROUND(SUM(M39:M50)/1000,0)</f>
        <v>702</v>
      </c>
      <c r="O50" s="154">
        <v>824.8</v>
      </c>
    </row>
    <row r="51" spans="1:15" ht="13.5" x14ac:dyDescent="0.25">
      <c r="A51">
        <v>31</v>
      </c>
      <c r="B51" s="24">
        <v>41548</v>
      </c>
      <c r="C51" s="6">
        <f>E51*$C$76*$A51</f>
        <v>7968.7933708319988</v>
      </c>
      <c r="D51" s="145"/>
      <c r="E51" s="144">
        <v>129.6</v>
      </c>
      <c r="F51" s="145"/>
      <c r="G51" s="153">
        <v>41548</v>
      </c>
      <c r="H51" s="6">
        <f>J51*$C$76*$A51</f>
        <v>3510.9421410070004</v>
      </c>
      <c r="I51" s="146"/>
      <c r="J51" s="150">
        <v>57.1</v>
      </c>
      <c r="M51" s="6">
        <f t="shared" si="1"/>
        <v>52319.801537353</v>
      </c>
      <c r="O51" s="154">
        <v>850.9</v>
      </c>
    </row>
    <row r="52" spans="1:15" ht="13.5" x14ac:dyDescent="0.25">
      <c r="A52">
        <v>30</v>
      </c>
      <c r="B52" s="24">
        <v>41579</v>
      </c>
      <c r="C52" s="6">
        <f t="shared" ref="C52:C74" si="2">E52*$C$76*A52</f>
        <v>3617.8512316800002</v>
      </c>
      <c r="D52" s="147"/>
      <c r="E52" s="144">
        <v>60.8</v>
      </c>
      <c r="F52" s="145"/>
      <c r="G52" s="153">
        <v>41579</v>
      </c>
      <c r="H52" s="6">
        <f t="shared" ref="H52:H74" si="3">J52*$C$76*$A52</f>
        <v>3885.6198261299996</v>
      </c>
      <c r="I52" s="145"/>
      <c r="J52" s="150">
        <v>65.3</v>
      </c>
      <c r="M52" s="6">
        <f t="shared" si="1"/>
        <v>54684.297399900002</v>
      </c>
      <c r="O52" s="154">
        <v>919</v>
      </c>
    </row>
    <row r="53" spans="1:15" ht="13.5" x14ac:dyDescent="0.25">
      <c r="A53">
        <v>31</v>
      </c>
      <c r="B53" s="24">
        <v>41609</v>
      </c>
      <c r="C53" s="6">
        <f t="shared" si="2"/>
        <v>2748.4958616990002</v>
      </c>
      <c r="D53" s="147"/>
      <c r="E53" s="144">
        <v>44.7</v>
      </c>
      <c r="F53" s="145"/>
      <c r="G53" s="153">
        <v>41609</v>
      </c>
      <c r="H53" s="6">
        <f t="shared" si="3"/>
        <v>3228.099166425</v>
      </c>
      <c r="I53" s="145"/>
      <c r="J53" s="150">
        <v>52.5</v>
      </c>
      <c r="M53" s="6">
        <f t="shared" si="1"/>
        <v>52368.991619888999</v>
      </c>
      <c r="O53" s="154">
        <v>851.7</v>
      </c>
    </row>
    <row r="54" spans="1:15" ht="13.5" x14ac:dyDescent="0.25">
      <c r="A54">
        <v>31</v>
      </c>
      <c r="B54" s="24">
        <v>41640</v>
      </c>
      <c r="C54" s="6">
        <f t="shared" si="2"/>
        <v>9487.5371691310011</v>
      </c>
      <c r="E54" s="144">
        <v>154.30000000000001</v>
      </c>
      <c r="F54" s="145"/>
      <c r="G54" s="153">
        <v>41640</v>
      </c>
      <c r="H54" s="6">
        <f t="shared" si="3"/>
        <v>2711.6032997970001</v>
      </c>
      <c r="J54" s="150">
        <v>44.1</v>
      </c>
      <c r="M54" s="6">
        <f t="shared" si="1"/>
        <v>45156.495768047993</v>
      </c>
      <c r="O54" s="154">
        <v>734.4</v>
      </c>
    </row>
    <row r="55" spans="1:15" ht="13.5" x14ac:dyDescent="0.25">
      <c r="A55">
        <v>28</v>
      </c>
      <c r="B55" s="24">
        <v>41671</v>
      </c>
      <c r="C55" s="6">
        <f t="shared" si="2"/>
        <v>5020.5619723840009</v>
      </c>
      <c r="E55" s="144">
        <v>90.4</v>
      </c>
      <c r="F55" s="145"/>
      <c r="G55" s="153">
        <v>41671</v>
      </c>
      <c r="H55" s="6">
        <f t="shared" si="3"/>
        <v>3210.0495796879995</v>
      </c>
      <c r="J55" s="150">
        <v>57.8</v>
      </c>
      <c r="M55" s="6">
        <f t="shared" si="1"/>
        <v>48661.685842952</v>
      </c>
      <c r="O55" s="154">
        <v>876.2</v>
      </c>
    </row>
    <row r="56" spans="1:15" ht="13.5" x14ac:dyDescent="0.25">
      <c r="A56">
        <v>31</v>
      </c>
      <c r="B56" s="24">
        <v>41699</v>
      </c>
      <c r="C56" s="6">
        <f t="shared" si="2"/>
        <v>4832.925609162</v>
      </c>
      <c r="E56" s="144">
        <v>78.599999999999994</v>
      </c>
      <c r="F56" s="145"/>
      <c r="G56" s="153">
        <v>41699</v>
      </c>
      <c r="H56" s="6">
        <f t="shared" si="3"/>
        <v>4359.471064753001</v>
      </c>
      <c r="J56" s="150">
        <v>70.900000000000006</v>
      </c>
      <c r="M56" s="6">
        <f t="shared" si="1"/>
        <v>74953.388264230001</v>
      </c>
      <c r="O56" s="155">
        <v>1219</v>
      </c>
    </row>
    <row r="57" spans="1:15" ht="13.5" x14ac:dyDescent="0.25">
      <c r="A57">
        <v>30</v>
      </c>
      <c r="B57" s="24">
        <v>41730</v>
      </c>
      <c r="C57" s="6">
        <f t="shared" si="2"/>
        <v>9342.1487397000001</v>
      </c>
      <c r="E57" s="144">
        <v>157</v>
      </c>
      <c r="F57" s="145"/>
      <c r="G57" s="153">
        <v>41730</v>
      </c>
      <c r="H57" s="6">
        <f t="shared" si="3"/>
        <v>4254.54544515</v>
      </c>
      <c r="J57" s="150">
        <v>71.5</v>
      </c>
      <c r="M57" s="6">
        <f t="shared" si="1"/>
        <v>68786.776707600002</v>
      </c>
      <c r="O57" s="155">
        <v>1156</v>
      </c>
    </row>
    <row r="58" spans="1:15" ht="13.5" x14ac:dyDescent="0.25">
      <c r="A58">
        <v>31</v>
      </c>
      <c r="B58" s="24">
        <v>41760</v>
      </c>
      <c r="C58" s="6">
        <f t="shared" si="2"/>
        <v>25910.875975837997</v>
      </c>
      <c r="E58" s="144">
        <v>421.4</v>
      </c>
      <c r="F58" s="145"/>
      <c r="G58" s="153">
        <v>41760</v>
      </c>
      <c r="H58" s="6">
        <f t="shared" si="3"/>
        <v>6911.2065963080004</v>
      </c>
      <c r="J58" s="150">
        <v>112.4</v>
      </c>
      <c r="M58" s="6">
        <f t="shared" si="1"/>
        <v>63270.743661929999</v>
      </c>
      <c r="O58" s="155">
        <v>1029</v>
      </c>
    </row>
    <row r="59" spans="1:15" ht="13.5" x14ac:dyDescent="0.25">
      <c r="A59">
        <v>30</v>
      </c>
      <c r="B59" s="24">
        <v>41791</v>
      </c>
      <c r="C59" s="6">
        <f t="shared" si="2"/>
        <v>35631.074301479995</v>
      </c>
      <c r="E59" s="144">
        <v>598.79999999999995</v>
      </c>
      <c r="F59" s="145"/>
      <c r="G59" s="153">
        <v>41791</v>
      </c>
      <c r="H59" s="6">
        <f t="shared" si="3"/>
        <v>5861.1570118500003</v>
      </c>
      <c r="J59" s="150">
        <v>98.5</v>
      </c>
      <c r="M59" s="6">
        <f t="shared" si="1"/>
        <v>62657.851101299995</v>
      </c>
      <c r="O59" s="155">
        <v>1053</v>
      </c>
    </row>
    <row r="60" spans="1:15" ht="13.5" x14ac:dyDescent="0.25">
      <c r="A60">
        <v>31</v>
      </c>
      <c r="B60" s="24">
        <v>41821</v>
      </c>
      <c r="C60" s="6">
        <f t="shared" si="2"/>
        <v>37273.785041654002</v>
      </c>
      <c r="E60" s="144">
        <v>606.20000000000005</v>
      </c>
      <c r="F60" s="145"/>
      <c r="G60" s="153">
        <v>41821</v>
      </c>
      <c r="H60" s="6">
        <f t="shared" si="3"/>
        <v>5810.5784995650001</v>
      </c>
      <c r="J60" s="150">
        <v>94.5</v>
      </c>
      <c r="M60" s="6">
        <f t="shared" si="1"/>
        <v>55818.446157725994</v>
      </c>
      <c r="O60" s="154">
        <v>907.8</v>
      </c>
    </row>
    <row r="61" spans="1:15" ht="13.5" x14ac:dyDescent="0.25">
      <c r="A61">
        <v>31</v>
      </c>
      <c r="B61" s="24">
        <v>41852</v>
      </c>
      <c r="C61" s="6">
        <f t="shared" si="2"/>
        <v>27060.694155117002</v>
      </c>
      <c r="E61" s="144">
        <v>440.1</v>
      </c>
      <c r="F61" s="145"/>
      <c r="G61" s="153">
        <v>41852</v>
      </c>
      <c r="H61" s="6">
        <f t="shared" si="3"/>
        <v>5810.5784995650001</v>
      </c>
      <c r="J61" s="150">
        <v>94.5</v>
      </c>
      <c r="M61" s="6">
        <f t="shared" si="1"/>
        <v>54490.313929254</v>
      </c>
      <c r="O61" s="154">
        <v>886.2</v>
      </c>
    </row>
    <row r="62" spans="1:15" ht="13.5" x14ac:dyDescent="0.25">
      <c r="A62">
        <v>30</v>
      </c>
      <c r="B62" s="24">
        <v>41883</v>
      </c>
      <c r="C62" s="6">
        <f t="shared" si="2"/>
        <v>19707.768551519999</v>
      </c>
      <c r="D62">
        <f>SUM(C51:C62)/1000</f>
        <v>188.60251198019699</v>
      </c>
      <c r="E62" s="144">
        <v>331.2</v>
      </c>
      <c r="F62" s="145"/>
      <c r="G62" s="153">
        <v>41883</v>
      </c>
      <c r="H62" s="6">
        <f t="shared" si="3"/>
        <v>4540.1652792299992</v>
      </c>
      <c r="I62">
        <f>ROUND(SUM(H51:H62)/1000,0)</f>
        <v>54</v>
      </c>
      <c r="J62" s="150">
        <v>76.3</v>
      </c>
      <c r="M62" s="6">
        <f t="shared" si="1"/>
        <v>53018.181701100002</v>
      </c>
      <c r="N62">
        <f>ROUND(SUM(M51:M62)/1000,0)</f>
        <v>686</v>
      </c>
      <c r="O62" s="154">
        <v>891</v>
      </c>
    </row>
    <row r="63" spans="1:15" ht="13.5" x14ac:dyDescent="0.25">
      <c r="A63">
        <v>31</v>
      </c>
      <c r="B63" s="24">
        <v>41913</v>
      </c>
      <c r="C63" s="6">
        <f t="shared" si="2"/>
        <v>9493.685929448</v>
      </c>
      <c r="E63" s="144">
        <v>154.4</v>
      </c>
      <c r="F63" s="145"/>
      <c r="G63" s="153">
        <v>41913</v>
      </c>
      <c r="H63" s="6">
        <f t="shared" si="3"/>
        <v>2477.9504077509996</v>
      </c>
      <c r="J63" s="150">
        <v>40.299999999999997</v>
      </c>
      <c r="M63" s="6">
        <f t="shared" si="1"/>
        <v>57128.132105247001</v>
      </c>
      <c r="O63" s="154">
        <v>929.1</v>
      </c>
    </row>
    <row r="64" spans="1:15" ht="13.5" x14ac:dyDescent="0.25">
      <c r="A64">
        <v>30</v>
      </c>
      <c r="B64" s="24">
        <v>41944</v>
      </c>
      <c r="C64" s="6">
        <f t="shared" si="2"/>
        <v>3808.2644544</v>
      </c>
      <c r="E64" s="144">
        <v>64</v>
      </c>
      <c r="F64" s="145"/>
      <c r="G64" s="153">
        <v>41944</v>
      </c>
      <c r="H64" s="6">
        <f t="shared" si="3"/>
        <v>2451.5702425200002</v>
      </c>
      <c r="J64" s="150">
        <v>41.2</v>
      </c>
      <c r="M64" s="6">
        <f t="shared" si="1"/>
        <v>54041.652773220005</v>
      </c>
      <c r="O64" s="154">
        <v>908.2</v>
      </c>
    </row>
    <row r="65" spans="1:15" ht="13.5" x14ac:dyDescent="0.25">
      <c r="A65">
        <v>31</v>
      </c>
      <c r="B65" s="24">
        <v>41974</v>
      </c>
      <c r="C65" s="6">
        <f t="shared" si="2"/>
        <v>2994.4462743790004</v>
      </c>
      <c r="E65" s="144">
        <v>48.7</v>
      </c>
      <c r="F65" s="145"/>
      <c r="G65" s="153">
        <v>41974</v>
      </c>
      <c r="H65" s="6">
        <f t="shared" si="3"/>
        <v>3412.5619759349997</v>
      </c>
      <c r="J65" s="150">
        <v>55.5</v>
      </c>
      <c r="M65" s="6">
        <f t="shared" si="1"/>
        <v>57798.346979800001</v>
      </c>
      <c r="O65" s="154">
        <v>940</v>
      </c>
    </row>
    <row r="66" spans="1:15" ht="13.5" x14ac:dyDescent="0.25">
      <c r="A66">
        <v>31</v>
      </c>
      <c r="B66" s="24">
        <v>42005</v>
      </c>
      <c r="C66" s="6">
        <f t="shared" si="2"/>
        <v>3369.5206537159997</v>
      </c>
      <c r="E66" s="144">
        <v>54.8</v>
      </c>
      <c r="F66" s="145"/>
      <c r="G66" s="153">
        <v>42005</v>
      </c>
      <c r="H66" s="6">
        <f t="shared" si="3"/>
        <v>3166.611563255</v>
      </c>
      <c r="J66" s="150">
        <v>51.5</v>
      </c>
      <c r="M66" s="6">
        <f t="shared" si="1"/>
        <v>59649.123835216997</v>
      </c>
      <c r="O66" s="154">
        <v>970.1</v>
      </c>
    </row>
    <row r="67" spans="1:15" ht="13.5" x14ac:dyDescent="0.25">
      <c r="A67">
        <v>28</v>
      </c>
      <c r="B67" s="24">
        <v>42036</v>
      </c>
      <c r="C67" s="6">
        <f t="shared" si="2"/>
        <v>2782.4132169959998</v>
      </c>
      <c r="E67" s="144">
        <v>50.1</v>
      </c>
      <c r="F67" s="145"/>
      <c r="G67" s="153">
        <v>42036</v>
      </c>
      <c r="H67" s="6">
        <f t="shared" si="3"/>
        <v>3293.3553646279997</v>
      </c>
      <c r="J67" s="150">
        <v>59.3</v>
      </c>
      <c r="M67" s="6">
        <f t="shared" si="1"/>
        <v>41147.504041363994</v>
      </c>
      <c r="O67" s="154">
        <v>740.9</v>
      </c>
    </row>
    <row r="68" spans="1:15" ht="13.5" x14ac:dyDescent="0.25">
      <c r="A68">
        <v>31</v>
      </c>
      <c r="B68" s="24">
        <v>42064</v>
      </c>
      <c r="C68" s="6">
        <f t="shared" si="2"/>
        <v>10342.214853193998</v>
      </c>
      <c r="E68" s="144">
        <v>168.2</v>
      </c>
      <c r="F68" s="145"/>
      <c r="G68" s="153">
        <v>42064</v>
      </c>
      <c r="H68" s="6">
        <f t="shared" si="3"/>
        <v>2883.7685886730001</v>
      </c>
      <c r="J68" s="150">
        <v>46.9</v>
      </c>
      <c r="M68" s="6">
        <f t="shared" si="1"/>
        <v>62163.966804869997</v>
      </c>
      <c r="O68" s="155">
        <v>1011</v>
      </c>
    </row>
    <row r="69" spans="1:15" ht="13.5" x14ac:dyDescent="0.25">
      <c r="A69">
        <v>30</v>
      </c>
      <c r="B69" s="24">
        <v>42095</v>
      </c>
      <c r="C69" s="6">
        <f t="shared" si="2"/>
        <v>19439.999957070002</v>
      </c>
      <c r="E69" s="144">
        <v>326.7</v>
      </c>
      <c r="F69" s="145"/>
      <c r="G69" s="153">
        <v>42095</v>
      </c>
      <c r="H69" s="6">
        <f t="shared" si="3"/>
        <v>2897.8512332700002</v>
      </c>
      <c r="J69" s="150">
        <v>48.7</v>
      </c>
      <c r="M69" s="6">
        <f t="shared" si="1"/>
        <v>78604.958504099995</v>
      </c>
      <c r="O69" s="155">
        <v>1321</v>
      </c>
    </row>
    <row r="70" spans="1:15" ht="13.5" x14ac:dyDescent="0.25">
      <c r="A70">
        <v>31</v>
      </c>
      <c r="B70" s="24">
        <v>42125</v>
      </c>
      <c r="C70" s="6">
        <f t="shared" si="2"/>
        <v>26101.487545665001</v>
      </c>
      <c r="E70" s="144">
        <v>424.5</v>
      </c>
      <c r="F70" s="145"/>
      <c r="G70" s="153">
        <v>42125</v>
      </c>
      <c r="H70" s="6">
        <f t="shared" si="3"/>
        <v>4095.0743711219998</v>
      </c>
      <c r="J70" s="150">
        <v>66.599999999999994</v>
      </c>
      <c r="M70" s="6">
        <f t="shared" si="1"/>
        <v>65545.78497922</v>
      </c>
      <c r="O70" s="155">
        <v>1066</v>
      </c>
    </row>
    <row r="71" spans="1:15" ht="13.5" x14ac:dyDescent="0.25">
      <c r="A71">
        <v>30</v>
      </c>
      <c r="B71" s="24">
        <v>42156</v>
      </c>
      <c r="C71" s="6">
        <f t="shared" si="2"/>
        <v>30823.140427800001</v>
      </c>
      <c r="E71" s="144">
        <v>518</v>
      </c>
      <c r="F71" s="145"/>
      <c r="G71" s="153">
        <v>42156</v>
      </c>
      <c r="H71" s="6">
        <f t="shared" si="3"/>
        <v>5700.4958551799991</v>
      </c>
      <c r="J71" s="150">
        <v>95.8</v>
      </c>
      <c r="M71" s="6">
        <f t="shared" si="1"/>
        <v>51607.933770329997</v>
      </c>
      <c r="O71" s="154">
        <v>867.3</v>
      </c>
    </row>
    <row r="72" spans="1:15" ht="13.5" x14ac:dyDescent="0.25">
      <c r="A72">
        <v>31</v>
      </c>
      <c r="B72" s="24">
        <v>42186</v>
      </c>
      <c r="C72" s="6">
        <f t="shared" si="2"/>
        <v>32723.702407074001</v>
      </c>
      <c r="E72" s="144">
        <v>532.20000000000005</v>
      </c>
      <c r="F72" s="145"/>
      <c r="G72" s="153">
        <v>42186</v>
      </c>
      <c r="H72" s="6">
        <f t="shared" si="3"/>
        <v>5755.2396567119995</v>
      </c>
      <c r="J72" s="150">
        <v>93.6</v>
      </c>
      <c r="M72" s="6">
        <f t="shared" si="1"/>
        <v>49725.024683579002</v>
      </c>
      <c r="O72" s="154">
        <v>808.7</v>
      </c>
    </row>
    <row r="73" spans="1:15" ht="13.5" x14ac:dyDescent="0.25">
      <c r="A73">
        <v>31</v>
      </c>
      <c r="B73" s="24">
        <v>42217</v>
      </c>
      <c r="C73" s="6">
        <f t="shared" si="2"/>
        <v>24681.123912438001</v>
      </c>
      <c r="E73" s="144">
        <v>401.4</v>
      </c>
      <c r="F73" s="145"/>
      <c r="G73" s="153">
        <v>42217</v>
      </c>
      <c r="H73" s="6">
        <f t="shared" si="3"/>
        <v>5693.7520535419999</v>
      </c>
      <c r="J73" s="150">
        <v>92.6</v>
      </c>
      <c r="M73" s="6">
        <f t="shared" si="1"/>
        <v>46201.785021937998</v>
      </c>
      <c r="O73" s="154">
        <v>751.4</v>
      </c>
    </row>
    <row r="74" spans="1:15" ht="13.5" x14ac:dyDescent="0.25">
      <c r="A74">
        <v>30</v>
      </c>
      <c r="B74" s="24">
        <v>42248</v>
      </c>
      <c r="C74" s="6">
        <f t="shared" si="2"/>
        <v>18958.016487060002</v>
      </c>
      <c r="D74">
        <f>SUM(C63:C74)/1000</f>
        <v>185.51801611924</v>
      </c>
      <c r="E74" s="144">
        <v>318.60000000000002</v>
      </c>
      <c r="F74" s="145"/>
      <c r="G74" s="153">
        <v>42248</v>
      </c>
      <c r="H74" s="6">
        <f t="shared" si="3"/>
        <v>4397.3553621900001</v>
      </c>
      <c r="I74">
        <f>ROUND(SUM(H63:H74)/1000,0)</f>
        <v>46</v>
      </c>
      <c r="J74" s="150">
        <v>73.900000000000006</v>
      </c>
      <c r="M74" s="6">
        <f t="shared" si="1"/>
        <v>38540.826361170002</v>
      </c>
      <c r="N74">
        <f>ROUND(SUM(M63:M74)/1000,0)</f>
        <v>662</v>
      </c>
      <c r="O74" s="154">
        <v>647.70000000000005</v>
      </c>
    </row>
    <row r="76" spans="1:15" x14ac:dyDescent="0.25">
      <c r="C76">
        <v>1.98347107</v>
      </c>
      <c r="D76" s="135"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statewide</vt:lpstr>
      <vt:lpstr>mountain counties</vt:lpstr>
      <vt:lpstr>SWP</vt:lpstr>
      <vt:lpstr>outflow to NV</vt:lpstr>
      <vt:lpstr>2010, 2015 Outflow to Ocean</vt:lpstr>
      <vt:lpstr>CDEC Downloads</vt:lpstr>
      <vt:lpstr>USGS Data</vt:lpstr>
      <vt:lpstr>'outflow to NV'!Print_Area</vt:lpstr>
    </vt:vector>
  </TitlesOfParts>
  <Company>DWR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Evelyn Tipton</dc:creator>
  <cp:lastModifiedBy>Tipton, Evelyn@DWR</cp:lastModifiedBy>
  <cp:lastPrinted>2018-04-24T22:10:35Z</cp:lastPrinted>
  <dcterms:created xsi:type="dcterms:W3CDTF">2004-12-07T00:10:58Z</dcterms:created>
  <dcterms:modified xsi:type="dcterms:W3CDTF">2018-04-25T21:43:27Z</dcterms:modified>
</cp:coreProperties>
</file>