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autoCompressPictures="0"/>
  <bookViews>
    <workbookView xWindow="480" yWindow="120" windowWidth="23000" windowHeight="9880" activeTab="1"/>
  </bookViews>
  <sheets>
    <sheet name="Effect Size Tree" sheetId="1" r:id="rId1"/>
    <sheet name="Generalized Eta Square"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9" i="1" l="1"/>
  <c r="L15" i="3"/>
  <c r="K13" i="3"/>
  <c r="D18" i="1"/>
  <c r="W19" i="3"/>
  <c r="W21" i="3"/>
  <c r="X21" i="3"/>
  <c r="Y21" i="3"/>
  <c r="X19" i="3"/>
  <c r="W17" i="3"/>
  <c r="L17" i="3"/>
  <c r="AJ19" i="3"/>
  <c r="AL19" i="3"/>
  <c r="AL15" i="3"/>
  <c r="AK19" i="3"/>
  <c r="AJ15" i="3"/>
  <c r="AK15" i="3"/>
  <c r="S21" i="1"/>
  <c r="S19" i="1"/>
  <c r="S20" i="1"/>
  <c r="U22" i="1"/>
  <c r="BD15" i="3"/>
  <c r="K17" i="3"/>
  <c r="AZ15" i="3"/>
  <c r="AX15" i="3"/>
  <c r="BO15" i="3"/>
  <c r="BO13" i="3"/>
  <c r="BO17" i="3"/>
  <c r="BT13" i="3"/>
  <c r="AK13" i="3"/>
  <c r="AL13" i="3"/>
  <c r="BA17" i="3"/>
  <c r="BA13" i="3"/>
  <c r="BU15" i="3"/>
  <c r="BT15" i="3"/>
  <c r="BS15" i="3"/>
  <c r="BR15" i="3"/>
  <c r="BQ15" i="3"/>
  <c r="BP15" i="3"/>
  <c r="BU17" i="3"/>
  <c r="BT17" i="3"/>
  <c r="BS17" i="3"/>
  <c r="BU13" i="3"/>
  <c r="BS13" i="3"/>
  <c r="BP17" i="3"/>
  <c r="BQ17" i="3"/>
  <c r="BQ13" i="3"/>
  <c r="BP13" i="3"/>
  <c r="BR17" i="3"/>
  <c r="BR13" i="3"/>
  <c r="BC15" i="3"/>
  <c r="BB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c r="U19" i="1"/>
  <c r="U21" i="1"/>
  <c r="M32" i="1"/>
  <c r="J32" i="1"/>
  <c r="D20" i="1"/>
  <c r="R15" i="1"/>
  <c r="M30" i="1"/>
  <c r="J30" i="1"/>
  <c r="S22" i="1"/>
  <c r="S23" i="1"/>
  <c r="T12" i="1"/>
  <c r="H30" i="1"/>
  <c r="H34" i="1"/>
  <c r="R5" i="1"/>
  <c r="R7" i="1"/>
  <c r="T10" i="1"/>
  <c r="U20" i="1"/>
  <c r="N30" i="1"/>
  <c r="N34" i="1"/>
  <c r="V13" i="1"/>
  <c r="V14" i="1"/>
  <c r="T13" i="1"/>
  <c r="V10" i="1"/>
  <c r="P15" i="1"/>
  <c r="T15" i="1"/>
  <c r="T14" i="1"/>
  <c r="V16" i="1"/>
  <c r="N32" i="1"/>
  <c r="H32" i="1"/>
  <c r="V11" i="1"/>
  <c r="V12" i="1"/>
  <c r="V15" i="1"/>
</calcChain>
</file>

<file path=xl/sharedStrings.xml><?xml version="1.0" encoding="utf-8"?>
<sst xmlns="http://schemas.openxmlformats.org/spreadsheetml/2006/main" count="482" uniqueCount="160">
  <si>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</si>
  <si>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</si>
  <si>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</si>
  <si>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</si>
  <si>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</si>
  <si>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</si>
  <si>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</si>
  <si>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</si>
  <si>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</si>
  <si>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</si>
  <si>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</si>
  <si>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</si>
  <si>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</si>
  <si>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</si>
  <si>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</si>
  <si>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</si>
  <si>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</si>
  <si>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</si>
  <si>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</si>
  <si>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</si>
  <si>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</si>
  <si>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</si>
  <si>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</si>
  <si>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</si>
  <si>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</si>
  <si>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</si>
  <si>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Partial η²</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</si>
  <si>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</si>
  <si>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</si>
  <si>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</si>
  <si>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</si>
  <si>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</si>
  <si>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</si>
  <si>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</si>
  <si>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</si>
  <si>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</si>
  <si>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</si>
  <si>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</si>
  <si>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</si>
  <si>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</si>
  <si>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</si>
  <si>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</si>
  <si>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</si>
  <si>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</si>
  <si>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</si>
  <si>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</si>
  <si>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</si>
  <si>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Cohen's d</t>
    </r>
    <r>
      <rPr>
        <b/>
        <vertAlign val="subscript"/>
        <sz val="11"/>
        <rFont val="Calibri"/>
        <family val="2"/>
        <scheme val="minor"/>
      </rPr>
      <t>rm</t>
    </r>
  </si>
  <si>
    <r>
      <t>Hedges g</t>
    </r>
    <r>
      <rPr>
        <b/>
        <vertAlign val="subscript"/>
        <sz val="11"/>
        <rFont val="Calibri"/>
        <family val="2"/>
        <scheme val="minor"/>
      </rPr>
      <t>rm</t>
    </r>
  </si>
  <si>
    <t xml:space="preserve">Recommended: </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</si>
  <si>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</si>
  <si>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</si>
  <si>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</si>
  <si>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</si>
  <si>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</si>
  <si>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</si>
  <si>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</si>
  <si>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</si>
  <si>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</si>
  <si>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</si>
  <si>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</si>
  <si>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</si>
  <si>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</si>
  <si>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</si>
  <si>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</si>
  <si>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</si>
  <si>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</si>
  <si>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</si>
  <si>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</si>
  <si>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</si>
  <si>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</si>
  <si>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</si>
  <si>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</si>
  <si>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</si>
  <si>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</si>
  <si>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</si>
  <si>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</si>
  <si>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</si>
  <si>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</si>
  <si>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</si>
  <si>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</si>
  <si>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</si>
  <si>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</si>
  <si>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</si>
  <si>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</si>
  <si>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</si>
  <si>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</si>
  <si>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</si>
  <si>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</si>
  <si>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</si>
  <si>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</si>
  <si>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</si>
  <si>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</si>
  <si>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</si>
  <si>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</si>
  <si>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</si>
  <si>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</si>
  <si>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</si>
  <si>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t>(A; Between) X (P; within) X (Q; Within) Design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</si>
  <si>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</si>
  <si>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</si>
  <si>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</si>
  <si>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</si>
  <si>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</si>
  <si>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</si>
  <si>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</si>
  <si>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</si>
  <si>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</si>
  <si>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</si>
  <si>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</si>
  <si>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</si>
  <si>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</si>
  <si>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</si>
  <si>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</si>
  <si>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</si>
  <si>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</si>
  <si>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</si>
  <si>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</si>
  <si>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</si>
  <si>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</si>
  <si>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</si>
  <si>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</si>
  <si>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</si>
  <si>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</si>
  <si>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</si>
  <si>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</si>
  <si>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</si>
  <si>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</si>
  <si>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</si>
  <si>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</si>
  <si>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</si>
  <si>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</si>
  <si>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</si>
  <si>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</si>
  <si>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</si>
  <si>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</si>
  <si>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</si>
  <si>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</si>
  <si>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</si>
  <si>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</si>
  <si>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</si>
  <si>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</si>
  <si>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</si>
  <si>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</si>
  <si>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</si>
  <si>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</si>
  <si>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</si>
  <si>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</si>
  <si>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</si>
  <si>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</si>
  <si>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</si>
  <si>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</si>
  <si>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</si>
  <si>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</si>
  <si>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</si>
  <si>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</si>
  <si>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</si>
  <si>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</si>
  <si>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</si>
  <si>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0.22, 90% CI [0.02, 0.48].</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</si>
</sst>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
    <numFmt numFmtId="166" formatCode="###0"/>
    <numFmt numFmtId="167" formatCode="####.000"/>
    <numFmt numFmtId="168" formatCode="0.00000"/>
  </numFmts>
  <fonts count="24" x14ac:knownFonts="1">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rgb="FF3F3F3F"/>
      </left>
      <right style="thin">
        <color rgb="FF3F3F3F"/>
      </right>
      <top/>
      <bottom style="thin">
        <color rgb="FF3F3F3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rgb="FF7F7F7F"/>
      </left>
      <right/>
      <top/>
      <bottom/>
      <diagonal/>
    </border>
    <border>
      <left/>
      <right style="thin">
        <color rgb="FF7F7F7F"/>
      </right>
      <top/>
      <bottom/>
      <diagonal/>
    </border>
    <border>
      <left style="thin">
        <color rgb="FF3F3F3F"/>
      </left>
      <right/>
      <top style="thin">
        <color auto="1"/>
      </top>
      <bottom style="thin">
        <color rgb="FF3F3F3F"/>
      </bottom>
      <diagonal/>
    </border>
    <border>
      <left/>
      <right style="thin">
        <color rgb="FF3F3F3F"/>
      </right>
      <top style="thin">
        <color auto="1"/>
      </top>
      <bottom style="thin">
        <color rgb="FF3F3F3F"/>
      </bottom>
      <diagonal/>
    </border>
    <border>
      <left style="thin">
        <color auto="1"/>
      </left>
      <right/>
      <top style="thin">
        <color rgb="FF3F3F3F"/>
      </top>
      <bottom style="thin">
        <color auto="1"/>
      </bottom>
      <diagonal/>
    </border>
    <border>
      <left/>
      <right/>
      <top style="thin">
        <color rgb="FF3F3F3F"/>
      </top>
      <bottom style="thin">
        <color auto="1"/>
      </bottom>
      <diagonal/>
    </border>
    <border>
      <left/>
      <right style="thin">
        <color auto="1"/>
      </right>
      <top style="thin">
        <color rgb="FF3F3F3F"/>
      </top>
      <bottom style="thin">
        <color auto="1"/>
      </bottom>
      <diagonal/>
    </border>
    <border>
      <left/>
      <right/>
      <top style="thin">
        <color auto="1"/>
      </top>
      <bottom/>
      <diagonal/>
    </border>
    <border>
      <left/>
      <right/>
      <top/>
      <bottom style="thin">
        <color rgb="FF3F3F3F"/>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thin">
        <color auto="1"/>
      </left>
      <right style="thin">
        <color rgb="FFB2B2B2"/>
      </right>
      <top style="thin">
        <color auto="1"/>
      </top>
      <bottom style="thin">
        <color auto="1"/>
      </bottom>
      <diagonal/>
    </border>
    <border>
      <left style="thin">
        <color rgb="FFB2B2B2"/>
      </left>
      <right style="thin">
        <color rgb="FFB2B2B2"/>
      </right>
      <top style="thin">
        <color auto="1"/>
      </top>
      <bottom style="thin">
        <color auto="1"/>
      </bottom>
      <diagonal/>
    </border>
    <border>
      <left style="thin">
        <color rgb="FFB2B2B2"/>
      </left>
      <right style="thin">
        <color auto="1"/>
      </right>
      <top style="thin">
        <color auto="1"/>
      </top>
      <bottom style="thin">
        <color auto="1"/>
      </bottom>
      <diagonal/>
    </border>
    <border>
      <left/>
      <right/>
      <top style="thin">
        <color rgb="FF3F3F3F"/>
      </top>
      <bottom style="thin">
        <color rgb="FF3F3F3F"/>
      </bottom>
      <diagonal/>
    </border>
    <border>
      <left/>
      <right/>
      <top style="thin">
        <color rgb="FF3F3F3F"/>
      </top>
      <bottom/>
      <diagonal/>
    </border>
    <border>
      <left/>
      <right/>
      <top/>
      <bottom style="thin">
        <color auto="1"/>
      </bottom>
      <diagonal/>
    </border>
    <border>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thin">
        <color rgb="FF3F3F3F"/>
      </left>
      <right style="thin">
        <color rgb="FF3F3F3F"/>
      </right>
      <top/>
      <bottom/>
      <diagonal/>
    </border>
    <border>
      <left style="thin">
        <color auto="1"/>
      </left>
      <right style="thin">
        <color rgb="FFB2B2B2"/>
      </right>
      <top style="thin">
        <color auto="1"/>
      </top>
      <bottom style="thin">
        <color rgb="FFB2B2B2"/>
      </bottom>
      <diagonal/>
    </border>
    <border>
      <left style="thin">
        <color rgb="FFB2B2B2"/>
      </left>
      <right style="thin">
        <color rgb="FFB2B2B2"/>
      </right>
      <top style="thin">
        <color auto="1"/>
      </top>
      <bottom style="thin">
        <color rgb="FFB2B2B2"/>
      </bottom>
      <diagonal/>
    </border>
    <border>
      <left style="thin">
        <color rgb="FFB2B2B2"/>
      </left>
      <right style="thin">
        <color auto="1"/>
      </right>
      <top style="thin">
        <color auto="1"/>
      </top>
      <bottom style="thin">
        <color rgb="FFB2B2B2"/>
      </bottom>
      <diagonal/>
    </border>
    <border>
      <left style="thin">
        <color auto="1"/>
      </left>
      <right style="thin">
        <color rgb="FFB2B2B2"/>
      </right>
      <top style="thin">
        <color rgb="FFB2B2B2"/>
      </top>
      <bottom style="thin">
        <color rgb="FFB2B2B2"/>
      </bottom>
      <diagonal/>
    </border>
    <border>
      <left style="thin">
        <color rgb="FFB2B2B2"/>
      </left>
      <right style="thin">
        <color auto="1"/>
      </right>
      <top style="thin">
        <color rgb="FFB2B2B2"/>
      </top>
      <bottom style="thin">
        <color rgb="FFB2B2B2"/>
      </bottom>
      <diagonal/>
    </border>
    <border>
      <left style="thin">
        <color auto="1"/>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style="thin">
        <color rgb="FF7F7F7F"/>
      </right>
      <top style="thin">
        <color rgb="FF7F7F7F"/>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B2B2B2"/>
      </right>
      <top style="thin">
        <color rgb="FFB2B2B2"/>
      </top>
      <bottom/>
      <diagonal/>
    </border>
    <border>
      <left style="thin">
        <color rgb="FFB2B2B2"/>
      </left>
      <right style="thin">
        <color auto="1"/>
      </right>
      <top style="thin">
        <color rgb="FFB2B2B2"/>
      </top>
      <bottom/>
      <diagonal/>
    </border>
    <border>
      <left style="thin">
        <color rgb="FF7F7F7F"/>
      </left>
      <right style="thin">
        <color rgb="FF7F7F7F"/>
      </right>
      <top style="thin">
        <color auto="1"/>
      </top>
      <bottom style="thin">
        <color auto="1"/>
      </bottom>
      <diagonal/>
    </border>
    <border>
      <left/>
      <right style="thin">
        <color auto="1"/>
      </right>
      <top style="thin">
        <color auto="1"/>
      </top>
      <bottom style="thin">
        <color rgb="FF3F3F3F"/>
      </bottom>
      <diagonal/>
    </border>
    <border>
      <left/>
      <right style="thin">
        <color auto="1"/>
      </right>
      <top style="thin">
        <color rgb="FF3F3F3F"/>
      </top>
      <bottom style="thin">
        <color rgb="FF3F3F3F"/>
      </bottom>
      <diagonal/>
    </border>
    <border>
      <left style="thin">
        <color rgb="FF3F3F3F"/>
      </left>
      <right style="thin">
        <color rgb="FF3F3F3F"/>
      </right>
      <top style="thin">
        <color auto="1"/>
      </top>
      <bottom style="thin">
        <color auto="1"/>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rgb="FF3F3F3F"/>
      </top>
      <bottom style="thin">
        <color rgb="FF3F3F3F"/>
      </bottom>
      <diagonal/>
    </border>
    <border>
      <left/>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style="thin">
        <color auto="1"/>
      </bottom>
      <diagonal/>
    </border>
    <border>
      <left style="medium">
        <color auto="1"/>
      </left>
      <right/>
      <top/>
      <bottom style="thick">
        <color indexed="8"/>
      </bottom>
      <diagonal/>
    </border>
    <border>
      <left style="thin">
        <color auto="1"/>
      </left>
      <right style="medium">
        <color auto="1"/>
      </right>
      <top style="thin">
        <color auto="1"/>
      </top>
      <bottom style="thin">
        <color auto="1"/>
      </bottom>
      <diagonal/>
    </border>
    <border>
      <left style="medium">
        <color auto="1"/>
      </left>
      <right/>
      <top style="thick">
        <color indexed="8"/>
      </top>
      <bottom style="thick">
        <color indexed="8"/>
      </bottom>
      <diagonal/>
    </border>
    <border>
      <left style="medium">
        <color auto="1"/>
      </left>
      <right/>
      <top style="thick">
        <color indexed="8"/>
      </top>
      <bottom/>
      <diagonal/>
    </border>
    <border>
      <left style="medium">
        <color auto="1"/>
      </left>
      <right/>
      <top/>
      <bottom/>
      <diagonal/>
    </border>
    <border>
      <left/>
      <right style="medium">
        <color auto="1"/>
      </right>
      <top style="thin">
        <color auto="1"/>
      </top>
      <bottom style="thin">
        <color auto="1"/>
      </bottom>
      <diagonal/>
    </border>
    <border>
      <left style="thin">
        <color rgb="FF3F3F3F"/>
      </left>
      <right style="medium">
        <color auto="1"/>
      </right>
      <top style="thin">
        <color rgb="FF3F3F3F"/>
      </top>
      <bottom style="thin">
        <color rgb="FF3F3F3F"/>
      </bottom>
      <diagonal/>
    </border>
    <border>
      <left style="thin">
        <color rgb="FF3F3F3F"/>
      </left>
      <right style="medium">
        <color auto="1"/>
      </right>
      <top/>
      <bottom/>
      <diagonal/>
    </border>
    <border>
      <left style="thin">
        <color rgb="FF3F3F3F"/>
      </left>
      <right style="medium">
        <color auto="1"/>
      </right>
      <top/>
      <bottom style="thin">
        <color rgb="FF3F3F3F"/>
      </bottom>
      <diagonal/>
    </border>
    <border>
      <left/>
      <right style="medium">
        <color auto="1"/>
      </right>
      <top/>
      <bottom/>
      <diagonal/>
    </border>
    <border>
      <left style="medium">
        <color auto="1"/>
      </left>
      <right style="thick">
        <color indexed="8"/>
      </right>
      <top style="thick">
        <color indexed="8"/>
      </top>
      <bottom style="thick">
        <color indexed="8"/>
      </bottom>
      <diagonal/>
    </border>
    <border>
      <left style="medium">
        <color auto="1"/>
      </left>
      <right style="thick">
        <color indexed="8"/>
      </right>
      <top style="thick">
        <color indexed="8"/>
      </top>
      <bottom/>
      <diagonal/>
    </border>
    <border>
      <left style="medium">
        <color auto="1"/>
      </left>
      <right style="thick">
        <color indexed="8"/>
      </right>
      <top/>
      <bottom/>
      <diagonal/>
    </border>
    <border>
      <left style="medium">
        <color auto="1"/>
      </left>
      <right style="thick">
        <color indexed="8"/>
      </right>
      <top/>
      <bottom style="medium">
        <color auto="1"/>
      </bottom>
      <diagonal/>
    </border>
    <border>
      <left style="thick">
        <color indexed="8"/>
      </left>
      <right style="thin">
        <color indexed="8"/>
      </right>
      <top/>
      <bottom style="medium">
        <color auto="1"/>
      </bottom>
      <diagonal/>
    </border>
    <border>
      <left style="thin">
        <color indexed="8"/>
      </left>
      <right style="thin">
        <color indexed="8"/>
      </right>
      <top/>
      <bottom style="medium">
        <color auto="1"/>
      </bottom>
      <diagonal/>
    </border>
    <border>
      <left style="thin">
        <color indexed="8"/>
      </left>
      <right style="thick">
        <color indexed="8"/>
      </right>
      <top/>
      <bottom style="medium">
        <color auto="1"/>
      </bottom>
      <diagonal/>
    </border>
    <border>
      <left style="medium">
        <color auto="1"/>
      </left>
      <right style="thick">
        <color indexed="8"/>
      </right>
      <top/>
      <bottom style="thick">
        <color indexed="8"/>
      </bottom>
      <diagonal/>
    </border>
    <border>
      <left style="thin">
        <color indexed="8"/>
      </left>
      <right style="medium">
        <color auto="1"/>
      </right>
      <top style="thick">
        <color indexed="8"/>
      </top>
      <bottom style="thick">
        <color indexed="8"/>
      </bottom>
      <diagonal/>
    </border>
    <border>
      <left style="thin">
        <color indexed="8"/>
      </left>
      <right style="medium">
        <color auto="1"/>
      </right>
      <top style="thick">
        <color indexed="8"/>
      </top>
      <bottom/>
      <diagonal/>
    </border>
    <border>
      <left style="thin">
        <color indexed="8"/>
      </left>
      <right style="medium">
        <color auto="1"/>
      </right>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style="thin">
        <color indexed="8"/>
      </left>
      <right style="medium">
        <color auto="1"/>
      </right>
      <top/>
      <bottom/>
      <diagonal/>
    </border>
    <border>
      <left/>
      <right style="thick">
        <color indexed="8"/>
      </right>
      <top/>
      <bottom style="medium">
        <color auto="1"/>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auto="1"/>
      </left>
      <right style="thin">
        <color rgb="FF3F3F3F"/>
      </right>
      <top style="thin">
        <color rgb="FF3F3F3F"/>
      </top>
      <bottom style="thin">
        <color rgb="FF3F3F3F"/>
      </bottom>
      <diagonal/>
    </border>
    <border>
      <left style="thin">
        <color rgb="FF3F3F3F"/>
      </left>
      <right style="thin">
        <color auto="1"/>
      </right>
      <top style="thin">
        <color rgb="FF3F3F3F"/>
      </top>
      <bottom style="thin">
        <color rgb="FF3F3F3F"/>
      </bottom>
      <diagonal/>
    </border>
    <border>
      <left style="thin">
        <color auto="1"/>
      </left>
      <right style="thin">
        <color rgb="FF3F3F3F"/>
      </right>
      <top/>
      <bottom/>
      <diagonal/>
    </border>
    <border>
      <left style="thin">
        <color rgb="FF3F3F3F"/>
      </left>
      <right style="thin">
        <color auto="1"/>
      </right>
      <top/>
      <bottom/>
      <diagonal/>
    </border>
    <border>
      <left style="thin">
        <color auto="1"/>
      </left>
      <right style="thin">
        <color rgb="FF3F3F3F"/>
      </right>
      <top/>
      <bottom style="thin">
        <color auto="1"/>
      </bottom>
      <diagonal/>
    </border>
    <border>
      <left style="thin">
        <color rgb="FF3F3F3F"/>
      </left>
      <right style="thin">
        <color auto="1"/>
      </right>
      <top/>
      <bottom style="thin">
        <color auto="1"/>
      </bottom>
      <diagonal/>
    </border>
    <border>
      <left style="thin">
        <color auto="1"/>
      </left>
      <right style="medium">
        <color auto="1"/>
      </right>
      <top style="thin">
        <color rgb="FF3F3F3F"/>
      </top>
      <bottom style="thin">
        <color rgb="FF3F3F3F"/>
      </bottom>
      <diagonal/>
    </border>
    <border>
      <left style="thin">
        <color auto="1"/>
      </left>
      <right style="medium">
        <color auto="1"/>
      </right>
      <top/>
      <bottom/>
      <diagonal/>
    </border>
    <border>
      <left style="thin">
        <color auto="1"/>
      </left>
      <right style="medium">
        <color auto="1"/>
      </right>
      <top/>
      <bottom style="thin">
        <color auto="1"/>
      </bottom>
      <diagonal/>
    </border>
    <border>
      <left/>
      <right style="medium">
        <color auto="1"/>
      </right>
      <top style="thin">
        <color rgb="FF3F3F3F"/>
      </top>
      <bottom style="thin">
        <color rgb="FF3F3F3F"/>
      </bottom>
      <diagonal/>
    </border>
    <border>
      <left style="medium">
        <color auto="1"/>
      </left>
      <right/>
      <top style="medium">
        <color auto="1"/>
      </top>
      <bottom style="thick">
        <color indexed="8"/>
      </bottom>
      <diagonal/>
    </border>
    <border>
      <left/>
      <right style="thick">
        <color indexed="8"/>
      </right>
      <top style="medium">
        <color auto="1"/>
      </top>
      <bottom style="thick">
        <color indexed="8"/>
      </bottom>
      <diagonal/>
    </border>
    <border>
      <left style="thick">
        <color indexed="8"/>
      </left>
      <right style="thin">
        <color indexed="8"/>
      </right>
      <top style="medium">
        <color auto="1"/>
      </top>
      <bottom style="thick">
        <color indexed="8"/>
      </bottom>
      <diagonal/>
    </border>
    <border>
      <left style="thin">
        <color indexed="8"/>
      </left>
      <right style="thin">
        <color indexed="8"/>
      </right>
      <top style="medium">
        <color auto="1"/>
      </top>
      <bottom style="thick">
        <color indexed="8"/>
      </bottom>
      <diagonal/>
    </border>
    <border>
      <left style="thin">
        <color indexed="8"/>
      </left>
      <right style="medium">
        <color auto="1"/>
      </right>
      <top style="medium">
        <color auto="1"/>
      </top>
      <bottom style="thick">
        <color indexed="8"/>
      </bottom>
      <diagonal/>
    </border>
    <border>
      <left style="thin">
        <color auto="1"/>
      </left>
      <right/>
      <top style="thin">
        <color rgb="FF3F3F3F"/>
      </top>
      <bottom style="thin">
        <color rgb="FF3F3F3F"/>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rgb="FF3F3F3F"/>
      </bottom>
      <diagonal/>
    </border>
    <border>
      <left style="medium">
        <color auto="1"/>
      </left>
      <right style="medium">
        <color auto="1"/>
      </right>
      <top style="thin">
        <color auto="1"/>
      </top>
      <bottom style="medium">
        <color auto="1"/>
      </bottom>
      <diagonal/>
    </border>
    <border>
      <left/>
      <right style="thick">
        <color auto="1"/>
      </right>
      <top style="thin">
        <color auto="1"/>
      </top>
      <bottom/>
      <diagonal/>
    </border>
    <border>
      <left/>
      <right style="thick">
        <color auto="1"/>
      </right>
      <top/>
      <bottom style="medium">
        <color auto="1"/>
      </bottom>
      <diagonal/>
    </border>
  </borders>
  <cellStyleXfs count="8">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cellStyleXfs>
  <cellXfs count="347">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5" borderId="9" xfId="4"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2" borderId="7" xfId="1" applyFont="1" applyBorder="1" applyAlignment="1">
      <alignment horizontal="center"/>
    </xf>
    <xf numFmtId="0" fontId="5" fillId="2" borderId="8" xfId="1"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5" fillId="4" borderId="16" xfId="3" applyFont="1" applyBorder="1" applyAlignment="1">
      <alignment horizontal="center"/>
    </xf>
    <xf numFmtId="0" fontId="5" fillId="4" borderId="17" xfId="3" applyFont="1" applyBorder="1" applyAlignment="1">
      <alignment horizontal="center"/>
    </xf>
    <xf numFmtId="0" fontId="15" fillId="2" borderId="7" xfId="1" applyFont="1" applyBorder="1" applyAlignment="1">
      <alignment horizontal="center"/>
    </xf>
    <xf numFmtId="0" fontId="15" fillId="2" borderId="13" xfId="1" applyFont="1" applyBorder="1" applyAlignment="1">
      <alignment horizontal="center"/>
    </xf>
    <xf numFmtId="0" fontId="15" fillId="2" borderId="91" xfId="1" applyFont="1" applyBorder="1" applyAlignment="1">
      <alignment horizontal="center"/>
    </xf>
    <xf numFmtId="0" fontId="5" fillId="6" borderId="13" xfId="2" applyFont="1" applyFill="1" applyBorder="1" applyAlignment="1">
      <alignment horizontal="center"/>
    </xf>
    <xf numFmtId="0" fontId="5" fillId="6" borderId="91" xfId="2" applyFont="1" applyFill="1" applyBorder="1" applyAlignment="1">
      <alignment horizontal="center"/>
    </xf>
    <xf numFmtId="0" fontId="15" fillId="2" borderId="8" xfId="1" applyFont="1" applyBorder="1" applyAlignment="1">
      <alignment horizontal="center"/>
    </xf>
    <xf numFmtId="0" fontId="21" fillId="0" borderId="90" xfId="7" applyFont="1" applyBorder="1" applyAlignment="1">
      <alignment horizontal="left" vertical="top" wrapText="1"/>
    </xf>
    <xf numFmtId="0" fontId="21" fillId="0" borderId="83" xfId="7" applyFont="1" applyBorder="1" applyAlignment="1">
      <alignment horizontal="left" vertical="top" wrapText="1"/>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80" xfId="1" applyFont="1" applyBorder="1" applyAlignment="1">
      <alignment horizontal="center"/>
    </xf>
    <xf numFmtId="0" fontId="5" fillId="2" borderId="107" xfId="1" applyFont="1" applyBorder="1" applyAlignment="1">
      <alignment horizontal="center"/>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126" xfId="7" applyFont="1" applyBorder="1" applyAlignment="1">
      <alignment horizontal="left" wrapText="1"/>
    </xf>
    <xf numFmtId="0" fontId="21" fillId="0" borderId="127" xfId="7" applyFont="1" applyBorder="1" applyAlignment="1">
      <alignment horizontal="left" wrapText="1"/>
    </xf>
    <xf numFmtId="0" fontId="21" fillId="0" borderId="89" xfId="7" applyFont="1" applyBorder="1" applyAlignment="1">
      <alignment horizontal="left" vertical="top" wrapText="1"/>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xf numFmtId="0" fontId="21" fillId="0" borderId="96" xfId="7" applyFont="1" applyBorder="1" applyAlignment="1">
      <alignment horizontal="left"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8" fillId="0" borderId="95"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6" xfId="7" applyFont="1" applyBorder="1" applyAlignment="1">
      <alignment horizontal="left" vertical="top"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90" xfId="5" applyFont="1" applyBorder="1" applyAlignment="1">
      <alignment horizontal="left" vertical="top" wrapText="1"/>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cellXfs>
  <cellStyles count="8">
    <cellStyle name="Input" xfId="2" builtinId="20"/>
    <cellStyle name="Neutral" xfId="1" builtinId="28"/>
    <cellStyle name="Normal" xfId="0" builtinId="0"/>
    <cellStyle name="Normal_Generalized Eta Examples" xfId="6"/>
    <cellStyle name="Normal_Generalized Eta Square Examples" xfId="7"/>
    <cellStyle name="Normal_Sheet1" xfId="5"/>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s://sites.google.com/site/lakens2/effect-sizes" TargetMode="External"/><Relationship Id="rId2" Type="http://schemas.openxmlformats.org/officeDocument/2006/relationships/hyperlink" Target="#'Generalized Eta Square'!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466724</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xdr:cNvPr>
        <xdr:cNvSpPr txBox="1"/>
      </xdr:nvSpPr>
      <xdr:spPr>
        <a:xfrm>
          <a:off x="9991724" y="5067299"/>
          <a:ext cx="6029326" cy="193357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Insert values in green cells. Grey cells are output.</a:t>
          </a:r>
        </a:p>
        <a:p>
          <a:pPr algn="ctr"/>
          <a:r>
            <a:rPr lang="en-US" sz="1400" b="1"/>
            <a:t>You can cite this spreadsheet and the accompanying article as:</a:t>
          </a:r>
        </a:p>
        <a:p>
          <a:pPr algn="ctr"/>
          <a:r>
            <a:rPr lang="en-US" sz="1400" b="1">
              <a:effectLst/>
            </a:rPr>
            <a:t>Lakens, D. (2013). Calculating and reporting effect sizes to facilitate cumulative science: A practical primer for t-tests and ANOVAs. </a:t>
          </a:r>
          <a:r>
            <a:rPr lang="en-US" sz="1400" b="1" i="1">
              <a:effectLst/>
            </a:rPr>
            <a:t>Frontiers in Psychology</a:t>
          </a:r>
          <a:r>
            <a:rPr lang="en-US" sz="1400" b="1">
              <a:effectLst/>
            </a:rPr>
            <a:t>, </a:t>
          </a:r>
          <a:r>
            <a:rPr lang="en-US" sz="1400" b="1" i="1">
              <a:effectLst/>
            </a:rPr>
            <a:t>4:863</a:t>
          </a:r>
          <a:r>
            <a:rPr lang="en-US" sz="1400" b="1">
              <a:effectLst/>
            </a:rPr>
            <a:t>. doi:10.3389/fpsyg.2013.00863</a:t>
          </a:r>
        </a:p>
        <a:p>
          <a:pPr algn="ctr"/>
          <a:r>
            <a:rPr lang="en-US" sz="1400" b="1"/>
            <a:t>For comments, contact me at D.Lakens@tue.nl</a:t>
          </a:r>
        </a:p>
        <a:p>
          <a:pPr algn="ctr"/>
          <a:r>
            <a:rPr lang="en-US" sz="1400" b="1"/>
            <a:t>This is version 3.4. For updates, check: http://openscienceframework.org/project/ixGcd or follow me @Lakens</a:t>
          </a:r>
        </a:p>
        <a:p>
          <a:pPr algn="ctr"/>
          <a:endParaRPr lang="en-US" sz="14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1"/>
  <sheetViews>
    <sheetView topLeftCell="G10" workbookViewId="0">
      <selection activeCell="Q21" sqref="Q21"/>
    </sheetView>
  </sheetViews>
  <sheetFormatPr baseColWidth="10" defaultColWidth="8.83203125" defaultRowHeight="14" x14ac:dyDescent="0"/>
  <cols>
    <col min="7" max="7" width="8.33203125" customWidth="1"/>
    <col min="10" max="10" width="12.6640625" customWidth="1"/>
    <col min="11" max="11" width="12" bestFit="1" customWidth="1"/>
    <col min="12" max="12" width="15.33203125" bestFit="1" customWidth="1"/>
    <col min="13" max="13" width="12" bestFit="1" customWidth="1"/>
    <col min="14" max="14" width="15.1640625" customWidth="1"/>
    <col min="15" max="15" width="12" bestFit="1" customWidth="1"/>
    <col min="16" max="16" width="13.33203125" bestFit="1" customWidth="1"/>
    <col min="18" max="20" width="12.6640625" bestFit="1" customWidth="1"/>
    <col min="21" max="21" width="15.6640625" bestFit="1" customWidth="1"/>
    <col min="22" max="22" width="12.6640625" bestFit="1" customWidth="1"/>
    <col min="23" max="23" width="12.6640625" style="31" customWidth="1"/>
    <col min="24" max="24" width="11.33203125" bestFit="1" customWidth="1"/>
    <col min="25" max="25" width="11.1640625" bestFit="1" customWidth="1"/>
    <col min="26" max="26" width="11" bestFit="1" customWidth="1"/>
  </cols>
  <sheetData>
    <row r="1" spans="15:31" ht="16">
      <c r="R1" s="244" t="s">
        <v>23</v>
      </c>
      <c r="S1" s="245"/>
      <c r="T1" s="246"/>
    </row>
    <row r="2" spans="15:31">
      <c r="R2" s="247" t="s">
        <v>3</v>
      </c>
      <c r="S2" s="248"/>
      <c r="T2" s="5" t="s">
        <v>21</v>
      </c>
      <c r="Y2" s="31"/>
    </row>
    <row r="3" spans="15:31">
      <c r="R3" s="249">
        <v>10</v>
      </c>
      <c r="S3" s="250"/>
      <c r="T3" s="195">
        <v>4.7434164902525655</v>
      </c>
      <c r="Y3" s="31"/>
    </row>
    <row r="4" spans="15:31" ht="16">
      <c r="R4" s="247" t="s">
        <v>16</v>
      </c>
      <c r="S4" s="251"/>
      <c r="T4" s="248"/>
    </row>
    <row r="5" spans="15:31">
      <c r="R5" s="240">
        <f>T3/SQRT(R3)</f>
        <v>1.4999999999999989</v>
      </c>
      <c r="S5" s="240"/>
      <c r="T5" s="240"/>
    </row>
    <row r="6" spans="15:31">
      <c r="R6" s="254" t="s">
        <v>9</v>
      </c>
      <c r="S6" s="255"/>
      <c r="T6" s="256"/>
    </row>
    <row r="7" spans="15:31">
      <c r="R7" s="257">
        <f>NORMSDIST(R5)</f>
        <v>0.9331927987311418</v>
      </c>
      <c r="S7" s="257"/>
      <c r="T7" s="257"/>
    </row>
    <row r="9" spans="15:31" ht="15" customHeight="1">
      <c r="O9" s="241" t="s">
        <v>46</v>
      </c>
      <c r="P9" s="242"/>
      <c r="Q9" s="242"/>
      <c r="R9" s="242"/>
      <c r="S9" s="242"/>
      <c r="T9" s="242"/>
      <c r="U9" s="242"/>
      <c r="V9" s="243"/>
      <c r="X9" s="31"/>
      <c r="Y9" s="31"/>
    </row>
    <row r="10" spans="15:31" ht="16">
      <c r="O10" s="4" t="s">
        <v>27</v>
      </c>
      <c r="P10" s="22">
        <v>8.6999999999999993</v>
      </c>
      <c r="Q10" s="4" t="s">
        <v>28</v>
      </c>
      <c r="R10" s="22">
        <v>7.7</v>
      </c>
      <c r="S10" s="2" t="s">
        <v>38</v>
      </c>
      <c r="T10" s="13">
        <f>ABS(P10-R10)</f>
        <v>0.99999999999999911</v>
      </c>
      <c r="U10" s="6" t="s">
        <v>16</v>
      </c>
      <c r="V10" s="33">
        <f>T10/T11</f>
        <v>1.499999999999996</v>
      </c>
      <c r="X10" s="31"/>
      <c r="Y10" s="31"/>
    </row>
    <row r="11" spans="15:31" ht="16">
      <c r="O11" s="6" t="s">
        <v>29</v>
      </c>
      <c r="P11" s="23">
        <v>0.8232726023485647</v>
      </c>
      <c r="Q11" s="6" t="s">
        <v>30</v>
      </c>
      <c r="R11" s="23">
        <v>0.94868329805051521</v>
      </c>
      <c r="S11" s="6" t="s">
        <v>39</v>
      </c>
      <c r="T11" s="14">
        <f>SQRT(P11^2+R11^2-2*R12*P11*R11)</f>
        <v>0.66666666666666785</v>
      </c>
      <c r="U11" s="6" t="s">
        <v>47</v>
      </c>
      <c r="V11" s="34">
        <f>V10*SQRT(2*(1-R12))</f>
        <v>1.1113323363023084</v>
      </c>
      <c r="W11" s="231" t="s">
        <v>154</v>
      </c>
      <c r="X11" s="232"/>
      <c r="Y11" s="232"/>
      <c r="Z11" s="232"/>
      <c r="AA11" s="232"/>
      <c r="AB11" s="233"/>
    </row>
    <row r="12" spans="15:31" ht="16">
      <c r="O12" s="6" t="s">
        <v>3</v>
      </c>
      <c r="P12" s="22">
        <v>10</v>
      </c>
      <c r="Q12" s="11" t="s">
        <v>8</v>
      </c>
      <c r="R12" s="23">
        <v>0.72554231961974358</v>
      </c>
      <c r="S12" s="6" t="s">
        <v>40</v>
      </c>
      <c r="T12" s="36">
        <f>SQRT(((P11^2/P12)+(R11^2/P12))-(2*R12*(P11/SQRT(P12))*(R11/SQRT(P12))))</f>
        <v>0.21081851067789234</v>
      </c>
      <c r="U12" s="6" t="s">
        <v>48</v>
      </c>
      <c r="V12" s="34">
        <f>V11*(1-(3/(4*(P12-1)-1)))</f>
        <v>1.0160752789049676</v>
      </c>
      <c r="W12" s="234"/>
      <c r="X12" s="235"/>
      <c r="Y12" s="235"/>
      <c r="Z12" s="235"/>
      <c r="AA12" s="235"/>
      <c r="AB12" s="236"/>
    </row>
    <row r="13" spans="15:31" ht="16">
      <c r="S13" s="260" t="s">
        <v>41</v>
      </c>
      <c r="T13" s="45">
        <f>T10-T12*_xlfn.T.INV.2T(0.05,(P12-1))</f>
        <v>0.52309539601955501</v>
      </c>
      <c r="U13" s="6" t="s">
        <v>24</v>
      </c>
      <c r="V13" s="34">
        <f>T10/SQRT(((P11^2+R11^2)/2))</f>
        <v>1.1258799375612003</v>
      </c>
      <c r="W13" s="234"/>
      <c r="X13" s="235"/>
      <c r="Y13" s="235"/>
      <c r="Z13" s="235"/>
      <c r="AA13" s="235"/>
      <c r="AB13" s="236"/>
    </row>
    <row r="14" spans="15:31" ht="18" customHeight="1">
      <c r="S14" s="261"/>
      <c r="T14" s="45">
        <f>T10+T12*_xlfn.T.INV.2T(0.05,(P12-1))</f>
        <v>1.4769046039804432</v>
      </c>
      <c r="U14" s="21" t="s">
        <v>37</v>
      </c>
      <c r="V14" s="34">
        <f>V13*(1-(3/(4*(P12-1)-1)))</f>
        <v>1.0293759429130973</v>
      </c>
      <c r="W14" s="234"/>
      <c r="X14" s="235"/>
      <c r="Y14" s="235"/>
      <c r="Z14" s="235"/>
      <c r="AA14" s="235"/>
      <c r="AB14" s="236"/>
      <c r="AC14" s="31"/>
      <c r="AD14" s="31"/>
      <c r="AE14" s="31"/>
    </row>
    <row r="15" spans="15:31">
      <c r="O15" s="11" t="s">
        <v>42</v>
      </c>
      <c r="P15" s="38">
        <f>T10/(T11/SQRT(P12))</f>
        <v>4.7434164902525566</v>
      </c>
      <c r="Q15" s="11" t="s">
        <v>44</v>
      </c>
      <c r="R15" s="38">
        <f>(P12-1)</f>
        <v>9</v>
      </c>
      <c r="S15" s="11" t="s">
        <v>43</v>
      </c>
      <c r="T15" s="46">
        <f>TDIST(ABS(P15), R15,2)</f>
        <v>1.0538712570165717E-3</v>
      </c>
      <c r="U15" s="6" t="s">
        <v>49</v>
      </c>
      <c r="V15" s="47" t="str">
        <f>IF(ABS((ABS((P10-R10)/(SQRT((((P12-1)*P11^2)+((P12-1)*R11^2))/(P12+P12-2)))))-V11)&lt;ABS((ABS((P10-R10)/(SQRT((((P12-1)*P11^2)+((P12-1)*R11^2))/(P12+P12-2)))))-V13),"Grm","Gav")</f>
        <v>Gav</v>
      </c>
      <c r="W15" s="237"/>
      <c r="X15" s="238"/>
      <c r="Y15" s="238"/>
      <c r="Z15" s="238"/>
      <c r="AA15" s="238"/>
      <c r="AB15" s="239"/>
      <c r="AC15" s="31"/>
      <c r="AD15" s="31"/>
      <c r="AE15" s="31"/>
    </row>
    <row r="16" spans="15:31">
      <c r="U16" s="6" t="s">
        <v>9</v>
      </c>
      <c r="V16" s="35">
        <f>NORMSDIST(T10/T11)</f>
        <v>0.93319279873114147</v>
      </c>
    </row>
    <row r="17" spans="1:28">
      <c r="A17" s="58" t="s">
        <v>26</v>
      </c>
      <c r="B17" s="58"/>
      <c r="C17" s="58"/>
      <c r="D17" s="58"/>
    </row>
    <row r="18" spans="1:28" ht="18" customHeight="1">
      <c r="A18" s="18" t="s">
        <v>0</v>
      </c>
      <c r="B18" s="23">
        <v>6.34</v>
      </c>
      <c r="C18" s="9" t="s">
        <v>130</v>
      </c>
      <c r="D18" s="15">
        <f>B18*B19/(B18*B19+B20)</f>
        <v>0.26047658175842237</v>
      </c>
      <c r="N18" s="241" t="s">
        <v>45</v>
      </c>
      <c r="O18" s="242"/>
      <c r="P18" s="242"/>
      <c r="Q18" s="242"/>
      <c r="R18" s="242"/>
      <c r="S18" s="242"/>
      <c r="T18" s="242"/>
      <c r="U18" s="243"/>
      <c r="V18" s="231" t="s">
        <v>153</v>
      </c>
      <c r="W18" s="232"/>
      <c r="X18" s="232"/>
      <c r="Y18" s="232"/>
      <c r="Z18" s="232"/>
      <c r="AA18" s="232"/>
      <c r="AB18" s="233"/>
    </row>
    <row r="19" spans="1:28" ht="16">
      <c r="A19" s="7" t="s">
        <v>1</v>
      </c>
      <c r="B19" s="23">
        <v>1</v>
      </c>
      <c r="C19" s="9" t="s">
        <v>155</v>
      </c>
      <c r="D19" s="15">
        <f>(B18-1)/(B18+(B20+1)/(B19))</f>
        <v>0.21073401736385161</v>
      </c>
      <c r="N19" s="4" t="s">
        <v>4</v>
      </c>
      <c r="O19" s="22">
        <v>285</v>
      </c>
      <c r="P19" s="4" t="s">
        <v>5</v>
      </c>
      <c r="Q19" s="22">
        <v>354</v>
      </c>
      <c r="R19" s="262" t="s">
        <v>41</v>
      </c>
      <c r="S19" s="37">
        <f>(O19-Q19)-_xlfn.T.INV.2T(0.05,(O21+Q21-2))*SQRT((O20^2/O21)+(Q20^2/Q21))</f>
        <v>-110.60804076634098</v>
      </c>
      <c r="T19" s="3" t="s">
        <v>15</v>
      </c>
      <c r="U19" s="13">
        <f>ABS((O19-Q19)/(SQRT((((O21-1)*O20^2)+((Q21-1)*Q20^2))/(O21+Q21-2))))</f>
        <v>0.75805869649156699</v>
      </c>
      <c r="V19" s="234"/>
      <c r="W19" s="235"/>
      <c r="X19" s="235"/>
      <c r="Y19" s="235"/>
      <c r="Z19" s="235"/>
      <c r="AA19" s="235"/>
      <c r="AB19" s="236"/>
    </row>
    <row r="20" spans="1:28">
      <c r="A20" s="8" t="s">
        <v>2</v>
      </c>
      <c r="B20" s="24">
        <v>18</v>
      </c>
      <c r="C20" s="42" t="s">
        <v>43</v>
      </c>
      <c r="D20" s="15">
        <f>FDIST(B18,B19,B20)</f>
        <v>2.1490796824809692E-2</v>
      </c>
      <c r="N20" s="6" t="s">
        <v>6</v>
      </c>
      <c r="O20" s="23">
        <v>93</v>
      </c>
      <c r="P20" s="6" t="s">
        <v>7</v>
      </c>
      <c r="Q20" s="23">
        <v>89</v>
      </c>
      <c r="R20" s="261"/>
      <c r="S20" s="36">
        <f>(O19-Q19)+_xlfn.T.INV.2T(0.05,(O21+Q21-2))*SQRT((O20^2/O21)+(Q20^2/Q21))</f>
        <v>-27.391959233659023</v>
      </c>
      <c r="T20" s="6" t="s">
        <v>13</v>
      </c>
      <c r="U20" s="16">
        <f>ABS((O19-Q19)/(SQRT((((O21-1)*O20^2)+((Q21-1)*Q20^2))/(O21+Q21))))</f>
        <v>0.76823443631884181</v>
      </c>
      <c r="V20" s="234"/>
      <c r="W20" s="235"/>
      <c r="X20" s="235"/>
      <c r="Y20" s="235"/>
      <c r="Z20" s="235"/>
      <c r="AA20" s="235"/>
      <c r="AB20" s="236"/>
    </row>
    <row r="21" spans="1:28" ht="16">
      <c r="A21" s="275" t="s">
        <v>159</v>
      </c>
      <c r="B21" s="276"/>
      <c r="N21" s="6" t="s">
        <v>11</v>
      </c>
      <c r="O21" s="43">
        <v>38</v>
      </c>
      <c r="P21" s="6" t="s">
        <v>12</v>
      </c>
      <c r="Q21" s="23">
        <v>38</v>
      </c>
      <c r="R21" s="11" t="s">
        <v>42</v>
      </c>
      <c r="S21" s="38">
        <f>(O19-Q19)/(SQRT(((((O21-1)*O20^2)+((Q21-1)*Q20^2))/(O21+Q21-2))*((1/O21+1/Q21))))</f>
        <v>-3.3043012512789112</v>
      </c>
      <c r="T21" s="6" t="s">
        <v>17</v>
      </c>
      <c r="U21" s="17">
        <f>U19*(1-(3/(4*(Q21+O21-2)-1)))</f>
        <v>0.75034962500182223</v>
      </c>
      <c r="V21" s="234"/>
      <c r="W21" s="235"/>
      <c r="X21" s="235"/>
      <c r="Y21" s="235"/>
      <c r="Z21" s="235"/>
      <c r="AA21" s="235"/>
      <c r="AB21" s="236"/>
    </row>
    <row r="22" spans="1:28" ht="14.25" customHeight="1">
      <c r="A22" s="277"/>
      <c r="B22" s="278"/>
      <c r="R22" s="11" t="s">
        <v>44</v>
      </c>
      <c r="S22" s="38">
        <f>(O21+Q21-2)</f>
        <v>74</v>
      </c>
      <c r="T22" s="4" t="s">
        <v>9</v>
      </c>
      <c r="U22" s="13">
        <f>NORMSDIST(ABS(O19-Q19)/SQRT(O20^2+Q20^2))</f>
        <v>0.70403055411918913</v>
      </c>
      <c r="V22" s="237"/>
      <c r="W22" s="238"/>
      <c r="X22" s="238"/>
      <c r="Y22" s="238"/>
      <c r="Z22" s="238"/>
      <c r="AA22" s="238"/>
      <c r="AB22" s="239"/>
    </row>
    <row r="23" spans="1:28" ht="15" customHeight="1">
      <c r="A23" s="277"/>
      <c r="B23" s="278"/>
      <c r="R23" s="11" t="s">
        <v>43</v>
      </c>
      <c r="S23" s="230">
        <f>TDIST(ABS(S21), S22,2)</f>
        <v>1.4694635956152325E-3</v>
      </c>
    </row>
    <row r="24" spans="1:28" ht="15" customHeight="1">
      <c r="A24" s="277"/>
      <c r="B24" s="278"/>
    </row>
    <row r="25" spans="1:28">
      <c r="A25" s="277"/>
      <c r="B25" s="278"/>
    </row>
    <row r="26" spans="1:28" ht="16">
      <c r="A26" s="277"/>
      <c r="B26" s="278"/>
      <c r="H26" s="241" t="s">
        <v>22</v>
      </c>
      <c r="I26" s="242"/>
      <c r="J26" s="243"/>
      <c r="L26" s="244" t="s">
        <v>22</v>
      </c>
      <c r="M26" s="245"/>
      <c r="N26" s="246"/>
    </row>
    <row r="27" spans="1:28">
      <c r="A27" s="277"/>
      <c r="B27" s="278"/>
      <c r="H27" s="247" t="s">
        <v>10</v>
      </c>
      <c r="I27" s="248"/>
      <c r="J27" s="5" t="s">
        <v>21</v>
      </c>
      <c r="L27" s="5" t="s">
        <v>11</v>
      </c>
      <c r="M27" s="5" t="s">
        <v>12</v>
      </c>
      <c r="N27" s="5" t="s">
        <v>21</v>
      </c>
    </row>
    <row r="28" spans="1:28">
      <c r="A28" s="279"/>
      <c r="B28" s="280"/>
      <c r="H28" s="263">
        <v>244</v>
      </c>
      <c r="I28" s="264"/>
      <c r="J28" s="23">
        <v>2.9</v>
      </c>
      <c r="L28" s="24">
        <v>10</v>
      </c>
      <c r="M28" s="25">
        <v>10</v>
      </c>
      <c r="N28" s="23">
        <v>2.5175440748900626</v>
      </c>
    </row>
    <row r="29" spans="1:28" ht="16">
      <c r="H29" s="247" t="s">
        <v>19</v>
      </c>
      <c r="I29" s="248"/>
      <c r="J29" s="41" t="s">
        <v>43</v>
      </c>
      <c r="L29" s="39"/>
      <c r="M29" s="41" t="s">
        <v>43</v>
      </c>
      <c r="N29" s="10" t="s">
        <v>18</v>
      </c>
    </row>
    <row r="30" spans="1:28">
      <c r="H30" s="258">
        <f>2*J28/SQRT(H28)</f>
        <v>0.37130695180539836</v>
      </c>
      <c r="I30" s="259"/>
      <c r="J30" s="32">
        <f>TDIST(ABS(J28), H28-2,2)</f>
        <v>4.0748573169639259E-3</v>
      </c>
      <c r="L30" s="40"/>
      <c r="M30" s="32">
        <f>TDIST(ABS(N28), (M28+L28-2),2)</f>
        <v>2.150833363513973E-2</v>
      </c>
      <c r="N30" s="32">
        <f>N28*SQRT(L28+M28)/SQRT(L28*M28)</f>
        <v>1.1258799375612003</v>
      </c>
    </row>
    <row r="31" spans="1:28" ht="16">
      <c r="H31" s="252" t="s">
        <v>20</v>
      </c>
      <c r="I31" s="253"/>
      <c r="J31" s="41" t="s">
        <v>44</v>
      </c>
      <c r="M31" s="41" t="s">
        <v>44</v>
      </c>
      <c r="N31" s="10" t="s">
        <v>14</v>
      </c>
    </row>
    <row r="32" spans="1:28">
      <c r="F32" s="1"/>
      <c r="H32" s="281">
        <f>H30*(1-(3/(4*(H28)-9)))</f>
        <v>0.37015501710486454</v>
      </c>
      <c r="I32" s="282"/>
      <c r="J32" s="32">
        <f>H28-2</f>
        <v>242</v>
      </c>
      <c r="M32" s="32">
        <f>L28+M28-2</f>
        <v>18</v>
      </c>
      <c r="N32" s="44">
        <f>N30*(1-(3/(4*(L28+M28)-9)))</f>
        <v>1.0783075458332623</v>
      </c>
    </row>
    <row r="33" spans="8:22">
      <c r="H33" s="247" t="s">
        <v>25</v>
      </c>
      <c r="I33" s="248"/>
      <c r="N33" s="5" t="s">
        <v>25</v>
      </c>
      <c r="O33" s="1"/>
    </row>
    <row r="34" spans="8:22">
      <c r="H34" s="258">
        <f>NORMSDIST(H30/SQRT(2))</f>
        <v>0.60355269079037555</v>
      </c>
      <c r="I34" s="259"/>
      <c r="N34" s="12">
        <f>NORMSDIST(N30/SQRT(2))</f>
        <v>0.78701808139730889</v>
      </c>
      <c r="O34" s="1"/>
    </row>
    <row r="35" spans="8:22">
      <c r="S35" s="266" t="s">
        <v>36</v>
      </c>
      <c r="T35" s="267"/>
      <c r="U35" s="267"/>
      <c r="V35" s="268"/>
    </row>
    <row r="36" spans="8:22">
      <c r="S36" s="269"/>
      <c r="T36" s="270"/>
      <c r="U36" s="270"/>
      <c r="V36" s="271"/>
    </row>
    <row r="37" spans="8:22">
      <c r="S37" s="272"/>
      <c r="T37" s="273"/>
      <c r="U37" s="273"/>
      <c r="V37" s="274"/>
    </row>
    <row r="38" spans="8:22">
      <c r="S38" s="28"/>
      <c r="T38" s="29" t="s">
        <v>34</v>
      </c>
      <c r="U38" s="29" t="s">
        <v>35</v>
      </c>
      <c r="V38" s="30" t="s">
        <v>31</v>
      </c>
    </row>
    <row r="39" spans="8:22">
      <c r="S39" s="19"/>
      <c r="T39" s="48">
        <v>9</v>
      </c>
      <c r="U39" s="48">
        <v>9</v>
      </c>
      <c r="V39" s="49">
        <v>0</v>
      </c>
    </row>
    <row r="40" spans="8:22">
      <c r="S40" s="19"/>
      <c r="T40" s="48">
        <v>7</v>
      </c>
      <c r="U40" s="48">
        <v>6</v>
      </c>
      <c r="V40" s="49">
        <v>1</v>
      </c>
    </row>
    <row r="41" spans="8:22">
      <c r="S41" s="19"/>
      <c r="T41" s="48">
        <v>8</v>
      </c>
      <c r="U41" s="48">
        <v>7</v>
      </c>
      <c r="V41" s="49">
        <v>1</v>
      </c>
    </row>
    <row r="42" spans="8:22">
      <c r="S42" s="19"/>
      <c r="T42" s="48">
        <v>9</v>
      </c>
      <c r="U42" s="48">
        <v>8</v>
      </c>
      <c r="V42" s="49">
        <v>1</v>
      </c>
    </row>
    <row r="43" spans="8:22">
      <c r="S43" s="19"/>
      <c r="T43" s="48">
        <v>8</v>
      </c>
      <c r="U43" s="48">
        <v>7</v>
      </c>
      <c r="V43" s="49">
        <v>1</v>
      </c>
    </row>
    <row r="44" spans="8:22">
      <c r="S44" s="19"/>
      <c r="T44" s="48">
        <v>9</v>
      </c>
      <c r="U44" s="48">
        <v>9</v>
      </c>
      <c r="V44" s="49">
        <v>0</v>
      </c>
    </row>
    <row r="45" spans="8:22" ht="18" customHeight="1">
      <c r="S45" s="19"/>
      <c r="T45" s="48">
        <v>9</v>
      </c>
      <c r="U45" s="48">
        <v>8</v>
      </c>
      <c r="V45" s="49">
        <v>1</v>
      </c>
    </row>
    <row r="46" spans="8:22">
      <c r="S46" s="19"/>
      <c r="T46" s="48">
        <v>10</v>
      </c>
      <c r="U46" s="48">
        <v>8</v>
      </c>
      <c r="V46" s="49">
        <v>2</v>
      </c>
    </row>
    <row r="47" spans="8:22">
      <c r="S47" s="19"/>
      <c r="T47" s="48">
        <v>9</v>
      </c>
      <c r="U47" s="48">
        <v>8</v>
      </c>
      <c r="V47" s="49">
        <v>1</v>
      </c>
    </row>
    <row r="48" spans="8:22" ht="15" thickBot="1">
      <c r="S48" s="20"/>
      <c r="T48" s="50">
        <v>9</v>
      </c>
      <c r="U48" s="50">
        <v>7</v>
      </c>
      <c r="V48" s="51">
        <v>2</v>
      </c>
    </row>
    <row r="49" spans="19:22">
      <c r="S49" s="26" t="s">
        <v>32</v>
      </c>
      <c r="T49" s="52">
        <v>8.6999999999999993</v>
      </c>
      <c r="U49" s="52">
        <v>7.7</v>
      </c>
      <c r="V49" s="53">
        <v>1</v>
      </c>
    </row>
    <row r="50" spans="19:22">
      <c r="S50" s="27" t="s">
        <v>33</v>
      </c>
      <c r="T50" s="54">
        <v>0.82</v>
      </c>
      <c r="U50" s="54">
        <v>0.95</v>
      </c>
      <c r="V50" s="55">
        <v>0.67</v>
      </c>
    </row>
    <row r="104" spans="1:12">
      <c r="A104" s="31"/>
      <c r="B104" s="31"/>
      <c r="C104" s="31"/>
      <c r="D104" s="31"/>
      <c r="E104" s="31"/>
      <c r="F104" s="31"/>
      <c r="G104" s="31"/>
      <c r="H104" s="31"/>
      <c r="I104" s="31"/>
      <c r="J104" s="31"/>
      <c r="K104" s="31"/>
      <c r="L104" s="31"/>
    </row>
    <row r="105" spans="1:12">
      <c r="A105" s="31"/>
      <c r="B105" s="265"/>
      <c r="C105" s="265"/>
      <c r="D105" s="265"/>
      <c r="E105" s="265"/>
      <c r="F105" s="265"/>
      <c r="G105" s="265"/>
      <c r="H105" s="265"/>
      <c r="I105" s="31"/>
      <c r="J105" s="31"/>
      <c r="K105" s="31"/>
      <c r="L105" s="31"/>
    </row>
    <row r="106" spans="1:12">
      <c r="A106" s="31"/>
      <c r="B106" s="31"/>
      <c r="C106" s="31"/>
      <c r="D106" s="31"/>
      <c r="E106" s="265"/>
      <c r="F106" s="265"/>
      <c r="G106" s="265"/>
      <c r="H106" s="265"/>
      <c r="I106" s="31"/>
      <c r="J106" s="31"/>
      <c r="K106" s="31"/>
      <c r="L106" s="31"/>
    </row>
    <row r="107" spans="1:12">
      <c r="A107" s="31"/>
      <c r="B107" s="31"/>
      <c r="C107" s="31"/>
      <c r="D107" s="31"/>
      <c r="E107" s="265"/>
      <c r="F107" s="265"/>
      <c r="G107" s="265"/>
      <c r="H107" s="265"/>
      <c r="I107" s="31"/>
      <c r="J107" s="31"/>
      <c r="K107" s="31"/>
      <c r="L107" s="31"/>
    </row>
    <row r="108" spans="1:12">
      <c r="A108" s="31"/>
      <c r="B108" s="31"/>
      <c r="C108" s="31"/>
      <c r="D108" s="31"/>
      <c r="E108" s="265"/>
      <c r="F108" s="265"/>
      <c r="G108" s="265"/>
      <c r="H108" s="265"/>
      <c r="I108" s="31"/>
      <c r="J108" s="31"/>
      <c r="K108" s="31"/>
      <c r="L108" s="31"/>
    </row>
    <row r="109" spans="1:12">
      <c r="A109" s="31"/>
      <c r="B109" s="31"/>
      <c r="C109" s="31"/>
      <c r="D109" s="31"/>
      <c r="E109" s="265"/>
      <c r="F109" s="265"/>
      <c r="G109" s="265"/>
      <c r="H109" s="265"/>
      <c r="I109" s="31"/>
      <c r="J109" s="31"/>
      <c r="K109" s="31"/>
      <c r="L109" s="31"/>
    </row>
    <row r="110" spans="1:12">
      <c r="A110" s="31"/>
      <c r="B110" s="31"/>
      <c r="C110" s="31"/>
      <c r="D110" s="31"/>
      <c r="E110" s="31"/>
      <c r="F110" s="31"/>
      <c r="G110" s="31"/>
      <c r="H110" s="31"/>
      <c r="I110" s="31"/>
      <c r="J110" s="31"/>
      <c r="K110" s="31"/>
      <c r="L110" s="31"/>
    </row>
    <row r="111" spans="1:12">
      <c r="A111" s="31"/>
      <c r="B111" s="31"/>
      <c r="C111" s="31"/>
      <c r="D111" s="31"/>
      <c r="E111" s="31"/>
      <c r="F111" s="31"/>
      <c r="G111" s="31"/>
      <c r="H111" s="31"/>
      <c r="I111" s="31"/>
      <c r="J111" s="31"/>
      <c r="K111" s="31"/>
      <c r="L111" s="31"/>
    </row>
    <row r="112" spans="1:12">
      <c r="A112" s="31"/>
      <c r="B112" s="31"/>
      <c r="C112" s="31"/>
      <c r="D112" s="31"/>
      <c r="E112" s="31"/>
      <c r="F112" s="31"/>
      <c r="G112" s="31"/>
      <c r="H112" s="31"/>
      <c r="I112" s="31"/>
      <c r="J112" s="31"/>
      <c r="K112" s="31"/>
      <c r="L112" s="31"/>
    </row>
    <row r="113" spans="1:12">
      <c r="A113" s="31"/>
      <c r="B113" s="31"/>
      <c r="C113" s="31"/>
      <c r="D113" s="31"/>
      <c r="E113" s="31"/>
      <c r="F113" s="31"/>
      <c r="G113" s="31"/>
      <c r="H113" s="31"/>
      <c r="I113" s="31"/>
      <c r="J113" s="31"/>
      <c r="K113" s="31"/>
      <c r="L113" s="31"/>
    </row>
    <row r="114" spans="1:12">
      <c r="A114" s="31"/>
      <c r="B114" s="265"/>
      <c r="C114" s="265"/>
      <c r="D114" s="265"/>
      <c r="E114" s="265"/>
      <c r="F114" s="265"/>
      <c r="G114" s="265"/>
      <c r="H114" s="265"/>
      <c r="I114" s="31"/>
      <c r="J114" s="31"/>
      <c r="K114" s="31"/>
      <c r="L114" s="31"/>
    </row>
    <row r="115" spans="1:12">
      <c r="A115" s="31"/>
      <c r="B115" s="31"/>
      <c r="C115" s="31"/>
      <c r="D115" s="31"/>
      <c r="E115" s="265"/>
      <c r="F115" s="265"/>
      <c r="G115" s="265"/>
      <c r="H115" s="265"/>
      <c r="I115" s="31"/>
      <c r="J115" s="31"/>
      <c r="K115" s="31"/>
      <c r="L115" s="31"/>
    </row>
    <row r="116" spans="1:12">
      <c r="A116" s="31"/>
      <c r="B116" s="31"/>
      <c r="C116" s="31"/>
      <c r="D116" s="31"/>
      <c r="E116" s="265"/>
      <c r="F116" s="265"/>
      <c r="G116" s="265"/>
      <c r="H116" s="265"/>
      <c r="I116" s="31"/>
      <c r="J116" s="31"/>
      <c r="K116" s="31"/>
      <c r="L116" s="31"/>
    </row>
    <row r="117" spans="1:12">
      <c r="A117" s="31"/>
      <c r="B117" s="31"/>
      <c r="C117" s="31"/>
      <c r="D117" s="31"/>
      <c r="E117" s="265"/>
      <c r="F117" s="265"/>
      <c r="G117" s="265"/>
      <c r="H117" s="265"/>
      <c r="I117" s="31"/>
      <c r="J117" s="31"/>
      <c r="K117" s="31"/>
      <c r="L117" s="31"/>
    </row>
    <row r="118" spans="1:12">
      <c r="A118" s="31"/>
      <c r="B118" s="31"/>
      <c r="C118" s="31"/>
      <c r="D118" s="31"/>
      <c r="E118" s="265"/>
      <c r="F118" s="265"/>
      <c r="G118" s="265"/>
      <c r="H118" s="265"/>
      <c r="I118" s="31"/>
      <c r="J118" s="31"/>
      <c r="K118" s="31"/>
      <c r="L118" s="31"/>
    </row>
    <row r="119" spans="1:12">
      <c r="A119" s="31"/>
      <c r="B119" s="31"/>
      <c r="C119" s="31"/>
      <c r="D119" s="31"/>
      <c r="E119" s="31"/>
      <c r="F119" s="31"/>
      <c r="G119" s="31"/>
      <c r="H119" s="31"/>
      <c r="I119" s="31"/>
      <c r="J119" s="31"/>
      <c r="K119" s="31"/>
      <c r="L119" s="31"/>
    </row>
    <row r="120" spans="1:12">
      <c r="A120" s="31"/>
      <c r="B120" s="31"/>
      <c r="C120" s="31"/>
      <c r="D120" s="31"/>
      <c r="E120" s="31"/>
      <c r="F120" s="31"/>
      <c r="G120" s="31"/>
      <c r="H120" s="31"/>
      <c r="I120" s="31"/>
      <c r="J120" s="31"/>
      <c r="K120" s="31"/>
      <c r="L120" s="31"/>
    </row>
    <row r="121" spans="1:12">
      <c r="A121" s="31"/>
      <c r="B121" s="31"/>
      <c r="C121" s="31"/>
      <c r="D121" s="31"/>
      <c r="E121" s="31"/>
      <c r="F121" s="31"/>
      <c r="G121" s="31"/>
      <c r="H121" s="31"/>
      <c r="I121" s="31"/>
      <c r="J121" s="31"/>
      <c r="K121" s="31"/>
      <c r="L121" s="31"/>
    </row>
    <row r="122" spans="1:12">
      <c r="A122" s="31"/>
      <c r="B122" s="31"/>
      <c r="C122" s="31"/>
      <c r="D122" s="31"/>
      <c r="E122" s="31"/>
      <c r="F122" s="31"/>
      <c r="G122" s="31"/>
      <c r="H122" s="31"/>
      <c r="I122" s="31"/>
      <c r="J122" s="31"/>
      <c r="K122" s="31"/>
      <c r="L122" s="31"/>
    </row>
    <row r="123" spans="1:12">
      <c r="A123" s="31"/>
      <c r="B123" s="31"/>
      <c r="C123" s="31"/>
      <c r="D123" s="31"/>
      <c r="E123" s="31"/>
      <c r="F123" s="31"/>
      <c r="G123" s="31"/>
      <c r="H123" s="31"/>
      <c r="I123" s="31"/>
      <c r="J123" s="31"/>
      <c r="K123" s="31"/>
      <c r="L123" s="31"/>
    </row>
    <row r="124" spans="1:12">
      <c r="A124" s="31"/>
      <c r="B124" s="31"/>
      <c r="C124" s="31"/>
      <c r="D124" s="31"/>
      <c r="E124" s="31"/>
      <c r="F124" s="31"/>
      <c r="G124" s="31"/>
      <c r="H124" s="31"/>
      <c r="I124" s="31"/>
      <c r="J124" s="31"/>
      <c r="K124" s="31"/>
      <c r="L124" s="31"/>
    </row>
    <row r="125" spans="1:12">
      <c r="A125" s="31"/>
      <c r="B125" s="31"/>
      <c r="C125" s="31"/>
      <c r="D125" s="31"/>
      <c r="E125" s="31"/>
      <c r="F125" s="31"/>
      <c r="G125" s="31"/>
      <c r="H125" s="31"/>
      <c r="I125" s="31"/>
      <c r="J125" s="31"/>
      <c r="K125" s="31"/>
      <c r="L125" s="31"/>
    </row>
    <row r="126" spans="1:12">
      <c r="A126" s="31"/>
      <c r="B126" s="265"/>
      <c r="C126" s="265"/>
      <c r="D126" s="265"/>
      <c r="E126" s="31"/>
      <c r="F126" s="31"/>
      <c r="G126" s="31"/>
      <c r="H126" s="31"/>
      <c r="I126" s="31"/>
      <c r="J126" s="31"/>
      <c r="K126" s="31"/>
      <c r="L126" s="31"/>
    </row>
    <row r="127" spans="1:12">
      <c r="A127" s="31"/>
      <c r="B127" s="31"/>
      <c r="C127" s="31"/>
      <c r="D127" s="31"/>
      <c r="E127" s="31"/>
      <c r="F127" s="31"/>
      <c r="G127" s="31"/>
      <c r="H127" s="31"/>
      <c r="I127" s="31"/>
      <c r="J127" s="31"/>
      <c r="K127" s="31"/>
      <c r="L127" s="31"/>
    </row>
    <row r="128" spans="1:12">
      <c r="A128" s="31"/>
      <c r="B128" s="31"/>
      <c r="C128" s="31"/>
      <c r="D128" s="31"/>
      <c r="E128" s="31"/>
      <c r="F128" s="31"/>
      <c r="G128" s="31"/>
      <c r="H128" s="31"/>
      <c r="I128" s="31"/>
      <c r="J128" s="31"/>
      <c r="K128" s="31"/>
      <c r="L128" s="31"/>
    </row>
    <row r="129" spans="1:12">
      <c r="A129" s="31"/>
      <c r="B129" s="31"/>
      <c r="C129" s="31"/>
      <c r="D129" s="31"/>
      <c r="E129" s="31"/>
      <c r="F129" s="31"/>
      <c r="G129" s="31"/>
      <c r="H129" s="31"/>
      <c r="I129" s="31"/>
      <c r="J129" s="31"/>
      <c r="K129" s="31"/>
      <c r="L129" s="31"/>
    </row>
    <row r="130" spans="1:12">
      <c r="A130" s="31"/>
      <c r="B130" s="31"/>
      <c r="C130" s="31"/>
      <c r="D130" s="31"/>
      <c r="E130" s="31"/>
      <c r="F130" s="31"/>
      <c r="G130" s="31"/>
      <c r="H130" s="31"/>
      <c r="I130" s="31"/>
      <c r="J130" s="31"/>
      <c r="K130" s="31"/>
      <c r="L130" s="31"/>
    </row>
    <row r="131" spans="1:12">
      <c r="A131" s="31"/>
      <c r="B131" s="31"/>
      <c r="C131" s="31"/>
      <c r="D131" s="31"/>
      <c r="E131" s="31"/>
      <c r="F131" s="31"/>
      <c r="G131" s="31"/>
      <c r="H131" s="31"/>
      <c r="I131" s="31"/>
      <c r="J131" s="31"/>
      <c r="K131" s="31"/>
      <c r="L131" s="31"/>
    </row>
    <row r="132" spans="1:12">
      <c r="A132" s="31"/>
      <c r="B132" s="31"/>
      <c r="C132" s="31"/>
      <c r="D132" s="31"/>
      <c r="E132" s="31"/>
      <c r="F132" s="31"/>
      <c r="G132" s="31"/>
      <c r="H132" s="31"/>
      <c r="I132" s="31"/>
      <c r="J132" s="31"/>
      <c r="K132" s="31"/>
      <c r="L132" s="31"/>
    </row>
    <row r="133" spans="1:12">
      <c r="A133" s="31"/>
      <c r="B133" s="31"/>
      <c r="C133" s="31"/>
      <c r="D133" s="31"/>
      <c r="E133" s="31"/>
      <c r="F133" s="31"/>
      <c r="G133" s="31"/>
      <c r="H133" s="31"/>
      <c r="I133" s="31"/>
      <c r="J133" s="31"/>
      <c r="K133" s="31"/>
      <c r="L133" s="31"/>
    </row>
    <row r="134" spans="1:12">
      <c r="A134" s="31"/>
      <c r="B134" s="31"/>
      <c r="C134" s="31"/>
      <c r="D134" s="31"/>
      <c r="E134" s="31"/>
      <c r="F134" s="31"/>
      <c r="G134" s="31"/>
      <c r="H134" s="31"/>
      <c r="I134" s="31"/>
      <c r="J134" s="31"/>
      <c r="K134" s="31"/>
      <c r="L134" s="31"/>
    </row>
    <row r="135" spans="1:12">
      <c r="A135" s="31"/>
      <c r="B135" s="31"/>
      <c r="C135" s="31"/>
      <c r="D135" s="31"/>
      <c r="E135" s="31"/>
      <c r="F135" s="31"/>
      <c r="G135" s="31"/>
      <c r="H135" s="31"/>
      <c r="I135" s="31"/>
      <c r="J135" s="31"/>
      <c r="K135" s="31"/>
      <c r="L135" s="31"/>
    </row>
    <row r="136" spans="1:12">
      <c r="A136" s="31"/>
      <c r="B136" s="31"/>
      <c r="C136" s="31"/>
      <c r="D136" s="31"/>
      <c r="E136" s="31"/>
      <c r="F136" s="31"/>
      <c r="G136" s="31"/>
      <c r="H136" s="31"/>
      <c r="I136" s="31"/>
      <c r="J136" s="31"/>
      <c r="K136" s="31"/>
      <c r="L136" s="31"/>
    </row>
    <row r="137" spans="1:12">
      <c r="A137" s="31"/>
      <c r="B137" s="31"/>
      <c r="C137" s="31"/>
      <c r="D137" s="31"/>
      <c r="E137" s="31"/>
      <c r="F137" s="31"/>
      <c r="G137" s="31"/>
      <c r="H137" s="31"/>
      <c r="I137" s="31"/>
      <c r="J137" s="31"/>
      <c r="K137" s="31"/>
      <c r="L137" s="31"/>
    </row>
    <row r="138" spans="1:12">
      <c r="A138" s="31"/>
      <c r="B138" s="31"/>
      <c r="C138" s="31"/>
      <c r="D138" s="31"/>
      <c r="E138" s="31"/>
      <c r="F138" s="31"/>
      <c r="G138" s="31"/>
      <c r="H138" s="31"/>
      <c r="I138" s="31"/>
      <c r="J138" s="31"/>
      <c r="K138" s="31"/>
      <c r="L138" s="31"/>
    </row>
    <row r="139" spans="1:12">
      <c r="A139" s="31"/>
      <c r="B139" s="31"/>
      <c r="C139" s="31"/>
      <c r="D139" s="31"/>
      <c r="E139" s="31"/>
      <c r="F139" s="31"/>
      <c r="G139" s="31"/>
      <c r="H139" s="31"/>
      <c r="I139" s="31"/>
      <c r="J139" s="31"/>
      <c r="K139" s="31"/>
      <c r="L139" s="31"/>
    </row>
    <row r="140" spans="1:12">
      <c r="A140" s="31"/>
      <c r="B140" s="31"/>
      <c r="C140" s="31"/>
      <c r="D140" s="31"/>
      <c r="E140" s="31"/>
      <c r="F140" s="31"/>
      <c r="G140" s="31"/>
      <c r="H140" s="31"/>
      <c r="I140" s="31"/>
      <c r="J140" s="31"/>
      <c r="K140" s="31"/>
      <c r="L140" s="31"/>
    </row>
    <row r="141" spans="1:12">
      <c r="A141" s="31"/>
      <c r="B141" s="31"/>
      <c r="C141" s="31"/>
      <c r="D141" s="31"/>
      <c r="E141" s="31"/>
      <c r="F141" s="31"/>
      <c r="G141" s="31"/>
      <c r="H141" s="31"/>
      <c r="I141" s="31"/>
      <c r="J141" s="31"/>
      <c r="K141" s="31"/>
      <c r="L141" s="31"/>
    </row>
  </sheetData>
  <mergeCells count="30">
    <mergeCell ref="A21:B28"/>
    <mergeCell ref="H33:I33"/>
    <mergeCell ref="H34:I34"/>
    <mergeCell ref="H32:I32"/>
    <mergeCell ref="V18:AB22"/>
    <mergeCell ref="B126:D126"/>
    <mergeCell ref="S35:V37"/>
    <mergeCell ref="B105:D105"/>
    <mergeCell ref="B114:D114"/>
    <mergeCell ref="E114:H118"/>
    <mergeCell ref="E105:H109"/>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W11:AB15"/>
    <mergeCell ref="R5:T5"/>
    <mergeCell ref="O9:V9"/>
    <mergeCell ref="H26:J26"/>
    <mergeCell ref="N18:U18"/>
  </mergeCells>
  <pageMargins left="0.7" right="0.7" top="0.75" bottom="0.75" header="0.3" footer="0.3"/>
  <pageSetup paperSize="9" orientation="portrait" verticalDpi="3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7"/>
  <sheetViews>
    <sheetView tabSelected="1" topLeftCell="H1" workbookViewId="0">
      <selection activeCell="N1" sqref="N1:Y1"/>
    </sheetView>
  </sheetViews>
  <sheetFormatPr baseColWidth="10" defaultColWidth="8.83203125" defaultRowHeight="14" x14ac:dyDescent="0"/>
  <cols>
    <col min="1" max="1" width="24" style="31" customWidth="1"/>
    <col min="2" max="2" width="12.33203125" customWidth="1"/>
    <col min="3" max="3" width="15.33203125" customWidth="1"/>
    <col min="14" max="14" width="14.1640625" customWidth="1"/>
    <col min="15" max="15" width="15.6640625" customWidth="1"/>
    <col min="23" max="23" width="14.33203125" bestFit="1" customWidth="1"/>
    <col min="24" max="24" width="12.83203125" bestFit="1" customWidth="1"/>
    <col min="25" max="25" width="12" bestFit="1" customWidth="1"/>
    <col min="27" max="27" width="12.33203125" customWidth="1"/>
    <col min="28" max="28" width="16.83203125" customWidth="1"/>
    <col min="36" max="36" width="14.33203125" bestFit="1" customWidth="1"/>
    <col min="37" max="37" width="12.83203125" bestFit="1" customWidth="1"/>
    <col min="38" max="38" width="12" bestFit="1" customWidth="1"/>
    <col min="41" max="41" width="13.83203125" bestFit="1" customWidth="1"/>
    <col min="42" max="42" width="15.6640625" customWidth="1"/>
    <col min="43" max="43" width="9" customWidth="1"/>
    <col min="50" max="50" width="16.1640625" bestFit="1" customWidth="1"/>
    <col min="51" max="51" width="14.6640625" bestFit="1" customWidth="1"/>
    <col min="52" max="52" width="14.83203125" bestFit="1" customWidth="1"/>
    <col min="53" max="55" width="14.6640625" bestFit="1" customWidth="1"/>
    <col min="56" max="56" width="16.6640625" bestFit="1" customWidth="1"/>
    <col min="58" max="58" width="14" customWidth="1"/>
    <col min="59" max="59" width="16.6640625" customWidth="1"/>
    <col min="67" max="68" width="16.1640625" bestFit="1" customWidth="1"/>
    <col min="69" max="69" width="16.33203125" bestFit="1" customWidth="1"/>
    <col min="70" max="70" width="12.83203125" bestFit="1" customWidth="1"/>
    <col min="71" max="71" width="16.33203125" bestFit="1" customWidth="1"/>
    <col min="72" max="72" width="16.1640625" bestFit="1" customWidth="1"/>
    <col min="73" max="73" width="19.6640625" bestFit="1" customWidth="1"/>
  </cols>
  <sheetData>
    <row r="1" spans="2:73" ht="15" thickBot="1">
      <c r="B1" s="330" t="s">
        <v>86</v>
      </c>
      <c r="C1" s="331"/>
      <c r="D1" s="331"/>
      <c r="E1" s="331"/>
      <c r="F1" s="331"/>
      <c r="G1" s="331"/>
      <c r="H1" s="331"/>
      <c r="I1" s="331"/>
      <c r="J1" s="331"/>
      <c r="K1" s="331"/>
      <c r="L1" s="332"/>
      <c r="N1" s="330" t="s">
        <v>84</v>
      </c>
      <c r="O1" s="331"/>
      <c r="P1" s="331"/>
      <c r="Q1" s="331"/>
      <c r="R1" s="331"/>
      <c r="S1" s="331"/>
      <c r="T1" s="331"/>
      <c r="U1" s="331"/>
      <c r="V1" s="331"/>
      <c r="W1" s="331"/>
      <c r="X1" s="331"/>
      <c r="Y1" s="332"/>
      <c r="AA1" s="296" t="s">
        <v>88</v>
      </c>
      <c r="AB1" s="297"/>
      <c r="AC1" s="297"/>
      <c r="AD1" s="297"/>
      <c r="AE1" s="297"/>
      <c r="AF1" s="297"/>
      <c r="AG1" s="297"/>
      <c r="AH1" s="297"/>
      <c r="AI1" s="297"/>
      <c r="AJ1" s="297"/>
      <c r="AK1" s="297"/>
      <c r="AL1" s="297"/>
      <c r="AM1" s="299"/>
      <c r="AO1" s="296" t="s">
        <v>98</v>
      </c>
      <c r="AP1" s="297"/>
      <c r="AQ1" s="297"/>
      <c r="AR1" s="297"/>
      <c r="AS1" s="297"/>
      <c r="AT1" s="297"/>
      <c r="AU1" s="297"/>
      <c r="AV1" s="297"/>
      <c r="AW1" s="297"/>
      <c r="AX1" s="297"/>
      <c r="AY1" s="297"/>
      <c r="AZ1" s="297"/>
      <c r="BA1" s="297"/>
      <c r="BB1" s="297"/>
      <c r="BC1" s="297"/>
      <c r="BD1" s="299"/>
      <c r="BF1" s="296" t="s">
        <v>113</v>
      </c>
      <c r="BG1" s="297"/>
      <c r="BH1" s="297"/>
      <c r="BI1" s="297"/>
      <c r="BJ1" s="297"/>
      <c r="BK1" s="297"/>
      <c r="BL1" s="297"/>
      <c r="BM1" s="297"/>
      <c r="BN1" s="298"/>
      <c r="BO1" s="297"/>
      <c r="BP1" s="297"/>
      <c r="BQ1" s="297"/>
      <c r="BR1" s="297"/>
      <c r="BS1" s="297"/>
      <c r="BT1" s="297"/>
      <c r="BU1" s="299"/>
    </row>
    <row r="2" spans="2:73" ht="17" thickBot="1">
      <c r="B2" s="340" t="s">
        <v>58</v>
      </c>
      <c r="C2" s="341"/>
      <c r="D2" s="341"/>
      <c r="E2" s="341"/>
      <c r="F2" s="341"/>
      <c r="G2" s="341"/>
      <c r="H2" s="341"/>
      <c r="I2" s="342"/>
      <c r="J2" s="125"/>
      <c r="K2" s="309" t="s">
        <v>87</v>
      </c>
      <c r="L2" s="311"/>
      <c r="N2" s="333" t="s">
        <v>58</v>
      </c>
      <c r="O2" s="334"/>
      <c r="P2" s="334"/>
      <c r="Q2" s="334"/>
      <c r="R2" s="334"/>
      <c r="S2" s="334"/>
      <c r="T2" s="334"/>
      <c r="U2" s="335"/>
      <c r="V2" s="108"/>
      <c r="W2" s="309" t="s">
        <v>85</v>
      </c>
      <c r="X2" s="310"/>
      <c r="Y2" s="311"/>
      <c r="AA2" s="300" t="s">
        <v>58</v>
      </c>
      <c r="AB2" s="301"/>
      <c r="AC2" s="301"/>
      <c r="AD2" s="301"/>
      <c r="AE2" s="301"/>
      <c r="AF2" s="301"/>
      <c r="AG2" s="301"/>
      <c r="AH2" s="301"/>
      <c r="AI2" s="171"/>
      <c r="AJ2" s="309" t="s">
        <v>115</v>
      </c>
      <c r="AK2" s="310"/>
      <c r="AL2" s="310"/>
      <c r="AM2" s="311"/>
      <c r="AO2" s="300" t="s">
        <v>58</v>
      </c>
      <c r="AP2" s="301"/>
      <c r="AQ2" s="301"/>
      <c r="AR2" s="301"/>
      <c r="AS2" s="301"/>
      <c r="AT2" s="301"/>
      <c r="AU2" s="301"/>
      <c r="AV2" s="312"/>
      <c r="AW2" s="112"/>
      <c r="AX2" s="309" t="s">
        <v>85</v>
      </c>
      <c r="AY2" s="310"/>
      <c r="AZ2" s="310"/>
      <c r="BA2" s="310"/>
      <c r="BB2" s="310"/>
      <c r="BC2" s="310"/>
      <c r="BD2" s="311"/>
      <c r="BF2" s="300" t="s">
        <v>58</v>
      </c>
      <c r="BG2" s="301"/>
      <c r="BH2" s="301"/>
      <c r="BI2" s="301"/>
      <c r="BJ2" s="301"/>
      <c r="BK2" s="301"/>
      <c r="BL2" s="301"/>
      <c r="BM2" s="301"/>
      <c r="BN2" s="171"/>
      <c r="BO2" s="305" t="s">
        <v>85</v>
      </c>
      <c r="BP2" s="306"/>
      <c r="BQ2" s="306"/>
      <c r="BR2" s="306"/>
      <c r="BS2" s="306"/>
      <c r="BT2" s="306"/>
      <c r="BU2" s="307"/>
    </row>
    <row r="3" spans="2:73" ht="15" thickBot="1">
      <c r="B3" s="327" t="s">
        <v>59</v>
      </c>
      <c r="C3" s="328"/>
      <c r="D3" s="328"/>
      <c r="E3" s="328"/>
      <c r="F3" s="328"/>
      <c r="G3" s="328"/>
      <c r="H3" s="328"/>
      <c r="I3" s="329"/>
      <c r="J3" s="112"/>
      <c r="K3" s="343" t="s">
        <v>80</v>
      </c>
      <c r="L3" s="344"/>
      <c r="N3" s="318" t="s">
        <v>59</v>
      </c>
      <c r="O3" s="319"/>
      <c r="P3" s="319"/>
      <c r="Q3" s="319"/>
      <c r="R3" s="319"/>
      <c r="S3" s="319"/>
      <c r="T3" s="319"/>
      <c r="U3" s="336"/>
      <c r="V3" s="82"/>
      <c r="W3" s="41" t="s">
        <v>79</v>
      </c>
      <c r="X3" s="41" t="s">
        <v>80</v>
      </c>
      <c r="Y3" s="109" t="s">
        <v>78</v>
      </c>
      <c r="AA3" s="289" t="s">
        <v>59</v>
      </c>
      <c r="AB3" s="294"/>
      <c r="AC3" s="294"/>
      <c r="AD3" s="294"/>
      <c r="AE3" s="294"/>
      <c r="AF3" s="294"/>
      <c r="AG3" s="294"/>
      <c r="AH3" s="294"/>
      <c r="AI3" s="161"/>
      <c r="AJ3" s="41" t="s">
        <v>104</v>
      </c>
      <c r="AK3" s="41" t="s">
        <v>105</v>
      </c>
      <c r="AL3" s="56" t="s">
        <v>78</v>
      </c>
      <c r="AM3" s="109" t="s">
        <v>97</v>
      </c>
      <c r="AO3" s="289" t="s">
        <v>59</v>
      </c>
      <c r="AP3" s="294"/>
      <c r="AQ3" s="294"/>
      <c r="AR3" s="294"/>
      <c r="AS3" s="294"/>
      <c r="AT3" s="294"/>
      <c r="AU3" s="294"/>
      <c r="AV3" s="295"/>
      <c r="AW3" s="112"/>
      <c r="AX3" s="41" t="s">
        <v>109</v>
      </c>
      <c r="AY3" s="41" t="s">
        <v>104</v>
      </c>
      <c r="AZ3" s="109" t="s">
        <v>106</v>
      </c>
      <c r="BA3" s="56" t="s">
        <v>105</v>
      </c>
      <c r="BB3" s="56" t="s">
        <v>107</v>
      </c>
      <c r="BC3" s="109" t="s">
        <v>108</v>
      </c>
      <c r="BD3" s="109" t="s">
        <v>147</v>
      </c>
      <c r="BF3" s="289" t="s">
        <v>59</v>
      </c>
      <c r="BG3" s="294"/>
      <c r="BH3" s="294"/>
      <c r="BI3" s="294"/>
      <c r="BJ3" s="294"/>
      <c r="BK3" s="294"/>
      <c r="BL3" s="294"/>
      <c r="BM3" s="294"/>
      <c r="BN3" s="191"/>
      <c r="BO3" s="41" t="s">
        <v>109</v>
      </c>
      <c r="BP3" s="41" t="s">
        <v>114</v>
      </c>
      <c r="BQ3" s="41" t="s">
        <v>119</v>
      </c>
      <c r="BR3" s="41" t="s">
        <v>80</v>
      </c>
      <c r="BS3" s="56" t="s">
        <v>121</v>
      </c>
      <c r="BT3" s="109" t="s">
        <v>123</v>
      </c>
      <c r="BU3" s="109" t="s">
        <v>124</v>
      </c>
    </row>
    <row r="4" spans="2:73" ht="37" thickTop="1" thickBot="1">
      <c r="B4" s="345" t="s">
        <v>60</v>
      </c>
      <c r="C4" s="346"/>
      <c r="D4" s="104" t="s">
        <v>61</v>
      </c>
      <c r="E4" s="105" t="s">
        <v>44</v>
      </c>
      <c r="F4" s="105" t="s">
        <v>62</v>
      </c>
      <c r="G4" s="105" t="s">
        <v>0</v>
      </c>
      <c r="H4" s="105" t="s">
        <v>63</v>
      </c>
      <c r="I4" s="106" t="s">
        <v>77</v>
      </c>
      <c r="J4" s="112"/>
      <c r="K4" s="41" t="s">
        <v>75</v>
      </c>
      <c r="L4" s="109" t="s">
        <v>76</v>
      </c>
      <c r="N4" s="337" t="s">
        <v>60</v>
      </c>
      <c r="O4" s="338"/>
      <c r="P4" s="61" t="s">
        <v>61</v>
      </c>
      <c r="Q4" s="62" t="s">
        <v>44</v>
      </c>
      <c r="R4" s="62" t="s">
        <v>62</v>
      </c>
      <c r="S4" s="62" t="s">
        <v>0</v>
      </c>
      <c r="T4" s="62" t="s">
        <v>63</v>
      </c>
      <c r="U4" s="63" t="s">
        <v>77</v>
      </c>
      <c r="V4" s="82"/>
      <c r="W4" s="41" t="s">
        <v>73</v>
      </c>
      <c r="X4" s="41" t="s">
        <v>75</v>
      </c>
      <c r="Y4" s="109" t="s">
        <v>50</v>
      </c>
      <c r="AA4" s="313" t="s">
        <v>60</v>
      </c>
      <c r="AB4" s="314"/>
      <c r="AC4" s="146" t="s">
        <v>61</v>
      </c>
      <c r="AD4" s="147" t="s">
        <v>44</v>
      </c>
      <c r="AE4" s="147" t="s">
        <v>62</v>
      </c>
      <c r="AF4" s="147" t="s">
        <v>0</v>
      </c>
      <c r="AG4" s="147" t="s">
        <v>63</v>
      </c>
      <c r="AH4" s="148" t="s">
        <v>77</v>
      </c>
      <c r="AI4" s="161"/>
      <c r="AJ4" s="41" t="s">
        <v>75</v>
      </c>
      <c r="AK4" s="56" t="s">
        <v>89</v>
      </c>
      <c r="AL4" s="41" t="s">
        <v>91</v>
      </c>
      <c r="AM4" s="186" t="s">
        <v>83</v>
      </c>
      <c r="AO4" s="313" t="s">
        <v>60</v>
      </c>
      <c r="AP4" s="314"/>
      <c r="AQ4" s="146" t="s">
        <v>61</v>
      </c>
      <c r="AR4" s="147" t="s">
        <v>44</v>
      </c>
      <c r="AS4" s="147" t="s">
        <v>62</v>
      </c>
      <c r="AT4" s="147" t="s">
        <v>0</v>
      </c>
      <c r="AU4" s="147" t="s">
        <v>63</v>
      </c>
      <c r="AV4" s="162" t="s">
        <v>77</v>
      </c>
      <c r="AW4" s="112"/>
      <c r="AX4" s="56" t="s">
        <v>73</v>
      </c>
      <c r="AY4" s="41" t="s">
        <v>75</v>
      </c>
      <c r="AZ4" s="41" t="s">
        <v>50</v>
      </c>
      <c r="BA4" s="84" t="s">
        <v>89</v>
      </c>
      <c r="BB4" s="56" t="s">
        <v>100</v>
      </c>
      <c r="BC4" s="41" t="s">
        <v>91</v>
      </c>
      <c r="BD4" s="186" t="s">
        <v>110</v>
      </c>
      <c r="BF4" s="302" t="s">
        <v>60</v>
      </c>
      <c r="BG4" s="303"/>
      <c r="BH4" s="192" t="s">
        <v>61</v>
      </c>
      <c r="BI4" s="193" t="s">
        <v>44</v>
      </c>
      <c r="BJ4" s="193" t="s">
        <v>62</v>
      </c>
      <c r="BK4" s="193" t="s">
        <v>0</v>
      </c>
      <c r="BL4" s="193" t="s">
        <v>63</v>
      </c>
      <c r="BM4" s="194" t="s">
        <v>77</v>
      </c>
      <c r="BN4" s="191"/>
      <c r="BO4" s="41" t="s">
        <v>73</v>
      </c>
      <c r="BP4" s="41" t="s">
        <v>118</v>
      </c>
      <c r="BQ4" s="56" t="s">
        <v>120</v>
      </c>
      <c r="BR4" s="56" t="s">
        <v>75</v>
      </c>
      <c r="BS4" s="41" t="s">
        <v>50</v>
      </c>
      <c r="BT4" s="41" t="s">
        <v>125</v>
      </c>
      <c r="BU4" s="109" t="s">
        <v>127</v>
      </c>
    </row>
    <row r="5" spans="2:73" ht="15" thickTop="1">
      <c r="B5" s="321" t="s">
        <v>131</v>
      </c>
      <c r="C5" s="85" t="s">
        <v>64</v>
      </c>
      <c r="D5" s="86">
        <v>40.612500000000075</v>
      </c>
      <c r="E5" s="87">
        <v>1</v>
      </c>
      <c r="F5" s="88">
        <v>40.612500000000075</v>
      </c>
      <c r="G5" s="88">
        <v>21.150225338007054</v>
      </c>
      <c r="H5" s="89">
        <v>4.3997883339553311E-5</v>
      </c>
      <c r="I5" s="90">
        <v>0.35162337662337706</v>
      </c>
      <c r="J5" s="112"/>
      <c r="K5" s="57">
        <v>40.612500000000075</v>
      </c>
      <c r="L5" s="110">
        <v>40.612500000000097</v>
      </c>
      <c r="N5" s="339" t="s">
        <v>131</v>
      </c>
      <c r="O5" s="64" t="s">
        <v>64</v>
      </c>
      <c r="P5" s="65">
        <v>40.612500000000075</v>
      </c>
      <c r="Q5" s="66">
        <v>1</v>
      </c>
      <c r="R5" s="67">
        <v>40.612500000000075</v>
      </c>
      <c r="S5" s="67">
        <v>61.059347181009002</v>
      </c>
      <c r="T5" s="83">
        <v>2.0026854628252328E-9</v>
      </c>
      <c r="U5" s="68">
        <v>0.61639157655093946</v>
      </c>
      <c r="V5" s="82"/>
      <c r="W5" s="57">
        <v>15.312500000000005</v>
      </c>
      <c r="X5" s="57">
        <v>40.612500000000075</v>
      </c>
      <c r="Y5" s="110">
        <v>49.612500000000004</v>
      </c>
      <c r="AA5" s="304" t="s">
        <v>131</v>
      </c>
      <c r="AB5" s="149" t="s">
        <v>64</v>
      </c>
      <c r="AC5" s="138">
        <v>124.25625000000014</v>
      </c>
      <c r="AD5" s="140">
        <v>1</v>
      </c>
      <c r="AE5" s="139">
        <v>124.25624999999999</v>
      </c>
      <c r="AF5" s="139">
        <v>176.25801318481501</v>
      </c>
      <c r="AG5" s="150">
        <v>4.7617620613916403E-16</v>
      </c>
      <c r="AH5" s="151">
        <v>0.8188220757825373</v>
      </c>
      <c r="AI5" s="161"/>
      <c r="AJ5" s="57">
        <v>124.25625000000014</v>
      </c>
      <c r="AK5" s="59">
        <v>13.8062499999998</v>
      </c>
      <c r="AL5" s="57">
        <v>28.056249999999999</v>
      </c>
      <c r="AM5" s="187">
        <v>27.493749999999999</v>
      </c>
      <c r="AO5" s="304" t="s">
        <v>131</v>
      </c>
      <c r="AP5" s="149" t="s">
        <v>64</v>
      </c>
      <c r="AQ5" s="138">
        <v>124.25624999999991</v>
      </c>
      <c r="AR5" s="140">
        <v>1</v>
      </c>
      <c r="AS5" s="139">
        <v>124.25624999999991</v>
      </c>
      <c r="AT5" s="139">
        <v>262.50104239054878</v>
      </c>
      <c r="AU5" s="150">
        <v>1.1852364526863849E-18</v>
      </c>
      <c r="AV5" s="164">
        <v>0.87354453183356029</v>
      </c>
      <c r="AW5" s="112"/>
      <c r="AX5" s="59">
        <v>6.0062499999999996</v>
      </c>
      <c r="AY5" s="57">
        <v>124.25625000000014</v>
      </c>
      <c r="AZ5" s="57">
        <v>9.506250000000005</v>
      </c>
      <c r="BA5" s="60">
        <v>13.8062499999998</v>
      </c>
      <c r="BB5" s="59">
        <v>97.65625</v>
      </c>
      <c r="BC5" s="57">
        <v>28.056250000000301</v>
      </c>
      <c r="BD5" s="187">
        <v>6.2500000000020898E-3</v>
      </c>
      <c r="BF5" s="304" t="s">
        <v>131</v>
      </c>
      <c r="BG5" s="149" t="s">
        <v>64</v>
      </c>
      <c r="BH5" s="138">
        <v>40.612500000000097</v>
      </c>
      <c r="BI5" s="140">
        <v>1</v>
      </c>
      <c r="BJ5" s="139">
        <v>40.612500000000075</v>
      </c>
      <c r="BK5" s="139">
        <v>60.540372670807564</v>
      </c>
      <c r="BL5" s="150">
        <v>3.1932050033434914E-9</v>
      </c>
      <c r="BM5" s="164">
        <v>0.62709901563404791</v>
      </c>
      <c r="BN5" s="191"/>
      <c r="BO5" s="57">
        <v>15.3125</v>
      </c>
      <c r="BP5" s="57">
        <v>1.2500000000000001E-2</v>
      </c>
      <c r="BQ5" s="59">
        <v>2.1124999999999998</v>
      </c>
      <c r="BR5" s="59">
        <v>40.612500000000097</v>
      </c>
      <c r="BS5" s="57">
        <v>49.612499999999997</v>
      </c>
      <c r="BT5" s="57">
        <v>0.1125</v>
      </c>
      <c r="BU5" s="110">
        <v>1.0125</v>
      </c>
    </row>
    <row r="6" spans="2:73" ht="16">
      <c r="B6" s="322"/>
      <c r="C6" s="91" t="s">
        <v>65</v>
      </c>
      <c r="D6" s="92">
        <v>40.612500000000075</v>
      </c>
      <c r="E6" s="93">
        <v>1</v>
      </c>
      <c r="F6" s="93">
        <v>40.612500000000075</v>
      </c>
      <c r="G6" s="93">
        <v>21.150225338007054</v>
      </c>
      <c r="H6" s="94">
        <v>4.3997883339553311E-5</v>
      </c>
      <c r="I6" s="95">
        <v>0.35162337662337706</v>
      </c>
      <c r="J6" s="112"/>
      <c r="K6" s="41" t="s">
        <v>81</v>
      </c>
      <c r="L6" s="109" t="s">
        <v>82</v>
      </c>
      <c r="N6" s="320"/>
      <c r="O6" s="69" t="s">
        <v>65</v>
      </c>
      <c r="P6" s="70">
        <v>40.612500000000075</v>
      </c>
      <c r="Q6" s="71">
        <v>1</v>
      </c>
      <c r="R6" s="71">
        <v>40.612500000000075</v>
      </c>
      <c r="S6" s="71">
        <v>61.059347181009002</v>
      </c>
      <c r="T6" s="74">
        <v>2.0026854628252328E-9</v>
      </c>
      <c r="U6" s="72">
        <v>0.61639157655093946</v>
      </c>
      <c r="V6" s="82"/>
      <c r="W6" s="41" t="s">
        <v>51</v>
      </c>
      <c r="X6" s="283" t="s">
        <v>52</v>
      </c>
      <c r="Y6" s="285"/>
      <c r="AA6" s="289"/>
      <c r="AB6" s="152" t="s">
        <v>65</v>
      </c>
      <c r="AC6" s="141">
        <v>124.25625000000014</v>
      </c>
      <c r="AD6" s="142">
        <v>1</v>
      </c>
      <c r="AE6" s="142">
        <v>124.25625000000014</v>
      </c>
      <c r="AF6" s="142">
        <v>176.25801318481501</v>
      </c>
      <c r="AG6" s="153">
        <v>4.7617620613916403E-16</v>
      </c>
      <c r="AH6" s="154">
        <v>0.8188220757825373</v>
      </c>
      <c r="AI6" s="161"/>
      <c r="AJ6" s="41" t="s">
        <v>81</v>
      </c>
      <c r="AK6" s="56" t="s">
        <v>92</v>
      </c>
      <c r="AL6" s="41" t="s">
        <v>93</v>
      </c>
      <c r="AM6" s="113"/>
      <c r="AO6" s="289"/>
      <c r="AP6" s="152" t="s">
        <v>65</v>
      </c>
      <c r="AQ6" s="141">
        <v>124.25624999999991</v>
      </c>
      <c r="AR6" s="142">
        <v>1</v>
      </c>
      <c r="AS6" s="142">
        <v>124.25624999999991</v>
      </c>
      <c r="AT6" s="142">
        <v>262.50104239054878</v>
      </c>
      <c r="AU6" s="153">
        <v>1.1852364526863849E-18</v>
      </c>
      <c r="AV6" s="173">
        <v>0.87354453183356029</v>
      </c>
      <c r="AW6" s="112"/>
      <c r="AX6" s="56" t="s">
        <v>51</v>
      </c>
      <c r="AY6" s="283" t="s">
        <v>52</v>
      </c>
      <c r="AZ6" s="288"/>
      <c r="BA6" s="284" t="s">
        <v>99</v>
      </c>
      <c r="BB6" s="284"/>
      <c r="BC6" s="283" t="s">
        <v>111</v>
      </c>
      <c r="BD6" s="285"/>
      <c r="BF6" s="289"/>
      <c r="BG6" s="152" t="s">
        <v>65</v>
      </c>
      <c r="BH6" s="141">
        <v>40.612500000000075</v>
      </c>
      <c r="BI6" s="142">
        <v>1</v>
      </c>
      <c r="BJ6" s="142">
        <v>40.612500000000075</v>
      </c>
      <c r="BK6" s="142">
        <v>60.540372670807564</v>
      </c>
      <c r="BL6" s="153">
        <v>3.1932050033434914E-9</v>
      </c>
      <c r="BM6" s="173">
        <v>0.62709901563404791</v>
      </c>
      <c r="BN6" s="191"/>
      <c r="BO6" s="283" t="s">
        <v>116</v>
      </c>
      <c r="BP6" s="284"/>
      <c r="BQ6" s="288"/>
      <c r="BR6" s="283" t="s">
        <v>122</v>
      </c>
      <c r="BS6" s="284"/>
      <c r="BT6" s="284"/>
      <c r="BU6" s="285"/>
    </row>
    <row r="7" spans="2:73" ht="15" thickBot="1">
      <c r="B7" s="322"/>
      <c r="C7" s="91" t="s">
        <v>66</v>
      </c>
      <c r="D7" s="92">
        <v>40.612500000000075</v>
      </c>
      <c r="E7" s="93">
        <v>1</v>
      </c>
      <c r="F7" s="93">
        <v>40.612500000000075</v>
      </c>
      <c r="G7" s="93">
        <v>21.150225338007054</v>
      </c>
      <c r="H7" s="94">
        <v>4.3997883339553311E-5</v>
      </c>
      <c r="I7" s="95">
        <v>0.35162337662337706</v>
      </c>
      <c r="J7" s="112"/>
      <c r="K7" s="57">
        <v>74.887499999999989</v>
      </c>
      <c r="L7" s="221">
        <v>1.9201923076923073</v>
      </c>
      <c r="N7" s="320"/>
      <c r="O7" s="69" t="s">
        <v>66</v>
      </c>
      <c r="P7" s="70">
        <v>40.612500000000075</v>
      </c>
      <c r="Q7" s="71">
        <v>1</v>
      </c>
      <c r="R7" s="71">
        <v>40.612500000000075</v>
      </c>
      <c r="S7" s="71">
        <v>61.059347181009002</v>
      </c>
      <c r="T7" s="74">
        <v>2.0026854628252328E-9</v>
      </c>
      <c r="U7" s="72">
        <v>0.61639157655093946</v>
      </c>
      <c r="V7" s="82"/>
      <c r="W7" s="57">
        <v>23.874999999999996</v>
      </c>
      <c r="X7" s="249">
        <v>25.275000000000006</v>
      </c>
      <c r="Y7" s="287"/>
      <c r="AA7" s="289"/>
      <c r="AB7" s="152" t="s">
        <v>66</v>
      </c>
      <c r="AC7" s="141">
        <v>124.25625000000014</v>
      </c>
      <c r="AD7" s="142">
        <v>1</v>
      </c>
      <c r="AE7" s="142">
        <v>124.25625000000014</v>
      </c>
      <c r="AF7" s="142">
        <v>176.25801318481501</v>
      </c>
      <c r="AG7" s="153">
        <v>4.7617620613916403E-16</v>
      </c>
      <c r="AH7" s="154">
        <v>0.8188220757825373</v>
      </c>
      <c r="AI7" s="161"/>
      <c r="AJ7" s="57">
        <v>27.493749999999999</v>
      </c>
      <c r="AK7" s="59">
        <v>126.94374999999999</v>
      </c>
      <c r="AL7" s="107">
        <v>23.693750000000001</v>
      </c>
      <c r="AM7" s="113"/>
      <c r="AO7" s="289"/>
      <c r="AP7" s="152" t="s">
        <v>66</v>
      </c>
      <c r="AQ7" s="141">
        <v>124.25624999999991</v>
      </c>
      <c r="AR7" s="142">
        <v>1</v>
      </c>
      <c r="AS7" s="142">
        <v>124.25624999999991</v>
      </c>
      <c r="AT7" s="142">
        <v>262.50104239054878</v>
      </c>
      <c r="AU7" s="153">
        <v>1.1852364526863849E-18</v>
      </c>
      <c r="AV7" s="173">
        <v>0.87354453183356029</v>
      </c>
      <c r="AW7" s="112"/>
      <c r="AX7" s="59">
        <v>21.487500000000001</v>
      </c>
      <c r="AY7" s="249">
        <v>17.987500000000001</v>
      </c>
      <c r="AZ7" s="250"/>
      <c r="BA7" s="286">
        <v>29.287500000000001</v>
      </c>
      <c r="BB7" s="286"/>
      <c r="BC7" s="249">
        <v>23.6875</v>
      </c>
      <c r="BD7" s="287"/>
      <c r="BF7" s="289"/>
      <c r="BG7" s="152" t="s">
        <v>66</v>
      </c>
      <c r="BH7" s="141">
        <v>40.612500000000075</v>
      </c>
      <c r="BI7" s="142">
        <v>1</v>
      </c>
      <c r="BJ7" s="142">
        <v>40.612500000000075</v>
      </c>
      <c r="BK7" s="142">
        <v>60.540372670807564</v>
      </c>
      <c r="BL7" s="153">
        <v>3.1932050033434914E-9</v>
      </c>
      <c r="BM7" s="173">
        <v>0.62709901563404791</v>
      </c>
      <c r="BN7" s="191"/>
      <c r="BO7" s="249">
        <v>21.75</v>
      </c>
      <c r="BP7" s="286"/>
      <c r="BQ7" s="250"/>
      <c r="BR7" s="249">
        <v>24.15</v>
      </c>
      <c r="BS7" s="286"/>
      <c r="BT7" s="286"/>
      <c r="BU7" s="287"/>
    </row>
    <row r="8" spans="2:73" ht="16">
      <c r="B8" s="322"/>
      <c r="C8" s="91" t="s">
        <v>67</v>
      </c>
      <c r="D8" s="92">
        <v>40.612500000000075</v>
      </c>
      <c r="E8" s="93">
        <v>1</v>
      </c>
      <c r="F8" s="93">
        <v>40.612500000000075</v>
      </c>
      <c r="G8" s="93">
        <v>21.150225338007054</v>
      </c>
      <c r="H8" s="94">
        <v>4.3997883339553311E-5</v>
      </c>
      <c r="I8" s="95">
        <v>0.35162337662337706</v>
      </c>
      <c r="J8" s="112"/>
      <c r="K8" s="216" t="s">
        <v>83</v>
      </c>
      <c r="L8" s="222" t="s">
        <v>151</v>
      </c>
      <c r="N8" s="320"/>
      <c r="O8" s="69" t="s">
        <v>67</v>
      </c>
      <c r="P8" s="70">
        <v>40.612500000000075</v>
      </c>
      <c r="Q8" s="71">
        <v>1</v>
      </c>
      <c r="R8" s="71">
        <v>40.612500000000075</v>
      </c>
      <c r="S8" s="71">
        <v>61.059347181009002</v>
      </c>
      <c r="T8" s="74">
        <v>2.0026854628252328E-9</v>
      </c>
      <c r="U8" s="72">
        <v>0.61639157655093946</v>
      </c>
      <c r="V8" s="82"/>
      <c r="W8" s="41" t="s">
        <v>72</v>
      </c>
      <c r="X8" s="41" t="s">
        <v>76</v>
      </c>
      <c r="Y8" s="109" t="s">
        <v>55</v>
      </c>
      <c r="AA8" s="289"/>
      <c r="AB8" s="152" t="s">
        <v>67</v>
      </c>
      <c r="AC8" s="141">
        <v>124.25625000000014</v>
      </c>
      <c r="AD8" s="142">
        <v>1</v>
      </c>
      <c r="AE8" s="142">
        <v>124.25625000000014</v>
      </c>
      <c r="AF8" s="142">
        <v>176.25801318481501</v>
      </c>
      <c r="AG8" s="153">
        <v>4.7617620613916403E-16</v>
      </c>
      <c r="AH8" s="154">
        <v>0.8188220757825373</v>
      </c>
      <c r="AI8" s="161"/>
      <c r="AJ8" s="41" t="s">
        <v>76</v>
      </c>
      <c r="AK8" s="56" t="s">
        <v>90</v>
      </c>
      <c r="AL8" s="41" t="s">
        <v>95</v>
      </c>
      <c r="AM8" s="113"/>
      <c r="AO8" s="289"/>
      <c r="AP8" s="152" t="s">
        <v>67</v>
      </c>
      <c r="AQ8" s="141">
        <v>124.25624999999991</v>
      </c>
      <c r="AR8" s="142">
        <v>1</v>
      </c>
      <c r="AS8" s="142">
        <v>124.25624999999991</v>
      </c>
      <c r="AT8" s="142">
        <v>262.50104239054878</v>
      </c>
      <c r="AU8" s="153">
        <v>1.1852364526863849E-18</v>
      </c>
      <c r="AV8" s="173">
        <v>0.87354453183356029</v>
      </c>
      <c r="AW8" s="112"/>
      <c r="AX8" s="56" t="s">
        <v>72</v>
      </c>
      <c r="AY8" s="41" t="s">
        <v>76</v>
      </c>
      <c r="AZ8" s="41" t="s">
        <v>55</v>
      </c>
      <c r="BA8" s="84" t="s">
        <v>90</v>
      </c>
      <c r="BB8" s="56" t="s">
        <v>102</v>
      </c>
      <c r="BC8" s="41" t="s">
        <v>95</v>
      </c>
      <c r="BD8" s="186" t="s">
        <v>112</v>
      </c>
      <c r="BF8" s="289"/>
      <c r="BG8" s="152" t="s">
        <v>67</v>
      </c>
      <c r="BH8" s="141">
        <v>40.612500000000075</v>
      </c>
      <c r="BI8" s="142">
        <v>1</v>
      </c>
      <c r="BJ8" s="142">
        <v>40.612500000000075</v>
      </c>
      <c r="BK8" s="142">
        <v>60.540372670807564</v>
      </c>
      <c r="BL8" s="153">
        <v>3.1932050033434914E-9</v>
      </c>
      <c r="BM8" s="173">
        <v>0.62709901563404791</v>
      </c>
      <c r="BN8" s="191"/>
      <c r="BO8" s="41" t="s">
        <v>72</v>
      </c>
      <c r="BP8" s="41" t="s">
        <v>76</v>
      </c>
      <c r="BQ8" s="56" t="s">
        <v>90</v>
      </c>
      <c r="BR8" s="56" t="s">
        <v>76</v>
      </c>
      <c r="BS8" s="41" t="s">
        <v>55</v>
      </c>
      <c r="BT8" s="41" t="s">
        <v>126</v>
      </c>
      <c r="BU8" s="109" t="s">
        <v>128</v>
      </c>
    </row>
    <row r="9" spans="2:73">
      <c r="B9" s="322" t="s">
        <v>132</v>
      </c>
      <c r="C9" s="91" t="s">
        <v>64</v>
      </c>
      <c r="D9" s="92">
        <v>74.887499999999989</v>
      </c>
      <c r="E9" s="96">
        <v>39</v>
      </c>
      <c r="F9" s="93">
        <v>1.9201923076923073</v>
      </c>
      <c r="G9" s="97"/>
      <c r="H9" s="97"/>
      <c r="I9" s="98"/>
      <c r="J9" s="112"/>
      <c r="K9" s="214">
        <v>39.187499999999972</v>
      </c>
      <c r="L9" s="223">
        <v>1.0048076923076901</v>
      </c>
      <c r="N9" s="320" t="s">
        <v>137</v>
      </c>
      <c r="O9" s="69" t="s">
        <v>64</v>
      </c>
      <c r="P9" s="70">
        <v>49.612500000000004</v>
      </c>
      <c r="Q9" s="73">
        <v>1</v>
      </c>
      <c r="R9" s="71">
        <v>49.612500000000004</v>
      </c>
      <c r="S9" s="71">
        <v>74.590504451038569</v>
      </c>
      <c r="T9" s="74">
        <v>1.700518574785244E-10</v>
      </c>
      <c r="U9" s="72">
        <v>0.66249374061091637</v>
      </c>
      <c r="V9" s="82"/>
      <c r="W9" s="57">
        <v>15.312500000000005</v>
      </c>
      <c r="X9" s="57">
        <v>40.612500000000075</v>
      </c>
      <c r="Y9" s="110">
        <v>49.612500000000004</v>
      </c>
      <c r="AA9" s="289" t="s">
        <v>132</v>
      </c>
      <c r="AB9" s="152" t="s">
        <v>64</v>
      </c>
      <c r="AC9" s="141">
        <v>27.493749999999999</v>
      </c>
      <c r="AD9" s="143">
        <v>39</v>
      </c>
      <c r="AE9" s="153">
        <v>0.70496794871794799</v>
      </c>
      <c r="AF9" s="155"/>
      <c r="AG9" s="155"/>
      <c r="AH9" s="156"/>
      <c r="AI9" s="161"/>
      <c r="AJ9" s="57">
        <v>124.25624999999999</v>
      </c>
      <c r="AK9" s="59">
        <v>13.8062499999998</v>
      </c>
      <c r="AL9" s="57">
        <v>28.056249999999999</v>
      </c>
      <c r="AM9" s="113"/>
      <c r="AO9" s="289" t="s">
        <v>137</v>
      </c>
      <c r="AP9" s="152" t="s">
        <v>64</v>
      </c>
      <c r="AQ9" s="141">
        <v>9.506250000000005</v>
      </c>
      <c r="AR9" s="143">
        <v>1</v>
      </c>
      <c r="AS9" s="142">
        <v>9.506250000000005</v>
      </c>
      <c r="AT9" s="142">
        <v>20.082696316886736</v>
      </c>
      <c r="AU9" s="153">
        <v>6.6095740046789511E-5</v>
      </c>
      <c r="AV9" s="173">
        <v>0.34576040009092984</v>
      </c>
      <c r="AW9" s="112"/>
      <c r="AX9" s="59">
        <v>6.0062499999999996</v>
      </c>
      <c r="AY9" s="57">
        <v>124.25624999999999</v>
      </c>
      <c r="AZ9" s="57">
        <v>9.506250000000005</v>
      </c>
      <c r="BA9" s="60">
        <v>13.8062499999998</v>
      </c>
      <c r="BB9" s="59">
        <v>97.65625</v>
      </c>
      <c r="BC9" s="57">
        <v>28.056250000000301</v>
      </c>
      <c r="BD9" s="187">
        <v>6.2500000000020898E-3</v>
      </c>
      <c r="BF9" s="289" t="s">
        <v>138</v>
      </c>
      <c r="BG9" s="152" t="s">
        <v>64</v>
      </c>
      <c r="BH9" s="141">
        <v>49.612499999999997</v>
      </c>
      <c r="BI9" s="143">
        <v>1</v>
      </c>
      <c r="BJ9" s="142">
        <v>49.612500000000004</v>
      </c>
      <c r="BK9" s="142">
        <v>73.956521739130437</v>
      </c>
      <c r="BL9" s="153">
        <v>2.9713793880744869E-10</v>
      </c>
      <c r="BM9" s="173">
        <v>0.67259786476868333</v>
      </c>
      <c r="BN9" s="191"/>
      <c r="BO9" s="57">
        <v>15.3125</v>
      </c>
      <c r="BP9" s="57">
        <v>1.2500000000000001E-2</v>
      </c>
      <c r="BQ9" s="59">
        <v>2.1124999999999998</v>
      </c>
      <c r="BR9" s="59">
        <v>40.612500000000097</v>
      </c>
      <c r="BS9" s="57">
        <v>49.612499999999997</v>
      </c>
      <c r="BT9" s="57">
        <v>0.1125</v>
      </c>
      <c r="BU9" s="110">
        <v>1.0125</v>
      </c>
    </row>
    <row r="10" spans="2:73" ht="16">
      <c r="B10" s="322"/>
      <c r="C10" s="91" t="s">
        <v>65</v>
      </c>
      <c r="D10" s="92">
        <v>74.887499999999989</v>
      </c>
      <c r="E10" s="93">
        <v>39</v>
      </c>
      <c r="F10" s="93">
        <v>1.9201923076923073</v>
      </c>
      <c r="G10" s="97"/>
      <c r="H10" s="97"/>
      <c r="I10" s="98"/>
      <c r="J10" s="112"/>
      <c r="K10" s="216" t="s">
        <v>54</v>
      </c>
      <c r="L10" s="224" t="s">
        <v>1</v>
      </c>
      <c r="N10" s="320"/>
      <c r="O10" s="69" t="s">
        <v>65</v>
      </c>
      <c r="P10" s="70">
        <v>49.612500000000004</v>
      </c>
      <c r="Q10" s="71">
        <v>1</v>
      </c>
      <c r="R10" s="71">
        <v>49.612500000000004</v>
      </c>
      <c r="S10" s="71">
        <v>74.590504451038569</v>
      </c>
      <c r="T10" s="74">
        <v>1.700518574785244E-10</v>
      </c>
      <c r="U10" s="72">
        <v>0.66249374061091637</v>
      </c>
      <c r="V10" s="82"/>
      <c r="W10" s="41" t="s">
        <v>74</v>
      </c>
      <c r="X10" s="283" t="s">
        <v>56</v>
      </c>
      <c r="Y10" s="285"/>
      <c r="AA10" s="289"/>
      <c r="AB10" s="152" t="s">
        <v>65</v>
      </c>
      <c r="AC10" s="141">
        <v>27.493749999999984</v>
      </c>
      <c r="AD10" s="142">
        <v>39</v>
      </c>
      <c r="AE10" s="153">
        <v>0.70496794871794832</v>
      </c>
      <c r="AF10" s="155"/>
      <c r="AG10" s="155"/>
      <c r="AH10" s="156"/>
      <c r="AI10" s="161"/>
      <c r="AJ10" s="41" t="s">
        <v>82</v>
      </c>
      <c r="AK10" s="56" t="s">
        <v>94</v>
      </c>
      <c r="AL10" s="41" t="s">
        <v>96</v>
      </c>
      <c r="AM10" s="113"/>
      <c r="AO10" s="289"/>
      <c r="AP10" s="152" t="s">
        <v>65</v>
      </c>
      <c r="AQ10" s="141">
        <v>9.506250000000005</v>
      </c>
      <c r="AR10" s="142">
        <v>1</v>
      </c>
      <c r="AS10" s="142">
        <v>9.506250000000005</v>
      </c>
      <c r="AT10" s="142">
        <v>20.082696316886736</v>
      </c>
      <c r="AU10" s="153">
        <v>6.6095740046789511E-5</v>
      </c>
      <c r="AV10" s="173">
        <v>0.34576040009092984</v>
      </c>
      <c r="AW10" s="112"/>
      <c r="AX10" s="56" t="s">
        <v>74</v>
      </c>
      <c r="AY10" s="283" t="s">
        <v>56</v>
      </c>
      <c r="AZ10" s="288"/>
      <c r="BA10" s="283" t="s">
        <v>101</v>
      </c>
      <c r="BB10" s="288"/>
      <c r="BC10" s="283" t="s">
        <v>103</v>
      </c>
      <c r="BD10" s="285"/>
      <c r="BF10" s="289"/>
      <c r="BG10" s="152" t="s">
        <v>65</v>
      </c>
      <c r="BH10" s="141">
        <v>49.612500000000004</v>
      </c>
      <c r="BI10" s="142">
        <v>1</v>
      </c>
      <c r="BJ10" s="142">
        <v>49.612500000000004</v>
      </c>
      <c r="BK10" s="142">
        <v>73.956521739130437</v>
      </c>
      <c r="BL10" s="153">
        <v>2.9713793880744869E-10</v>
      </c>
      <c r="BM10" s="173">
        <v>0.67259786476868333</v>
      </c>
      <c r="BN10" s="191"/>
      <c r="BO10" s="283" t="s">
        <v>117</v>
      </c>
      <c r="BP10" s="284"/>
      <c r="BQ10" s="288"/>
      <c r="BR10" s="283" t="s">
        <v>129</v>
      </c>
      <c r="BS10" s="284"/>
      <c r="BT10" s="284"/>
      <c r="BU10" s="285"/>
    </row>
    <row r="11" spans="2:73">
      <c r="B11" s="322"/>
      <c r="C11" s="91" t="s">
        <v>66</v>
      </c>
      <c r="D11" s="92">
        <v>74.887499999999989</v>
      </c>
      <c r="E11" s="93">
        <v>39</v>
      </c>
      <c r="F11" s="93">
        <v>1.9201923076923073</v>
      </c>
      <c r="G11" s="97"/>
      <c r="H11" s="97"/>
      <c r="I11" s="98"/>
      <c r="J11" s="112"/>
      <c r="K11" s="218">
        <f>L5/L7</f>
        <v>21.150225338007065</v>
      </c>
      <c r="L11" s="223">
        <v>1</v>
      </c>
      <c r="N11" s="320"/>
      <c r="O11" s="69" t="s">
        <v>66</v>
      </c>
      <c r="P11" s="70">
        <v>49.612500000000004</v>
      </c>
      <c r="Q11" s="71">
        <v>1</v>
      </c>
      <c r="R11" s="71">
        <v>49.612500000000004</v>
      </c>
      <c r="S11" s="71">
        <v>74.590504451038569</v>
      </c>
      <c r="T11" s="74">
        <v>1.700518574785244E-10</v>
      </c>
      <c r="U11" s="72">
        <v>0.66249374061091637</v>
      </c>
      <c r="V11" s="82"/>
      <c r="W11" s="57">
        <v>0.6282894736842104</v>
      </c>
      <c r="X11" s="249">
        <v>0.66513157894736852</v>
      </c>
      <c r="Y11" s="287"/>
      <c r="AA11" s="289"/>
      <c r="AB11" s="152" t="s">
        <v>66</v>
      </c>
      <c r="AC11" s="141">
        <v>27.493749999999984</v>
      </c>
      <c r="AD11" s="142">
        <v>39</v>
      </c>
      <c r="AE11" s="153">
        <v>0.70496794871794832</v>
      </c>
      <c r="AF11" s="155"/>
      <c r="AG11" s="155"/>
      <c r="AH11" s="156"/>
      <c r="AI11" s="161"/>
      <c r="AJ11" s="57">
        <v>0.70496794871794799</v>
      </c>
      <c r="AK11" s="59">
        <v>3.2549679487179501</v>
      </c>
      <c r="AL11" s="107">
        <v>0.60753205128205101</v>
      </c>
      <c r="AM11" s="113"/>
      <c r="AO11" s="289"/>
      <c r="AP11" s="152" t="s">
        <v>66</v>
      </c>
      <c r="AQ11" s="141">
        <v>9.506250000000005</v>
      </c>
      <c r="AR11" s="142">
        <v>1</v>
      </c>
      <c r="AS11" s="142">
        <v>9.506250000000005</v>
      </c>
      <c r="AT11" s="142">
        <v>20.082696316886736</v>
      </c>
      <c r="AU11" s="153">
        <v>6.6095740046789511E-5</v>
      </c>
      <c r="AV11" s="173">
        <v>0.34576040009092984</v>
      </c>
      <c r="AW11" s="112"/>
      <c r="AX11" s="59">
        <v>0.56546052631579002</v>
      </c>
      <c r="AY11" s="249">
        <v>0.473355263157895</v>
      </c>
      <c r="AZ11" s="250"/>
      <c r="BA11" s="249">
        <v>0.77072368421052695</v>
      </c>
      <c r="BB11" s="250"/>
      <c r="BC11" s="249">
        <v>0.62335526315789502</v>
      </c>
      <c r="BD11" s="287"/>
      <c r="BF11" s="289"/>
      <c r="BG11" s="152" t="s">
        <v>66</v>
      </c>
      <c r="BH11" s="141">
        <v>49.612500000000004</v>
      </c>
      <c r="BI11" s="142">
        <v>1</v>
      </c>
      <c r="BJ11" s="142">
        <v>49.612500000000004</v>
      </c>
      <c r="BK11" s="142">
        <v>73.956521739130437</v>
      </c>
      <c r="BL11" s="153">
        <v>2.9713793880744869E-10</v>
      </c>
      <c r="BM11" s="173">
        <v>0.67259786476868333</v>
      </c>
      <c r="BN11" s="191"/>
      <c r="BO11" s="249">
        <v>0.60416666666666696</v>
      </c>
      <c r="BP11" s="286"/>
      <c r="BQ11" s="250"/>
      <c r="BR11" s="249">
        <v>0.67083333333333295</v>
      </c>
      <c r="BS11" s="286"/>
      <c r="BT11" s="286"/>
      <c r="BU11" s="287"/>
    </row>
    <row r="12" spans="2:73" ht="17" thickBot="1">
      <c r="B12" s="323"/>
      <c r="C12" s="99" t="s">
        <v>67</v>
      </c>
      <c r="D12" s="100">
        <v>74.887499999999989</v>
      </c>
      <c r="E12" s="101">
        <v>39</v>
      </c>
      <c r="F12" s="101">
        <v>1.9201923076923073</v>
      </c>
      <c r="G12" s="102"/>
      <c r="H12" s="102"/>
      <c r="I12" s="103"/>
      <c r="J12" s="112"/>
      <c r="K12" s="216" t="s">
        <v>53</v>
      </c>
      <c r="L12" s="224" t="s">
        <v>149</v>
      </c>
      <c r="N12" s="320"/>
      <c r="O12" s="69" t="s">
        <v>67</v>
      </c>
      <c r="P12" s="70">
        <v>49.612500000000004</v>
      </c>
      <c r="Q12" s="71">
        <v>1</v>
      </c>
      <c r="R12" s="71">
        <v>49.612500000000004</v>
      </c>
      <c r="S12" s="71">
        <v>74.590504451038569</v>
      </c>
      <c r="T12" s="74">
        <v>1.700518574785244E-10</v>
      </c>
      <c r="U12" s="72">
        <v>0.66249374061091637</v>
      </c>
      <c r="V12" s="82"/>
      <c r="W12" s="41" t="s">
        <v>156</v>
      </c>
      <c r="X12" s="41" t="s">
        <v>157</v>
      </c>
      <c r="Y12" s="109" t="s">
        <v>158</v>
      </c>
      <c r="AA12" s="289"/>
      <c r="AB12" s="152" t="s">
        <v>67</v>
      </c>
      <c r="AC12" s="141">
        <v>27.493749999999984</v>
      </c>
      <c r="AD12" s="142">
        <v>39</v>
      </c>
      <c r="AE12" s="153">
        <v>0.70496794871794832</v>
      </c>
      <c r="AF12" s="155"/>
      <c r="AG12" s="155"/>
      <c r="AH12" s="156"/>
      <c r="AI12" s="161"/>
      <c r="AJ12" s="41" t="s">
        <v>54</v>
      </c>
      <c r="AK12" s="56" t="s">
        <v>54</v>
      </c>
      <c r="AL12" s="41" t="s">
        <v>54</v>
      </c>
      <c r="AM12" s="113"/>
      <c r="AO12" s="289"/>
      <c r="AP12" s="152" t="s">
        <v>67</v>
      </c>
      <c r="AQ12" s="141">
        <v>9.506250000000005</v>
      </c>
      <c r="AR12" s="142">
        <v>1</v>
      </c>
      <c r="AS12" s="142">
        <v>9.506250000000005</v>
      </c>
      <c r="AT12" s="142">
        <v>20.082696316886736</v>
      </c>
      <c r="AU12" s="153">
        <v>6.6095740046789511E-5</v>
      </c>
      <c r="AV12" s="173">
        <v>0.34576040009092984</v>
      </c>
      <c r="AW12" s="112"/>
      <c r="AX12" s="56" t="s">
        <v>54</v>
      </c>
      <c r="AY12" s="41" t="s">
        <v>54</v>
      </c>
      <c r="AZ12" s="41" t="s">
        <v>54</v>
      </c>
      <c r="BA12" s="84" t="s">
        <v>54</v>
      </c>
      <c r="BB12" s="56" t="s">
        <v>54</v>
      </c>
      <c r="BC12" s="41" t="s">
        <v>54</v>
      </c>
      <c r="BD12" s="186" t="s">
        <v>54</v>
      </c>
      <c r="BF12" s="289"/>
      <c r="BG12" s="152" t="s">
        <v>67</v>
      </c>
      <c r="BH12" s="141">
        <v>49.612500000000004</v>
      </c>
      <c r="BI12" s="142">
        <v>1</v>
      </c>
      <c r="BJ12" s="142">
        <v>49.612500000000004</v>
      </c>
      <c r="BK12" s="142">
        <v>73.956521739130437</v>
      </c>
      <c r="BL12" s="153">
        <v>2.9713793880744869E-10</v>
      </c>
      <c r="BM12" s="173">
        <v>0.67259786476868333</v>
      </c>
      <c r="BN12" s="191"/>
      <c r="BO12" s="41" t="s">
        <v>54</v>
      </c>
      <c r="BP12" s="41" t="s">
        <v>54</v>
      </c>
      <c r="BQ12" s="56" t="s">
        <v>54</v>
      </c>
      <c r="BR12" s="56" t="s">
        <v>54</v>
      </c>
      <c r="BS12" s="41" t="s">
        <v>54</v>
      </c>
      <c r="BT12" s="41" t="s">
        <v>54</v>
      </c>
      <c r="BU12" s="109" t="s">
        <v>54</v>
      </c>
    </row>
    <row r="13" spans="2:73" ht="16" thickTop="1" thickBot="1">
      <c r="B13" s="111"/>
      <c r="C13" s="112"/>
      <c r="D13" s="112"/>
      <c r="E13" s="112"/>
      <c r="F13" s="112"/>
      <c r="G13" s="112"/>
      <c r="H13" s="112"/>
      <c r="I13" s="112"/>
      <c r="J13" s="112"/>
      <c r="K13" s="219">
        <f>K5/(K5+K7+K9)</f>
        <v>0.26254545454545497</v>
      </c>
      <c r="L13" s="223">
        <v>40</v>
      </c>
      <c r="N13" s="320" t="s">
        <v>132</v>
      </c>
      <c r="O13" s="69" t="s">
        <v>64</v>
      </c>
      <c r="P13" s="70">
        <v>25.275000000000006</v>
      </c>
      <c r="Q13" s="73">
        <v>38</v>
      </c>
      <c r="R13" s="74">
        <v>0.66513157894736852</v>
      </c>
      <c r="S13" s="75"/>
      <c r="T13" s="75"/>
      <c r="U13" s="76"/>
      <c r="V13" s="82"/>
      <c r="W13" s="57">
        <v>1</v>
      </c>
      <c r="X13" s="57">
        <v>1</v>
      </c>
      <c r="Y13" s="110">
        <v>1</v>
      </c>
      <c r="AA13" s="289" t="s">
        <v>133</v>
      </c>
      <c r="AB13" s="152" t="s">
        <v>64</v>
      </c>
      <c r="AC13" s="141">
        <v>13.8062499999998</v>
      </c>
      <c r="AD13" s="143">
        <v>1</v>
      </c>
      <c r="AE13" s="142">
        <v>13.8062499999998</v>
      </c>
      <c r="AF13" s="142">
        <v>4.2415932253458131</v>
      </c>
      <c r="AG13" s="153">
        <v>4.6164967643122792E-2</v>
      </c>
      <c r="AH13" s="154">
        <v>9.8090586145647085E-2</v>
      </c>
      <c r="AI13" s="161"/>
      <c r="AJ13" s="133">
        <f>AJ9/AJ11</f>
        <v>176.2580131848149</v>
      </c>
      <c r="AK13" s="177">
        <f>AK9/AK11</f>
        <v>4.2415932253458086</v>
      </c>
      <c r="AL13" s="135">
        <f>AL9/AL11</f>
        <v>46.180691110524947</v>
      </c>
      <c r="AM13" s="113"/>
      <c r="AO13" s="289" t="s">
        <v>132</v>
      </c>
      <c r="AP13" s="152" t="s">
        <v>64</v>
      </c>
      <c r="AQ13" s="141">
        <v>17.987500000000001</v>
      </c>
      <c r="AR13" s="143">
        <v>38</v>
      </c>
      <c r="AS13" s="153">
        <v>0.473355263157895</v>
      </c>
      <c r="AT13" s="155"/>
      <c r="AU13" s="155"/>
      <c r="AV13" s="174"/>
      <c r="AW13" s="112"/>
      <c r="AX13" s="177">
        <f>AX9/AX11</f>
        <v>10.621873182082595</v>
      </c>
      <c r="AY13" s="181">
        <f>AY9/AY11</f>
        <v>262.50104239054883</v>
      </c>
      <c r="AZ13" s="182">
        <f>AZ9/AY11</f>
        <v>20.082696316886725</v>
      </c>
      <c r="BA13" s="179">
        <f>BA9/BA11</f>
        <v>17.913358941527679</v>
      </c>
      <c r="BB13" s="177">
        <f>BB9/BA11</f>
        <v>126.7072129748185</v>
      </c>
      <c r="BC13" s="135">
        <f>BC9/BC11</f>
        <v>45.008443271768272</v>
      </c>
      <c r="BD13" s="188">
        <f>BD9/BC11</f>
        <v>1.0026385224277755E-2</v>
      </c>
      <c r="BF13" s="289" t="s">
        <v>139</v>
      </c>
      <c r="BG13" s="152" t="s">
        <v>64</v>
      </c>
      <c r="BH13" s="172">
        <v>0.1125</v>
      </c>
      <c r="BI13" s="143">
        <v>1</v>
      </c>
      <c r="BJ13" s="153">
        <v>0.11250000000000007</v>
      </c>
      <c r="BK13" s="153">
        <v>0.16770186335403736</v>
      </c>
      <c r="BL13" s="153">
        <v>0.68458887587250794</v>
      </c>
      <c r="BM13" s="173">
        <v>4.636785162287483E-3</v>
      </c>
      <c r="BN13" s="191"/>
      <c r="BO13" s="133">
        <f>BO9/BO11</f>
        <v>25.344827586206883</v>
      </c>
      <c r="BP13" s="133">
        <f>BP9/BO11</f>
        <v>2.0689655172413782E-2</v>
      </c>
      <c r="BQ13" s="177">
        <f>BQ9/BO11</f>
        <v>3.4965517241379289</v>
      </c>
      <c r="BR13" s="177">
        <f>BR9/BR11</f>
        <v>60.540372670807635</v>
      </c>
      <c r="BS13" s="135">
        <f>BS9/BR11</f>
        <v>73.95652173913048</v>
      </c>
      <c r="BT13" s="135">
        <f>BT9/BR11</f>
        <v>0.16770186335403736</v>
      </c>
      <c r="BU13" s="185">
        <f>BU9/BR11</f>
        <v>1.5093167701863361</v>
      </c>
    </row>
    <row r="14" spans="2:73" ht="17" thickBot="1">
      <c r="B14" s="324" t="s">
        <v>68</v>
      </c>
      <c r="C14" s="325"/>
      <c r="D14" s="325"/>
      <c r="E14" s="325"/>
      <c r="F14" s="325"/>
      <c r="G14" s="325"/>
      <c r="H14" s="326"/>
      <c r="I14" s="112"/>
      <c r="J14" s="112"/>
      <c r="K14" s="216" t="s">
        <v>57</v>
      </c>
      <c r="L14" s="224" t="s">
        <v>152</v>
      </c>
      <c r="N14" s="320"/>
      <c r="O14" s="69" t="s">
        <v>65</v>
      </c>
      <c r="P14" s="70">
        <v>25.275000000000006</v>
      </c>
      <c r="Q14" s="71">
        <v>38</v>
      </c>
      <c r="R14" s="74">
        <v>0.66513157894736852</v>
      </c>
      <c r="S14" s="75"/>
      <c r="T14" s="75"/>
      <c r="U14" s="76"/>
      <c r="V14" s="82"/>
      <c r="W14" s="41" t="s">
        <v>54</v>
      </c>
      <c r="X14" s="41" t="s">
        <v>54</v>
      </c>
      <c r="Y14" s="109" t="s">
        <v>54</v>
      </c>
      <c r="AA14" s="289"/>
      <c r="AB14" s="152" t="s">
        <v>65</v>
      </c>
      <c r="AC14" s="141">
        <v>13.806249999999812</v>
      </c>
      <c r="AD14" s="142">
        <v>1</v>
      </c>
      <c r="AE14" s="142">
        <v>13.806249999999812</v>
      </c>
      <c r="AF14" s="142">
        <v>4.2415932253458131</v>
      </c>
      <c r="AG14" s="153">
        <v>4.6164967643122792E-2</v>
      </c>
      <c r="AH14" s="154">
        <v>9.8090586145647085E-2</v>
      </c>
      <c r="AI14" s="161"/>
      <c r="AJ14" s="41" t="s">
        <v>53</v>
      </c>
      <c r="AK14" s="56" t="s">
        <v>53</v>
      </c>
      <c r="AL14" s="41" t="s">
        <v>53</v>
      </c>
      <c r="AM14" s="113"/>
      <c r="AO14" s="289"/>
      <c r="AP14" s="152" t="s">
        <v>65</v>
      </c>
      <c r="AQ14" s="141">
        <v>17.987500000000001</v>
      </c>
      <c r="AR14" s="142">
        <v>38</v>
      </c>
      <c r="AS14" s="153">
        <v>0.47335526315789478</v>
      </c>
      <c r="AT14" s="155"/>
      <c r="AU14" s="155"/>
      <c r="AV14" s="174"/>
      <c r="AW14" s="112"/>
      <c r="AX14" s="56" t="s">
        <v>53</v>
      </c>
      <c r="AY14" s="41" t="s">
        <v>53</v>
      </c>
      <c r="AZ14" s="41" t="s">
        <v>53</v>
      </c>
      <c r="BA14" s="84" t="s">
        <v>53</v>
      </c>
      <c r="BB14" s="56" t="s">
        <v>53</v>
      </c>
      <c r="BC14" s="41" t="s">
        <v>53</v>
      </c>
      <c r="BD14" s="186" t="s">
        <v>53</v>
      </c>
      <c r="BF14" s="289"/>
      <c r="BG14" s="152" t="s">
        <v>65</v>
      </c>
      <c r="BH14" s="172">
        <v>0.11250000000000007</v>
      </c>
      <c r="BI14" s="142">
        <v>1</v>
      </c>
      <c r="BJ14" s="153">
        <v>0.11250000000000007</v>
      </c>
      <c r="BK14" s="153">
        <v>0.16770186335403736</v>
      </c>
      <c r="BL14" s="153">
        <v>0.68458887587250794</v>
      </c>
      <c r="BM14" s="173">
        <v>4.636785162287483E-3</v>
      </c>
      <c r="BN14" s="191"/>
      <c r="BO14" s="41" t="s">
        <v>53</v>
      </c>
      <c r="BP14" s="41" t="s">
        <v>53</v>
      </c>
      <c r="BQ14" s="56" t="s">
        <v>53</v>
      </c>
      <c r="BR14" s="56" t="s">
        <v>53</v>
      </c>
      <c r="BS14" s="41" t="s">
        <v>53</v>
      </c>
      <c r="BT14" s="41" t="s">
        <v>53</v>
      </c>
      <c r="BU14" s="109" t="s">
        <v>53</v>
      </c>
    </row>
    <row r="15" spans="2:73" ht="15" thickBot="1">
      <c r="B15" s="327" t="s">
        <v>69</v>
      </c>
      <c r="C15" s="328"/>
      <c r="D15" s="328"/>
      <c r="E15" s="328"/>
      <c r="F15" s="328"/>
      <c r="G15" s="328"/>
      <c r="H15" s="329"/>
      <c r="I15" s="112"/>
      <c r="J15" s="112"/>
      <c r="K15" s="220">
        <f>K5/(K5+K7)</f>
        <v>0.35162337662337712</v>
      </c>
      <c r="L15" s="225">
        <f>(L11*(L5-L7))/(L11*L5+(L13-L11)*L7)</f>
        <v>0.33499833499833565</v>
      </c>
      <c r="N15" s="320"/>
      <c r="O15" s="69" t="s">
        <v>66</v>
      </c>
      <c r="P15" s="70">
        <v>25.275000000000006</v>
      </c>
      <c r="Q15" s="71">
        <v>38</v>
      </c>
      <c r="R15" s="74">
        <v>0.66513157894736852</v>
      </c>
      <c r="S15" s="75"/>
      <c r="T15" s="75"/>
      <c r="U15" s="76"/>
      <c r="V15" s="82"/>
      <c r="W15" s="133">
        <f>W9/W11</f>
        <v>24.371727748691114</v>
      </c>
      <c r="X15" s="133">
        <f>X9/X11</f>
        <v>61.059347181009009</v>
      </c>
      <c r="Y15" s="134">
        <f>Y9/X11</f>
        <v>74.590504451038569</v>
      </c>
      <c r="AA15" s="289"/>
      <c r="AB15" s="152" t="s">
        <v>66</v>
      </c>
      <c r="AC15" s="141">
        <v>13.806249999999812</v>
      </c>
      <c r="AD15" s="142">
        <v>1</v>
      </c>
      <c r="AE15" s="142">
        <v>13.806249999999812</v>
      </c>
      <c r="AF15" s="142">
        <v>4.2415932253458131</v>
      </c>
      <c r="AG15" s="153">
        <v>4.6164967643122792E-2</v>
      </c>
      <c r="AH15" s="154">
        <v>9.8090586145647085E-2</v>
      </c>
      <c r="AI15" s="161"/>
      <c r="AJ15" s="202">
        <f>AJ5/(AJ5+AM5+AJ7+AL7+AK7)</f>
        <v>0.37666963490650068</v>
      </c>
      <c r="AK15" s="203">
        <f>AK5/(AK5+AM5+AK7+AJ7+AL7)</f>
        <v>6.2918340026772906E-2</v>
      </c>
      <c r="AL15" s="204">
        <f>AL5/(AL5+AM5+AK7+AJ7+AL7)</f>
        <v>0.12006205033566023</v>
      </c>
      <c r="AM15" s="113"/>
      <c r="AO15" s="289"/>
      <c r="AP15" s="152" t="s">
        <v>66</v>
      </c>
      <c r="AQ15" s="141">
        <v>17.987500000000001</v>
      </c>
      <c r="AR15" s="142">
        <v>38</v>
      </c>
      <c r="AS15" s="153">
        <v>0.47335526315789478</v>
      </c>
      <c r="AT15" s="155"/>
      <c r="AU15" s="155"/>
      <c r="AV15" s="174"/>
      <c r="AW15" s="112"/>
      <c r="AX15" s="196">
        <f>AX5/(AX5+AX7+BA7+AY7+BC7)</f>
        <v>6.1004253158128609E-2</v>
      </c>
      <c r="AY15" s="197">
        <f>AY5/(AY5+BC7+AY7+AZ7+BA7+AX7)</f>
        <v>0.57338563147117372</v>
      </c>
      <c r="AZ15" s="198">
        <f>AZ5/(AZ5+AX7+BC7+BA7+AY7)</f>
        <v>9.323852142463071E-2</v>
      </c>
      <c r="BA15" s="199">
        <f>BA5/(BA5+AX7+BC7+BA7+AY7)</f>
        <v>0.12993353332156768</v>
      </c>
      <c r="BB15" s="196">
        <f>BC7/(BB5+AX7+AY7+BA7)</f>
        <v>0.14233672587974613</v>
      </c>
      <c r="BC15" s="200">
        <f>BC5/(BC5+BA7+AX7+AY7+BC7)</f>
        <v>0.2328198744878397</v>
      </c>
      <c r="BD15" s="201">
        <f>BD5/(BD5+AX7+AY7+BA7+BC7)</f>
        <v>6.7599540323148394E-5</v>
      </c>
      <c r="BF15" s="289"/>
      <c r="BG15" s="152" t="s">
        <v>66</v>
      </c>
      <c r="BH15" s="172">
        <v>0.11250000000000007</v>
      </c>
      <c r="BI15" s="142">
        <v>1</v>
      </c>
      <c r="BJ15" s="153">
        <v>0.11250000000000007</v>
      </c>
      <c r="BK15" s="153">
        <v>0.16770186335403736</v>
      </c>
      <c r="BL15" s="153">
        <v>0.68458887587250794</v>
      </c>
      <c r="BM15" s="173">
        <v>4.636785162287483E-3</v>
      </c>
      <c r="BN15" s="191"/>
      <c r="BO15" s="202">
        <f>BO5/(BO5+BO7+BR7)</f>
        <v>0.25015315499285279</v>
      </c>
      <c r="BP15" s="202">
        <f>BP5/(BP5+BO7+BR7)</f>
        <v>2.7225701061802347E-4</v>
      </c>
      <c r="BQ15" s="203">
        <f>BQ5/(BQ5+BO7+BR7)</f>
        <v>4.3998958604530063E-2</v>
      </c>
      <c r="BR15" s="203">
        <f>BR5/(BR5+BO7+BR7)</f>
        <v>0.46944083224967548</v>
      </c>
      <c r="BS15" s="204">
        <f>BS5/(BS5+BO7+BR7)</f>
        <v>0.51943462897526504</v>
      </c>
      <c r="BT15" s="204">
        <f>BT5/(BT5+BO7+BR7)</f>
        <v>2.4449877750611247E-3</v>
      </c>
      <c r="BU15" s="205">
        <f>BU5/(BU5+BO7+BR7)</f>
        <v>2.1582733812949641E-2</v>
      </c>
    </row>
    <row r="16" spans="2:73" ht="25" thickBot="1">
      <c r="B16" s="136" t="s">
        <v>60</v>
      </c>
      <c r="C16" s="104" t="s">
        <v>61</v>
      </c>
      <c r="D16" s="105" t="s">
        <v>44</v>
      </c>
      <c r="E16" s="105" t="s">
        <v>62</v>
      </c>
      <c r="F16" s="105" t="s">
        <v>0</v>
      </c>
      <c r="G16" s="105" t="s">
        <v>63</v>
      </c>
      <c r="H16" s="106" t="s">
        <v>77</v>
      </c>
      <c r="I16" s="112"/>
      <c r="J16" s="112"/>
      <c r="K16" s="216" t="s">
        <v>148</v>
      </c>
      <c r="L16" s="224" t="s">
        <v>150</v>
      </c>
      <c r="N16" s="318"/>
      <c r="O16" s="215" t="s">
        <v>67</v>
      </c>
      <c r="P16" s="77">
        <v>25.275000000000006</v>
      </c>
      <c r="Q16" s="78">
        <v>38</v>
      </c>
      <c r="R16" s="79">
        <v>0.66513157894736852</v>
      </c>
      <c r="S16" s="80"/>
      <c r="T16" s="80"/>
      <c r="U16" s="81"/>
      <c r="V16" s="82"/>
      <c r="W16" s="41" t="s">
        <v>53</v>
      </c>
      <c r="X16" s="41" t="s">
        <v>53</v>
      </c>
      <c r="Y16" s="109" t="s">
        <v>53</v>
      </c>
      <c r="AA16" s="289"/>
      <c r="AB16" s="152" t="s">
        <v>67</v>
      </c>
      <c r="AC16" s="141">
        <v>13.806249999999812</v>
      </c>
      <c r="AD16" s="142">
        <v>1</v>
      </c>
      <c r="AE16" s="142">
        <v>13.806249999999812</v>
      </c>
      <c r="AF16" s="142">
        <v>4.2415932253458131</v>
      </c>
      <c r="AG16" s="153">
        <v>4.6164967643122792E-2</v>
      </c>
      <c r="AH16" s="154">
        <v>9.8090586145647085E-2</v>
      </c>
      <c r="AI16" s="161"/>
      <c r="AJ16" s="41" t="s">
        <v>57</v>
      </c>
      <c r="AK16" s="56" t="s">
        <v>57</v>
      </c>
      <c r="AL16" s="41" t="s">
        <v>57</v>
      </c>
      <c r="AM16" s="113"/>
      <c r="AO16" s="289"/>
      <c r="AP16" s="152" t="s">
        <v>67</v>
      </c>
      <c r="AQ16" s="141">
        <v>17.987500000000001</v>
      </c>
      <c r="AR16" s="142">
        <v>38</v>
      </c>
      <c r="AS16" s="153">
        <v>0.47335526315789478</v>
      </c>
      <c r="AT16" s="155"/>
      <c r="AU16" s="155"/>
      <c r="AV16" s="174"/>
      <c r="AW16" s="112"/>
      <c r="AX16" s="56" t="s">
        <v>57</v>
      </c>
      <c r="AY16" s="41" t="s">
        <v>57</v>
      </c>
      <c r="AZ16" s="41" t="s">
        <v>57</v>
      </c>
      <c r="BA16" s="84" t="s">
        <v>57</v>
      </c>
      <c r="BB16" s="56" t="s">
        <v>57</v>
      </c>
      <c r="BC16" s="41" t="s">
        <v>57</v>
      </c>
      <c r="BD16" s="186" t="s">
        <v>57</v>
      </c>
      <c r="BF16" s="289"/>
      <c r="BG16" s="152" t="s">
        <v>67</v>
      </c>
      <c r="BH16" s="172">
        <v>0.11250000000000007</v>
      </c>
      <c r="BI16" s="142">
        <v>1</v>
      </c>
      <c r="BJ16" s="153">
        <v>0.11250000000000007</v>
      </c>
      <c r="BK16" s="153">
        <v>0.16770186335403736</v>
      </c>
      <c r="BL16" s="153">
        <v>0.68458887587250794</v>
      </c>
      <c r="BM16" s="173">
        <v>4.636785162287483E-3</v>
      </c>
      <c r="BN16" s="191"/>
      <c r="BO16" s="41" t="s">
        <v>57</v>
      </c>
      <c r="BP16" s="41" t="s">
        <v>57</v>
      </c>
      <c r="BQ16" s="56" t="s">
        <v>57</v>
      </c>
      <c r="BR16" s="56" t="s">
        <v>57</v>
      </c>
      <c r="BS16" s="41" t="s">
        <v>57</v>
      </c>
      <c r="BT16" s="41" t="s">
        <v>57</v>
      </c>
      <c r="BU16" s="109" t="s">
        <v>57</v>
      </c>
    </row>
    <row r="17" spans="2:73" ht="16" thickTop="1" thickBot="1">
      <c r="B17" s="126" t="s">
        <v>70</v>
      </c>
      <c r="C17" s="86">
        <v>2820.3124999999995</v>
      </c>
      <c r="D17" s="87">
        <v>1</v>
      </c>
      <c r="E17" s="88">
        <v>2820.3124999999995</v>
      </c>
      <c r="F17" s="88">
        <v>2806.8181818181833</v>
      </c>
      <c r="G17" s="89">
        <v>5.9592816566546435E-38</v>
      </c>
      <c r="H17" s="90">
        <v>0.98629568106312293</v>
      </c>
      <c r="I17" s="112"/>
      <c r="J17" s="112"/>
      <c r="K17" s="220">
        <f>K5/(K5+K7+K9)</f>
        <v>0.26254545454545497</v>
      </c>
      <c r="L17" s="226">
        <f>(L11*(L5-L7))/(K9+K5+K7+L9)</f>
        <v>0.24851778656126544</v>
      </c>
      <c r="N17" s="111"/>
      <c r="O17" s="112"/>
      <c r="P17" s="112"/>
      <c r="Q17" s="112"/>
      <c r="R17" s="112"/>
      <c r="S17" s="112"/>
      <c r="T17" s="112"/>
      <c r="U17" s="112"/>
      <c r="V17" s="112"/>
      <c r="W17" s="202">
        <f>W5/(W5+W7+X7)</f>
        <v>0.23754120612759363</v>
      </c>
      <c r="X17" s="202">
        <f>X5/(X5+X7+W7)</f>
        <v>0.45244394931068144</v>
      </c>
      <c r="Y17" s="210">
        <f>Y5/(Y5+X7+W7)</f>
        <v>0.50234147576256161</v>
      </c>
      <c r="AA17" s="289" t="s">
        <v>134</v>
      </c>
      <c r="AB17" s="152" t="s">
        <v>64</v>
      </c>
      <c r="AC17" s="141">
        <v>126.94374999999999</v>
      </c>
      <c r="AD17" s="143">
        <v>39</v>
      </c>
      <c r="AE17" s="142">
        <v>3.2549679487179501</v>
      </c>
      <c r="AF17" s="155"/>
      <c r="AG17" s="155"/>
      <c r="AH17" s="156"/>
      <c r="AI17" s="161"/>
      <c r="AJ17" s="206">
        <f>AJ5/(AJ5+AJ7)</f>
        <v>0.81882207578253718</v>
      </c>
      <c r="AK17" s="207">
        <f>AK5/(AK5+AK7)</f>
        <v>9.809058614564703E-2</v>
      </c>
      <c r="AL17" s="208">
        <f>AL5/(AL5+AL7)</f>
        <v>0.54214975845410629</v>
      </c>
      <c r="AM17" s="113"/>
      <c r="AO17" s="289" t="s">
        <v>133</v>
      </c>
      <c r="AP17" s="152" t="s">
        <v>64</v>
      </c>
      <c r="AQ17" s="141">
        <v>13.8062499999998</v>
      </c>
      <c r="AR17" s="143">
        <v>1</v>
      </c>
      <c r="AS17" s="142">
        <v>13.806249999999812</v>
      </c>
      <c r="AT17" s="142">
        <v>17.913358941527708</v>
      </c>
      <c r="AU17" s="153">
        <v>1.4085825315765442E-4</v>
      </c>
      <c r="AV17" s="173">
        <v>0.32037708484408689</v>
      </c>
      <c r="AW17" s="112"/>
      <c r="AX17" s="178">
        <f>AX5/(AX5+AX7)</f>
        <v>0.21845874062286882</v>
      </c>
      <c r="AY17" s="183">
        <f>AY5/(AY5+AY7)</f>
        <v>0.8735445318335604</v>
      </c>
      <c r="AZ17" s="184">
        <f>AZ5/(AZ5+AY7)</f>
        <v>0.34576040009092984</v>
      </c>
      <c r="BA17" s="180">
        <f>BA5/(BA5+BA7)</f>
        <v>0.32037708484408672</v>
      </c>
      <c r="BB17" s="178">
        <f>BB5/(BB5+BA7)</f>
        <v>0.76928757815961801</v>
      </c>
      <c r="BC17" s="12">
        <f>BC5/(BC5+BC7)</f>
        <v>0.54221524338688509</v>
      </c>
      <c r="BD17" s="212">
        <f>BD5/(BD5+BC7)</f>
        <v>2.6378264310217205E-4</v>
      </c>
      <c r="BF17" s="289" t="s">
        <v>140</v>
      </c>
      <c r="BG17" s="152" t="s">
        <v>64</v>
      </c>
      <c r="BH17" s="141">
        <v>1.0125</v>
      </c>
      <c r="BI17" s="143">
        <v>1</v>
      </c>
      <c r="BJ17" s="142">
        <v>1.0125</v>
      </c>
      <c r="BK17" s="142">
        <v>1.5093167701863399</v>
      </c>
      <c r="BL17" s="153">
        <v>0.22721444411649572</v>
      </c>
      <c r="BM17" s="173">
        <v>4.0238450074515646E-2</v>
      </c>
      <c r="BN17" s="191"/>
      <c r="BO17" s="206">
        <f>BO5/(BO5+BO7)</f>
        <v>0.41315345699831368</v>
      </c>
      <c r="BP17" s="206">
        <f>BP5/(BP5+BO7)</f>
        <v>5.7438253877082138E-4</v>
      </c>
      <c r="BQ17" s="207">
        <f>BQ5/(BQ5+BO7)</f>
        <v>8.8528025144054473E-2</v>
      </c>
      <c r="BR17" s="207">
        <f>BR5/(BR5+BR7)</f>
        <v>0.62709901563404802</v>
      </c>
      <c r="BS17" s="208">
        <f>BS5/(BS5+BR7)</f>
        <v>0.67259786476868333</v>
      </c>
      <c r="BT17" s="208">
        <f>BT5/(BT5+BR7)</f>
        <v>4.6367851622874812E-3</v>
      </c>
      <c r="BU17" s="209">
        <f>BU5/(BU5+BR7)</f>
        <v>4.0238450074515653E-2</v>
      </c>
    </row>
    <row r="18" spans="2:73" ht="17" thickBot="1">
      <c r="B18" s="127" t="s">
        <v>71</v>
      </c>
      <c r="C18" s="128">
        <v>39.187499999999972</v>
      </c>
      <c r="D18" s="129">
        <v>39</v>
      </c>
      <c r="E18" s="130">
        <v>1.0048076923076901</v>
      </c>
      <c r="F18" s="131"/>
      <c r="G18" s="131"/>
      <c r="H18" s="132"/>
      <c r="I18" s="123"/>
      <c r="J18" s="123"/>
      <c r="K18" s="123"/>
      <c r="L18" s="124"/>
      <c r="N18" s="316" t="s">
        <v>68</v>
      </c>
      <c r="O18" s="317"/>
      <c r="P18" s="317"/>
      <c r="Q18" s="317"/>
      <c r="R18" s="317"/>
      <c r="S18" s="317"/>
      <c r="T18" s="317"/>
      <c r="U18" s="112"/>
      <c r="V18" s="112"/>
      <c r="W18" s="41" t="s">
        <v>57</v>
      </c>
      <c r="X18" s="41" t="s">
        <v>57</v>
      </c>
      <c r="Y18" s="109" t="s">
        <v>57</v>
      </c>
      <c r="AA18" s="289"/>
      <c r="AB18" s="152" t="s">
        <v>65</v>
      </c>
      <c r="AC18" s="141">
        <v>126.94375000000004</v>
      </c>
      <c r="AD18" s="142">
        <v>39</v>
      </c>
      <c r="AE18" s="142">
        <v>3.2549679487179497</v>
      </c>
      <c r="AF18" s="155"/>
      <c r="AG18" s="155"/>
      <c r="AH18" s="156"/>
      <c r="AI18" s="161"/>
      <c r="AJ18" s="41" t="s">
        <v>148</v>
      </c>
      <c r="AK18" s="41" t="s">
        <v>148</v>
      </c>
      <c r="AL18" s="41" t="s">
        <v>148</v>
      </c>
      <c r="AM18" s="113"/>
      <c r="AO18" s="289"/>
      <c r="AP18" s="152" t="s">
        <v>65</v>
      </c>
      <c r="AQ18" s="141">
        <v>13.806249999999812</v>
      </c>
      <c r="AR18" s="142">
        <v>1</v>
      </c>
      <c r="AS18" s="142">
        <v>13.806249999999812</v>
      </c>
      <c r="AT18" s="142">
        <v>17.913358941527708</v>
      </c>
      <c r="AU18" s="153">
        <v>1.4085825315765442E-4</v>
      </c>
      <c r="AV18" s="173">
        <v>0.32037708484408689</v>
      </c>
      <c r="AW18" s="112"/>
      <c r="AX18" s="112"/>
      <c r="AY18" s="112"/>
      <c r="AZ18" s="112"/>
      <c r="BA18" s="112"/>
      <c r="BB18" s="112"/>
      <c r="BC18" s="112"/>
      <c r="BD18" s="113"/>
      <c r="BF18" s="289"/>
      <c r="BG18" s="152" t="s">
        <v>65</v>
      </c>
      <c r="BH18" s="141">
        <v>1.0125</v>
      </c>
      <c r="BI18" s="142">
        <v>1</v>
      </c>
      <c r="BJ18" s="142">
        <v>1.0125</v>
      </c>
      <c r="BK18" s="142">
        <v>1.5093167701863353</v>
      </c>
      <c r="BL18" s="153">
        <v>0.22721444411649572</v>
      </c>
      <c r="BM18" s="173">
        <v>4.0238450074515646E-2</v>
      </c>
      <c r="BN18" s="191"/>
      <c r="BO18" s="112"/>
      <c r="BP18" s="112"/>
      <c r="BQ18" s="112"/>
      <c r="BR18" s="112"/>
      <c r="BS18" s="112"/>
      <c r="BT18" s="112"/>
      <c r="BU18" s="113"/>
    </row>
    <row r="19" spans="2:73" ht="15" thickBot="1">
      <c r="N19" s="318" t="s">
        <v>69</v>
      </c>
      <c r="O19" s="319"/>
      <c r="P19" s="319"/>
      <c r="Q19" s="319"/>
      <c r="R19" s="319"/>
      <c r="S19" s="319"/>
      <c r="T19" s="319"/>
      <c r="U19" s="112"/>
      <c r="V19" s="112"/>
      <c r="W19" s="206">
        <f>W5/(W5+W7)</f>
        <v>0.39074960127591718</v>
      </c>
      <c r="X19" s="206">
        <f>X5/(X5+X7)</f>
        <v>0.61639157655093957</v>
      </c>
      <c r="Y19" s="211">
        <f>Y5/(Y5+X7)</f>
        <v>0.66249374061091626</v>
      </c>
      <c r="AA19" s="289"/>
      <c r="AB19" s="152" t="s">
        <v>66</v>
      </c>
      <c r="AC19" s="141">
        <v>126.94375000000004</v>
      </c>
      <c r="AD19" s="142">
        <v>39</v>
      </c>
      <c r="AE19" s="142">
        <v>3.2549679487179497</v>
      </c>
      <c r="AF19" s="155"/>
      <c r="AG19" s="155"/>
      <c r="AH19" s="156"/>
      <c r="AI19" s="161"/>
      <c r="AJ19" s="206">
        <f>AJ5/(AJ5+AK5+AL5+AM5+AJ7+AK7+AL7)</f>
        <v>0.3342524252257103</v>
      </c>
      <c r="AK19" s="206">
        <f>AK5/(AJ7+AJ5+AL5+AL7+AK5+AK7+AM5)</f>
        <v>3.7139158358411681E-2</v>
      </c>
      <c r="AL19" s="206">
        <f>AL5/(AJ7+AJ5+AL5+AL7+AK5+AK7+AM5)</f>
        <v>7.5472015333142808E-2</v>
      </c>
      <c r="AM19" s="113"/>
      <c r="AO19" s="289"/>
      <c r="AP19" s="152" t="s">
        <v>66</v>
      </c>
      <c r="AQ19" s="141">
        <v>13.806249999999812</v>
      </c>
      <c r="AR19" s="142">
        <v>1</v>
      </c>
      <c r="AS19" s="142">
        <v>13.806249999999812</v>
      </c>
      <c r="AT19" s="142">
        <v>17.913358941527708</v>
      </c>
      <c r="AU19" s="153">
        <v>1.4085825315765442E-4</v>
      </c>
      <c r="AV19" s="173">
        <v>0.32037708484408689</v>
      </c>
      <c r="AW19" s="112"/>
      <c r="AX19" s="112"/>
      <c r="AY19" s="112"/>
      <c r="AZ19" s="112"/>
      <c r="BA19" s="112"/>
      <c r="BB19" s="112"/>
      <c r="BC19" s="112"/>
      <c r="BD19" s="113"/>
      <c r="BF19" s="289"/>
      <c r="BG19" s="152" t="s">
        <v>66</v>
      </c>
      <c r="BH19" s="141">
        <v>1.0125</v>
      </c>
      <c r="BI19" s="142">
        <v>1</v>
      </c>
      <c r="BJ19" s="142">
        <v>1.0125</v>
      </c>
      <c r="BK19" s="142">
        <v>1.5093167701863353</v>
      </c>
      <c r="BL19" s="153">
        <v>0.22721444411649572</v>
      </c>
      <c r="BM19" s="173">
        <v>4.0238450074515646E-2</v>
      </c>
      <c r="BN19" s="191"/>
      <c r="BO19" s="112"/>
      <c r="BP19" s="112"/>
      <c r="BQ19" s="112"/>
      <c r="BR19" s="112"/>
      <c r="BS19" s="112"/>
      <c r="BT19" s="112"/>
      <c r="BU19" s="113"/>
    </row>
    <row r="20" spans="2:73" ht="38.25" customHeight="1" thickTop="1" thickBot="1">
      <c r="F20" s="213"/>
      <c r="G20" s="40"/>
      <c r="H20" s="40"/>
      <c r="I20" s="40"/>
      <c r="N20" s="114" t="s">
        <v>60</v>
      </c>
      <c r="O20" s="61" t="s">
        <v>61</v>
      </c>
      <c r="P20" s="62" t="s">
        <v>44</v>
      </c>
      <c r="Q20" s="62" t="s">
        <v>62</v>
      </c>
      <c r="R20" s="62" t="s">
        <v>0</v>
      </c>
      <c r="S20" s="62" t="s">
        <v>63</v>
      </c>
      <c r="T20" s="63" t="s">
        <v>77</v>
      </c>
      <c r="U20" s="112"/>
      <c r="V20" s="112"/>
      <c r="W20" s="41" t="s">
        <v>148</v>
      </c>
      <c r="X20" s="41" t="s">
        <v>148</v>
      </c>
      <c r="Y20" s="109" t="s">
        <v>148</v>
      </c>
      <c r="AA20" s="289"/>
      <c r="AB20" s="152" t="s">
        <v>67</v>
      </c>
      <c r="AC20" s="141">
        <v>126.94375000000004</v>
      </c>
      <c r="AD20" s="142">
        <v>39</v>
      </c>
      <c r="AE20" s="142">
        <v>3.2549679487179497</v>
      </c>
      <c r="AF20" s="155"/>
      <c r="AG20" s="155"/>
      <c r="AH20" s="156"/>
      <c r="AI20" s="161"/>
      <c r="AJ20" s="112"/>
      <c r="AK20" s="112"/>
      <c r="AL20" s="112"/>
      <c r="AM20" s="113"/>
      <c r="AO20" s="289"/>
      <c r="AP20" s="152" t="s">
        <v>67</v>
      </c>
      <c r="AQ20" s="141">
        <v>13.806249999999812</v>
      </c>
      <c r="AR20" s="142">
        <v>1</v>
      </c>
      <c r="AS20" s="142">
        <v>13.806249999999812</v>
      </c>
      <c r="AT20" s="142">
        <v>17.913358941527708</v>
      </c>
      <c r="AU20" s="153">
        <v>1.4085825315765442E-4</v>
      </c>
      <c r="AV20" s="173">
        <v>0.32037708484408689</v>
      </c>
      <c r="AW20" s="112"/>
      <c r="AX20" s="112"/>
      <c r="AY20" s="112"/>
      <c r="AZ20" s="112"/>
      <c r="BA20" s="112"/>
      <c r="BB20" s="112"/>
      <c r="BC20" s="112"/>
      <c r="BD20" s="113"/>
      <c r="BF20" s="289"/>
      <c r="BG20" s="152" t="s">
        <v>67</v>
      </c>
      <c r="BH20" s="141">
        <v>1.0125</v>
      </c>
      <c r="BI20" s="142">
        <v>1</v>
      </c>
      <c r="BJ20" s="142">
        <v>1.0125</v>
      </c>
      <c r="BK20" s="142">
        <v>1.5093167701863353</v>
      </c>
      <c r="BL20" s="153">
        <v>0.22721444411649572</v>
      </c>
      <c r="BM20" s="173">
        <v>4.0238450074515646E-2</v>
      </c>
      <c r="BN20" s="191"/>
      <c r="BO20" s="112"/>
      <c r="BP20" s="112"/>
      <c r="BQ20" s="112"/>
      <c r="BR20" s="112"/>
      <c r="BS20" s="112"/>
      <c r="BT20" s="112"/>
      <c r="BU20" s="113"/>
    </row>
    <row r="21" spans="2:73" ht="15" thickTop="1">
      <c r="F21" s="213"/>
      <c r="G21" s="213"/>
      <c r="H21" s="213"/>
      <c r="I21" s="213"/>
      <c r="N21" s="115" t="s">
        <v>70</v>
      </c>
      <c r="O21" s="65">
        <v>2820.3124999999995</v>
      </c>
      <c r="P21" s="66">
        <v>1</v>
      </c>
      <c r="Q21" s="67">
        <v>2820.3124999999995</v>
      </c>
      <c r="R21" s="67">
        <v>4488.8743455497379</v>
      </c>
      <c r="S21" s="83">
        <v>4.6413893584602195E-41</v>
      </c>
      <c r="T21" s="68">
        <v>0.99160568703715912</v>
      </c>
      <c r="U21" s="112"/>
      <c r="V21" s="112"/>
      <c r="W21" s="208">
        <f>W5/(W5+W7)</f>
        <v>0.39074960127591718</v>
      </c>
      <c r="X21" s="208">
        <f>X5/(X5+Y5+X7)</f>
        <v>0.351623376623377</v>
      </c>
      <c r="Y21" s="209">
        <f>Y5/(X5+Y5+X7)</f>
        <v>0.42954545454545429</v>
      </c>
      <c r="AA21" s="289" t="s">
        <v>135</v>
      </c>
      <c r="AB21" s="152" t="s">
        <v>64</v>
      </c>
      <c r="AC21" s="141">
        <v>28.056249999999999</v>
      </c>
      <c r="AD21" s="143">
        <v>1</v>
      </c>
      <c r="AE21" s="142">
        <v>28.056250000000045</v>
      </c>
      <c r="AF21" s="142">
        <v>46.18069111052499</v>
      </c>
      <c r="AG21" s="153">
        <v>4.0937912175439387E-8</v>
      </c>
      <c r="AH21" s="154">
        <v>0.54214975845410662</v>
      </c>
      <c r="AI21" s="161"/>
      <c r="AJ21" s="112"/>
      <c r="AK21" s="112"/>
      <c r="AL21" s="112"/>
      <c r="AM21" s="113"/>
      <c r="AO21" s="289" t="s">
        <v>141</v>
      </c>
      <c r="AP21" s="152" t="s">
        <v>64</v>
      </c>
      <c r="AQ21" s="141">
        <v>97.65625</v>
      </c>
      <c r="AR21" s="143">
        <v>1</v>
      </c>
      <c r="AS21" s="142">
        <v>97.656250000000028</v>
      </c>
      <c r="AT21" s="142">
        <v>126.7072129748186</v>
      </c>
      <c r="AU21" s="153">
        <v>1.1515827860895726E-13</v>
      </c>
      <c r="AV21" s="173">
        <v>0.7692875781596179</v>
      </c>
      <c r="AW21" s="112"/>
      <c r="AX21" s="112"/>
      <c r="AY21" s="112"/>
      <c r="AZ21" s="112"/>
      <c r="BA21" s="112"/>
      <c r="BB21" s="112"/>
      <c r="BC21" s="112"/>
      <c r="BD21" s="113"/>
      <c r="BF21" s="289" t="s">
        <v>132</v>
      </c>
      <c r="BG21" s="152" t="s">
        <v>64</v>
      </c>
      <c r="BH21" s="141">
        <v>24.15</v>
      </c>
      <c r="BI21" s="143">
        <v>36</v>
      </c>
      <c r="BJ21" s="153">
        <v>0.67083333333333295</v>
      </c>
      <c r="BK21" s="155"/>
      <c r="BL21" s="155"/>
      <c r="BM21" s="174"/>
      <c r="BN21" s="191"/>
      <c r="BO21" s="112"/>
      <c r="BP21" s="112"/>
      <c r="BQ21" s="112"/>
      <c r="BR21" s="112"/>
      <c r="BS21" s="112"/>
      <c r="BT21" s="112"/>
      <c r="BU21" s="113"/>
    </row>
    <row r="22" spans="2:73">
      <c r="F22" s="213"/>
      <c r="G22" s="213"/>
      <c r="H22" s="213"/>
      <c r="I22" s="213"/>
      <c r="N22" s="116" t="s">
        <v>142</v>
      </c>
      <c r="O22" s="70">
        <v>15.312500000000005</v>
      </c>
      <c r="P22" s="73">
        <v>1</v>
      </c>
      <c r="Q22" s="71">
        <v>15.312500000000005</v>
      </c>
      <c r="R22" s="71">
        <v>24.371727748691111</v>
      </c>
      <c r="S22" s="74">
        <v>1.6172259455137557E-5</v>
      </c>
      <c r="T22" s="72">
        <v>0.39074960127591718</v>
      </c>
      <c r="U22" s="112"/>
      <c r="V22" s="112"/>
      <c r="W22" s="227"/>
      <c r="X22" s="227"/>
      <c r="Y22" s="228"/>
      <c r="AA22" s="289"/>
      <c r="AB22" s="152" t="s">
        <v>65</v>
      </c>
      <c r="AC22" s="141">
        <v>28.056250000000045</v>
      </c>
      <c r="AD22" s="142">
        <v>1</v>
      </c>
      <c r="AE22" s="142">
        <v>28.056250000000045</v>
      </c>
      <c r="AF22" s="142">
        <v>46.18069111052499</v>
      </c>
      <c r="AG22" s="153">
        <v>4.0937912175439387E-8</v>
      </c>
      <c r="AH22" s="154">
        <v>0.54214975845410662</v>
      </c>
      <c r="AI22" s="161"/>
      <c r="AJ22" s="112"/>
      <c r="AK22" s="112"/>
      <c r="AL22" s="112"/>
      <c r="AM22" s="113"/>
      <c r="AO22" s="289"/>
      <c r="AP22" s="152" t="s">
        <v>65</v>
      </c>
      <c r="AQ22" s="141">
        <v>97.656250000000028</v>
      </c>
      <c r="AR22" s="142">
        <v>1</v>
      </c>
      <c r="AS22" s="142">
        <v>97.656250000000028</v>
      </c>
      <c r="AT22" s="142">
        <v>126.7072129748186</v>
      </c>
      <c r="AU22" s="153">
        <v>1.1515827860895726E-13</v>
      </c>
      <c r="AV22" s="173">
        <v>0.7692875781596179</v>
      </c>
      <c r="AW22" s="112"/>
      <c r="AX22" s="112"/>
      <c r="AY22" s="112"/>
      <c r="AZ22" s="112"/>
      <c r="BA22" s="112"/>
      <c r="BB22" s="112"/>
      <c r="BC22" s="112"/>
      <c r="BD22" s="113"/>
      <c r="BF22" s="289"/>
      <c r="BG22" s="152" t="s">
        <v>65</v>
      </c>
      <c r="BH22" s="141">
        <v>24.150000000000002</v>
      </c>
      <c r="BI22" s="142">
        <v>36</v>
      </c>
      <c r="BJ22" s="153">
        <v>0.67083333333333339</v>
      </c>
      <c r="BK22" s="155"/>
      <c r="BL22" s="155"/>
      <c r="BM22" s="174"/>
      <c r="BN22" s="137"/>
      <c r="BO22" s="112"/>
      <c r="BP22" s="112"/>
      <c r="BQ22" s="112"/>
      <c r="BR22" s="112"/>
      <c r="BS22" s="112"/>
      <c r="BT22" s="112"/>
      <c r="BU22" s="113"/>
    </row>
    <row r="23" spans="2:73" ht="15" thickBot="1">
      <c r="F23" s="213"/>
      <c r="G23" s="213"/>
      <c r="H23" s="213"/>
      <c r="I23" s="213"/>
      <c r="N23" s="117" t="s">
        <v>71</v>
      </c>
      <c r="O23" s="118">
        <v>23.874999999999996</v>
      </c>
      <c r="P23" s="119">
        <v>38</v>
      </c>
      <c r="Q23" s="120">
        <v>0.6282894736842104</v>
      </c>
      <c r="R23" s="121"/>
      <c r="S23" s="121"/>
      <c r="T23" s="122"/>
      <c r="U23" s="123"/>
      <c r="V23" s="123"/>
      <c r="W23" s="123"/>
      <c r="X23" s="123"/>
      <c r="Y23" s="229"/>
      <c r="AA23" s="289"/>
      <c r="AB23" s="152" t="s">
        <v>66</v>
      </c>
      <c r="AC23" s="141">
        <v>28.056250000000045</v>
      </c>
      <c r="AD23" s="142">
        <v>1</v>
      </c>
      <c r="AE23" s="142">
        <v>28.056250000000045</v>
      </c>
      <c r="AF23" s="142">
        <v>46.18069111052499</v>
      </c>
      <c r="AG23" s="153">
        <v>4.0937912175439387E-8</v>
      </c>
      <c r="AH23" s="154">
        <v>0.54214975845410662</v>
      </c>
      <c r="AI23" s="161"/>
      <c r="AJ23" s="112"/>
      <c r="AK23" s="112"/>
      <c r="AL23" s="112"/>
      <c r="AM23" s="113"/>
      <c r="AO23" s="289"/>
      <c r="AP23" s="152" t="s">
        <v>66</v>
      </c>
      <c r="AQ23" s="141">
        <v>97.656250000000028</v>
      </c>
      <c r="AR23" s="142">
        <v>1</v>
      </c>
      <c r="AS23" s="142">
        <v>97.656250000000028</v>
      </c>
      <c r="AT23" s="142">
        <v>126.7072129748186</v>
      </c>
      <c r="AU23" s="153">
        <v>1.1515827860895726E-13</v>
      </c>
      <c r="AV23" s="173">
        <v>0.7692875781596179</v>
      </c>
      <c r="AW23" s="112"/>
      <c r="AX23" s="112"/>
      <c r="AY23" s="112"/>
      <c r="AZ23" s="112"/>
      <c r="BA23" s="112"/>
      <c r="BB23" s="112"/>
      <c r="BC23" s="112"/>
      <c r="BD23" s="113"/>
      <c r="BF23" s="289"/>
      <c r="BG23" s="152" t="s">
        <v>66</v>
      </c>
      <c r="BH23" s="141">
        <v>24.150000000000002</v>
      </c>
      <c r="BI23" s="142">
        <v>36</v>
      </c>
      <c r="BJ23" s="153">
        <v>0.67083333333333339</v>
      </c>
      <c r="BK23" s="155"/>
      <c r="BL23" s="155"/>
      <c r="BM23" s="174"/>
      <c r="BN23" s="191"/>
      <c r="BO23" s="112"/>
      <c r="BP23" s="112"/>
      <c r="BQ23" s="112"/>
      <c r="BR23" s="112"/>
      <c r="BS23" s="112"/>
      <c r="BT23" s="112"/>
      <c r="BU23" s="113"/>
    </row>
    <row r="24" spans="2:73" ht="15" thickBot="1">
      <c r="F24" s="213"/>
      <c r="G24" s="213"/>
      <c r="H24" s="213"/>
      <c r="I24" s="213"/>
      <c r="AA24" s="289"/>
      <c r="AB24" s="152" t="s">
        <v>67</v>
      </c>
      <c r="AC24" s="141">
        <v>28.056249999999999</v>
      </c>
      <c r="AD24" s="142">
        <v>1</v>
      </c>
      <c r="AE24" s="142">
        <v>28.056250000000045</v>
      </c>
      <c r="AF24" s="142">
        <v>46.18069111052499</v>
      </c>
      <c r="AG24" s="153">
        <v>4.0937912175439387E-8</v>
      </c>
      <c r="AH24" s="154">
        <v>0.54214975845410662</v>
      </c>
      <c r="AI24" s="161"/>
      <c r="AJ24" s="112"/>
      <c r="AK24" s="112"/>
      <c r="AL24" s="112"/>
      <c r="AM24" s="113"/>
      <c r="AO24" s="289"/>
      <c r="AP24" s="152" t="s">
        <v>67</v>
      </c>
      <c r="AQ24" s="141">
        <v>97.656250000000028</v>
      </c>
      <c r="AR24" s="142">
        <v>1</v>
      </c>
      <c r="AS24" s="142">
        <v>97.656250000000028</v>
      </c>
      <c r="AT24" s="142">
        <v>126.7072129748186</v>
      </c>
      <c r="AU24" s="153">
        <v>1.1515827860895726E-13</v>
      </c>
      <c r="AV24" s="173">
        <v>0.7692875781596179</v>
      </c>
      <c r="AW24" s="112"/>
      <c r="AX24" s="112"/>
      <c r="AY24" s="112"/>
      <c r="AZ24" s="112"/>
      <c r="BA24" s="112"/>
      <c r="BB24" s="112"/>
      <c r="BC24" s="112"/>
      <c r="BD24" s="113"/>
      <c r="BF24" s="290"/>
      <c r="BG24" s="175" t="s">
        <v>67</v>
      </c>
      <c r="BH24" s="166">
        <v>24.150000000000002</v>
      </c>
      <c r="BI24" s="176">
        <v>36</v>
      </c>
      <c r="BJ24" s="168">
        <v>0.67083333333333339</v>
      </c>
      <c r="BK24" s="169"/>
      <c r="BL24" s="169"/>
      <c r="BM24" s="170"/>
      <c r="BN24" s="191"/>
      <c r="BO24" s="112"/>
      <c r="BP24" s="112"/>
      <c r="BQ24" s="112"/>
      <c r="BR24" s="112"/>
      <c r="BS24" s="112"/>
      <c r="BT24" s="112"/>
      <c r="BU24" s="113"/>
    </row>
    <row r="25" spans="2:73" ht="15" thickBot="1">
      <c r="F25" s="213"/>
      <c r="G25" s="213"/>
      <c r="H25" s="213"/>
      <c r="I25" s="213"/>
      <c r="X25" s="213"/>
      <c r="AA25" s="289" t="s">
        <v>136</v>
      </c>
      <c r="AB25" s="152" t="s">
        <v>64</v>
      </c>
      <c r="AC25" s="141">
        <v>23.693750000000001</v>
      </c>
      <c r="AD25" s="143">
        <v>39</v>
      </c>
      <c r="AE25" s="153">
        <v>0.60753205128205101</v>
      </c>
      <c r="AF25" s="155"/>
      <c r="AG25" s="155"/>
      <c r="AH25" s="156"/>
      <c r="AI25" s="161"/>
      <c r="AJ25" s="112"/>
      <c r="AK25" s="112"/>
      <c r="AL25" s="112"/>
      <c r="AM25" s="113"/>
      <c r="AO25" s="289" t="s">
        <v>134</v>
      </c>
      <c r="AP25" s="152" t="s">
        <v>64</v>
      </c>
      <c r="AQ25" s="141">
        <v>29.287500000000001</v>
      </c>
      <c r="AR25" s="143">
        <v>38</v>
      </c>
      <c r="AS25" s="153">
        <v>0.77072368421052695</v>
      </c>
      <c r="AT25" s="155"/>
      <c r="AU25" s="155"/>
      <c r="AV25" s="174"/>
      <c r="AW25" s="112"/>
      <c r="AX25" s="112"/>
      <c r="AY25" s="112"/>
      <c r="AZ25" s="112"/>
      <c r="BA25" s="112"/>
      <c r="BB25" s="112"/>
      <c r="BC25" s="112"/>
      <c r="BD25" s="113"/>
      <c r="BF25" s="111"/>
      <c r="BG25" s="112"/>
      <c r="BH25" s="112"/>
      <c r="BI25" s="112"/>
      <c r="BJ25" s="112"/>
      <c r="BK25" s="112"/>
      <c r="BL25" s="112"/>
      <c r="BM25" s="112"/>
      <c r="BN25" s="112"/>
      <c r="BO25" s="112"/>
      <c r="BP25" s="112"/>
      <c r="BQ25" s="112"/>
      <c r="BR25" s="112"/>
      <c r="BS25" s="112"/>
      <c r="BT25" s="112"/>
      <c r="BU25" s="113"/>
    </row>
    <row r="26" spans="2:73">
      <c r="G26" s="217"/>
      <c r="H26" s="217"/>
      <c r="AA26" s="289"/>
      <c r="AB26" s="152" t="s">
        <v>65</v>
      </c>
      <c r="AC26" s="141">
        <v>23.693750000000005</v>
      </c>
      <c r="AD26" s="142">
        <v>39</v>
      </c>
      <c r="AE26" s="153">
        <v>0.60753205128205101</v>
      </c>
      <c r="AF26" s="155"/>
      <c r="AG26" s="155"/>
      <c r="AH26" s="156"/>
      <c r="AI26" s="161"/>
      <c r="AJ26" s="112"/>
      <c r="AK26" s="112"/>
      <c r="AL26" s="112"/>
      <c r="AM26" s="113"/>
      <c r="AO26" s="289"/>
      <c r="AP26" s="152" t="s">
        <v>65</v>
      </c>
      <c r="AQ26" s="141">
        <v>29.287500000000009</v>
      </c>
      <c r="AR26" s="142">
        <v>38</v>
      </c>
      <c r="AS26" s="153">
        <v>0.77072368421052651</v>
      </c>
      <c r="AT26" s="155"/>
      <c r="AU26" s="155"/>
      <c r="AV26" s="174"/>
      <c r="AW26" s="112"/>
      <c r="AX26" s="112"/>
      <c r="AY26" s="112"/>
      <c r="AZ26" s="112"/>
      <c r="BA26" s="112"/>
      <c r="BB26" s="112"/>
      <c r="BC26" s="112"/>
      <c r="BD26" s="113"/>
      <c r="BF26" s="291" t="s">
        <v>68</v>
      </c>
      <c r="BG26" s="292"/>
      <c r="BH26" s="292"/>
      <c r="BI26" s="292"/>
      <c r="BJ26" s="292"/>
      <c r="BK26" s="292"/>
      <c r="BL26" s="293"/>
      <c r="BM26" s="112"/>
      <c r="BN26" s="112"/>
      <c r="BO26" s="112"/>
      <c r="BP26" s="112"/>
      <c r="BQ26" s="112"/>
      <c r="BR26" s="112"/>
      <c r="BS26" s="112"/>
      <c r="BT26" s="112"/>
      <c r="BU26" s="113"/>
    </row>
    <row r="27" spans="2:73" ht="15" thickBot="1">
      <c r="G27" s="217"/>
      <c r="H27" s="217"/>
      <c r="AA27" s="289"/>
      <c r="AB27" s="152" t="s">
        <v>66</v>
      </c>
      <c r="AC27" s="141">
        <v>23.693750000000005</v>
      </c>
      <c r="AD27" s="142">
        <v>39</v>
      </c>
      <c r="AE27" s="153">
        <v>0.60753205128205146</v>
      </c>
      <c r="AF27" s="155"/>
      <c r="AG27" s="155"/>
      <c r="AH27" s="156"/>
      <c r="AI27" s="161"/>
      <c r="AJ27" s="112"/>
      <c r="AK27" s="112"/>
      <c r="AL27" s="112"/>
      <c r="AM27" s="113"/>
      <c r="AO27" s="289"/>
      <c r="AP27" s="152" t="s">
        <v>66</v>
      </c>
      <c r="AQ27" s="141">
        <v>29.287500000000009</v>
      </c>
      <c r="AR27" s="142">
        <v>38</v>
      </c>
      <c r="AS27" s="153">
        <v>0.77072368421052651</v>
      </c>
      <c r="AT27" s="155"/>
      <c r="AU27" s="155"/>
      <c r="AV27" s="174"/>
      <c r="AW27" s="112"/>
      <c r="AX27" s="112"/>
      <c r="AY27" s="112"/>
      <c r="AZ27" s="112"/>
      <c r="BA27" s="112"/>
      <c r="BB27" s="112"/>
      <c r="BC27" s="112"/>
      <c r="BD27" s="113"/>
      <c r="BF27" s="289" t="s">
        <v>69</v>
      </c>
      <c r="BG27" s="294"/>
      <c r="BH27" s="294"/>
      <c r="BI27" s="294"/>
      <c r="BJ27" s="294"/>
      <c r="BK27" s="294"/>
      <c r="BL27" s="295"/>
      <c r="BM27" s="112"/>
      <c r="BN27" s="112"/>
      <c r="BO27" s="112"/>
      <c r="BP27" s="112"/>
      <c r="BQ27" s="112"/>
      <c r="BR27" s="112"/>
      <c r="BS27" s="112"/>
      <c r="BT27" s="112"/>
      <c r="BU27" s="113"/>
    </row>
    <row r="28" spans="2:73" ht="25" thickTop="1" thickBot="1">
      <c r="G28" s="217"/>
      <c r="H28" s="217"/>
      <c r="AA28" s="315"/>
      <c r="AB28" s="157" t="s">
        <v>67</v>
      </c>
      <c r="AC28" s="144">
        <v>23.693750000000005</v>
      </c>
      <c r="AD28" s="145">
        <v>39</v>
      </c>
      <c r="AE28" s="158">
        <v>0.60753205128205146</v>
      </c>
      <c r="AF28" s="159"/>
      <c r="AG28" s="159"/>
      <c r="AH28" s="160"/>
      <c r="AI28" s="161"/>
      <c r="AJ28" s="112"/>
      <c r="AK28" s="112"/>
      <c r="AL28" s="112"/>
      <c r="AM28" s="113"/>
      <c r="AO28" s="289"/>
      <c r="AP28" s="152" t="s">
        <v>67</v>
      </c>
      <c r="AQ28" s="141">
        <v>29.287500000000009</v>
      </c>
      <c r="AR28" s="142">
        <v>38</v>
      </c>
      <c r="AS28" s="153">
        <v>0.77072368421052651</v>
      </c>
      <c r="AT28" s="155"/>
      <c r="AU28" s="155"/>
      <c r="AV28" s="174"/>
      <c r="AW28" s="112"/>
      <c r="AX28" s="112"/>
      <c r="AY28" s="112"/>
      <c r="AZ28" s="112"/>
      <c r="BA28" s="112"/>
      <c r="BB28" s="112"/>
      <c r="BC28" s="112"/>
      <c r="BD28" s="113"/>
      <c r="BF28" s="308" t="s">
        <v>60</v>
      </c>
      <c r="BG28" s="146" t="s">
        <v>61</v>
      </c>
      <c r="BH28" s="147" t="s">
        <v>44</v>
      </c>
      <c r="BI28" s="147" t="s">
        <v>62</v>
      </c>
      <c r="BJ28" s="147" t="s">
        <v>0</v>
      </c>
      <c r="BK28" s="147" t="s">
        <v>63</v>
      </c>
      <c r="BL28" s="162" t="s">
        <v>77</v>
      </c>
      <c r="BM28" s="112"/>
      <c r="BN28" s="112"/>
      <c r="BO28" s="112"/>
      <c r="BP28" s="112"/>
      <c r="BQ28" s="112"/>
      <c r="BR28" s="112"/>
      <c r="BS28" s="112"/>
      <c r="BT28" s="112"/>
      <c r="BU28" s="113"/>
    </row>
    <row r="29" spans="2:73" ht="16" thickTop="1" thickBot="1">
      <c r="AA29" s="111"/>
      <c r="AB29" s="112"/>
      <c r="AC29" s="112"/>
      <c r="AD29" s="112"/>
      <c r="AE29" s="112"/>
      <c r="AF29" s="112"/>
      <c r="AG29" s="112"/>
      <c r="AH29" s="112"/>
      <c r="AI29" s="112"/>
      <c r="AJ29" s="112"/>
      <c r="AK29" s="112"/>
      <c r="AL29" s="112"/>
      <c r="AM29" s="113"/>
      <c r="AO29" s="289" t="s">
        <v>135</v>
      </c>
      <c r="AP29" s="152" t="s">
        <v>64</v>
      </c>
      <c r="AQ29" s="141">
        <v>28.056250000000301</v>
      </c>
      <c r="AR29" s="143">
        <v>1</v>
      </c>
      <c r="AS29" s="142">
        <v>28.056250000000272</v>
      </c>
      <c r="AT29" s="142">
        <v>45.008443271768236</v>
      </c>
      <c r="AU29" s="153">
        <v>6.1083255733091363E-8</v>
      </c>
      <c r="AV29" s="173">
        <v>0.54221524338688476</v>
      </c>
      <c r="AW29" s="112"/>
      <c r="AX29" s="112"/>
      <c r="AY29" s="112"/>
      <c r="AZ29" s="112"/>
      <c r="BA29" s="112"/>
      <c r="BB29" s="112"/>
      <c r="BC29" s="112"/>
      <c r="BD29" s="113"/>
      <c r="BF29" s="163" t="s">
        <v>70</v>
      </c>
      <c r="BG29" s="138">
        <v>2820.3124999999995</v>
      </c>
      <c r="BH29" s="140">
        <v>1</v>
      </c>
      <c r="BI29" s="139">
        <v>2820.3124999999995</v>
      </c>
      <c r="BJ29" s="139">
        <v>4668.1034482758614</v>
      </c>
      <c r="BK29" s="150">
        <v>1.0745208097165816E-39</v>
      </c>
      <c r="BL29" s="164">
        <v>0.99234710707452778</v>
      </c>
      <c r="BM29" s="112"/>
      <c r="BN29" s="112"/>
      <c r="BO29" s="112"/>
      <c r="BP29" s="112"/>
      <c r="BQ29" s="112"/>
      <c r="BR29" s="112"/>
      <c r="BS29" s="112"/>
      <c r="BT29" s="112"/>
      <c r="BU29" s="113"/>
    </row>
    <row r="30" spans="2:73">
      <c r="AA30" s="291" t="s">
        <v>68</v>
      </c>
      <c r="AB30" s="292"/>
      <c r="AC30" s="292"/>
      <c r="AD30" s="292"/>
      <c r="AE30" s="292"/>
      <c r="AF30" s="292"/>
      <c r="AG30" s="293"/>
      <c r="AH30" s="112"/>
      <c r="AI30" s="112"/>
      <c r="AJ30" s="112"/>
      <c r="AK30" s="112"/>
      <c r="AL30" s="112"/>
      <c r="AM30" s="113"/>
      <c r="AO30" s="289"/>
      <c r="AP30" s="152" t="s">
        <v>65</v>
      </c>
      <c r="AQ30" s="141">
        <v>28.056250000000272</v>
      </c>
      <c r="AR30" s="142">
        <v>1</v>
      </c>
      <c r="AS30" s="142">
        <v>28.056250000000272</v>
      </c>
      <c r="AT30" s="142">
        <v>45.008443271768236</v>
      </c>
      <c r="AU30" s="153">
        <v>6.1083255733091363E-8</v>
      </c>
      <c r="AV30" s="173">
        <v>0.54221524338688476</v>
      </c>
      <c r="AW30" s="112"/>
      <c r="AX30" s="112"/>
      <c r="AY30" s="112"/>
      <c r="AZ30" s="112"/>
      <c r="BA30" s="112"/>
      <c r="BB30" s="112"/>
      <c r="BC30" s="112"/>
      <c r="BD30" s="113"/>
      <c r="BF30" s="189" t="s">
        <v>143</v>
      </c>
      <c r="BG30" s="141">
        <v>15.3125</v>
      </c>
      <c r="BH30" s="143">
        <v>1</v>
      </c>
      <c r="BI30" s="142">
        <v>15.312500000000005</v>
      </c>
      <c r="BJ30" s="142">
        <v>25.344827586206904</v>
      </c>
      <c r="BK30" s="153">
        <v>1.3525672554974073E-5</v>
      </c>
      <c r="BL30" s="173">
        <v>0.41315345699831374</v>
      </c>
      <c r="BM30" s="112"/>
      <c r="BN30" s="112"/>
      <c r="BO30" s="112"/>
      <c r="BP30" s="112"/>
      <c r="BQ30" s="112"/>
      <c r="BR30" s="112"/>
      <c r="BS30" s="112"/>
      <c r="BT30" s="112"/>
      <c r="BU30" s="113"/>
    </row>
    <row r="31" spans="2:73" ht="15" thickBot="1">
      <c r="AA31" s="289" t="s">
        <v>69</v>
      </c>
      <c r="AB31" s="294"/>
      <c r="AC31" s="294"/>
      <c r="AD31" s="294"/>
      <c r="AE31" s="294"/>
      <c r="AF31" s="294"/>
      <c r="AG31" s="295"/>
      <c r="AH31" s="112"/>
      <c r="AI31" s="112"/>
      <c r="AJ31" s="112"/>
      <c r="AK31" s="112"/>
      <c r="AL31" s="112"/>
      <c r="AM31" s="113"/>
      <c r="AO31" s="289"/>
      <c r="AP31" s="152" t="s">
        <v>66</v>
      </c>
      <c r="AQ31" s="141">
        <v>28.056250000000272</v>
      </c>
      <c r="AR31" s="142">
        <v>1</v>
      </c>
      <c r="AS31" s="142">
        <v>28.056250000000272</v>
      </c>
      <c r="AT31" s="142">
        <v>45.008443271768236</v>
      </c>
      <c r="AU31" s="153">
        <v>6.1083255733091363E-8</v>
      </c>
      <c r="AV31" s="173">
        <v>0.54221524338688476</v>
      </c>
      <c r="AW31" s="112"/>
      <c r="AX31" s="112"/>
      <c r="AY31" s="112"/>
      <c r="AZ31" s="112"/>
      <c r="BA31" s="112"/>
      <c r="BB31" s="112"/>
      <c r="BC31" s="112"/>
      <c r="BD31" s="113"/>
      <c r="BF31" s="189" t="s">
        <v>144</v>
      </c>
      <c r="BG31" s="172">
        <v>1.2500000000000001E-2</v>
      </c>
      <c r="BH31" s="143">
        <v>1</v>
      </c>
      <c r="BI31" s="153">
        <v>1.2499999999999985E-2</v>
      </c>
      <c r="BJ31" s="153">
        <v>2.0689655172413769E-2</v>
      </c>
      <c r="BK31" s="153">
        <v>0.88642979237029995</v>
      </c>
      <c r="BL31" s="173">
        <v>5.7438253877082073E-4</v>
      </c>
      <c r="BM31" s="112"/>
      <c r="BN31" s="112"/>
      <c r="BO31" s="112"/>
      <c r="BP31" s="112"/>
      <c r="BQ31" s="112"/>
      <c r="BR31" s="112"/>
      <c r="BS31" s="112"/>
      <c r="BT31" s="112"/>
      <c r="BU31" s="113"/>
    </row>
    <row r="32" spans="2:73" ht="25" thickTop="1" thickBot="1">
      <c r="AA32" s="308" t="s">
        <v>60</v>
      </c>
      <c r="AB32" s="146" t="s">
        <v>61</v>
      </c>
      <c r="AC32" s="147" t="s">
        <v>44</v>
      </c>
      <c r="AD32" s="147" t="s">
        <v>62</v>
      </c>
      <c r="AE32" s="147" t="s">
        <v>0</v>
      </c>
      <c r="AF32" s="147" t="s">
        <v>63</v>
      </c>
      <c r="AG32" s="162" t="s">
        <v>77</v>
      </c>
      <c r="AH32" s="112"/>
      <c r="AI32" s="112"/>
      <c r="AJ32" s="112"/>
      <c r="AK32" s="112"/>
      <c r="AL32" s="112"/>
      <c r="AM32" s="113"/>
      <c r="AO32" s="289"/>
      <c r="AP32" s="152" t="s">
        <v>67</v>
      </c>
      <c r="AQ32" s="141">
        <v>28.056250000000272</v>
      </c>
      <c r="AR32" s="142">
        <v>1</v>
      </c>
      <c r="AS32" s="142">
        <v>28.056250000000272</v>
      </c>
      <c r="AT32" s="142">
        <v>45.008443271768236</v>
      </c>
      <c r="AU32" s="153">
        <v>6.1083255733091363E-8</v>
      </c>
      <c r="AV32" s="173">
        <v>0.54221524338688476</v>
      </c>
      <c r="AW32" s="112"/>
      <c r="AX32" s="112"/>
      <c r="AY32" s="112"/>
      <c r="AZ32" s="112"/>
      <c r="BA32" s="112"/>
      <c r="BB32" s="112"/>
      <c r="BC32" s="112"/>
      <c r="BD32" s="113"/>
      <c r="BF32" s="189" t="s">
        <v>145</v>
      </c>
      <c r="BG32" s="141">
        <v>2.1124999999999998</v>
      </c>
      <c r="BH32" s="143">
        <v>1</v>
      </c>
      <c r="BI32" s="142">
        <v>2.1124999999999998</v>
      </c>
      <c r="BJ32" s="142">
        <v>3.4965517241379307</v>
      </c>
      <c r="BK32" s="153">
        <v>6.9646315446477786E-2</v>
      </c>
      <c r="BL32" s="173">
        <v>8.8528025144054473E-2</v>
      </c>
      <c r="BM32" s="112"/>
      <c r="BN32" s="112"/>
      <c r="BO32" s="112"/>
      <c r="BP32" s="112"/>
      <c r="BQ32" s="112"/>
      <c r="BR32" s="112"/>
      <c r="BS32" s="112"/>
      <c r="BT32" s="112"/>
      <c r="BU32" s="113"/>
    </row>
    <row r="33" spans="27:73" ht="16" thickTop="1" thickBot="1">
      <c r="AA33" s="163" t="s">
        <v>70</v>
      </c>
      <c r="AB33" s="138">
        <v>7439.2562500000022</v>
      </c>
      <c r="AC33" s="140">
        <v>1</v>
      </c>
      <c r="AD33" s="139">
        <v>7439.2562500000022</v>
      </c>
      <c r="AE33" s="139">
        <v>10552.616276426461</v>
      </c>
      <c r="AF33" s="150">
        <v>4.3992862387599963E-49</v>
      </c>
      <c r="AG33" s="164">
        <v>0.99631784243479427</v>
      </c>
      <c r="AH33" s="112"/>
      <c r="AI33" s="112"/>
      <c r="AJ33" s="112"/>
      <c r="AK33" s="112"/>
      <c r="AL33" s="112"/>
      <c r="AM33" s="113"/>
      <c r="AO33" s="289" t="s">
        <v>146</v>
      </c>
      <c r="AP33" s="152" t="s">
        <v>64</v>
      </c>
      <c r="AQ33" s="172">
        <v>6.2500000000020898E-3</v>
      </c>
      <c r="AR33" s="143">
        <v>1</v>
      </c>
      <c r="AS33" s="153">
        <v>6.2500000000020898E-3</v>
      </c>
      <c r="AT33" s="153">
        <v>1.0026385224277757E-2</v>
      </c>
      <c r="AU33" s="153">
        <v>0.92076608391417658</v>
      </c>
      <c r="AV33" s="173">
        <v>2.63782643102172E-4</v>
      </c>
      <c r="AW33" s="112"/>
      <c r="AX33" s="112"/>
      <c r="AY33" s="112"/>
      <c r="AZ33" s="112"/>
      <c r="BA33" s="112"/>
      <c r="BB33" s="112"/>
      <c r="BC33" s="112"/>
      <c r="BD33" s="113"/>
      <c r="BF33" s="165" t="s">
        <v>71</v>
      </c>
      <c r="BG33" s="166">
        <v>21.75</v>
      </c>
      <c r="BH33" s="167">
        <v>36</v>
      </c>
      <c r="BI33" s="168">
        <v>0.60416666666666696</v>
      </c>
      <c r="BJ33" s="169"/>
      <c r="BK33" s="169"/>
      <c r="BL33" s="170"/>
      <c r="BM33" s="123"/>
      <c r="BN33" s="123"/>
      <c r="BO33" s="123"/>
      <c r="BP33" s="123"/>
      <c r="BQ33" s="123"/>
      <c r="BR33" s="123"/>
      <c r="BS33" s="123"/>
      <c r="BT33" s="123"/>
      <c r="BU33" s="124"/>
    </row>
    <row r="34" spans="27:73" ht="15" thickBot="1">
      <c r="AA34" s="165" t="s">
        <v>71</v>
      </c>
      <c r="AB34" s="166">
        <v>27.493749999999999</v>
      </c>
      <c r="AC34" s="167">
        <v>39</v>
      </c>
      <c r="AD34" s="168">
        <v>0.70496794871794888</v>
      </c>
      <c r="AE34" s="169"/>
      <c r="AF34" s="169"/>
      <c r="AG34" s="170"/>
      <c r="AH34" s="123"/>
      <c r="AI34" s="123"/>
      <c r="AJ34" s="123"/>
      <c r="AK34" s="123"/>
      <c r="AL34" s="123"/>
      <c r="AM34" s="124"/>
      <c r="AO34" s="289"/>
      <c r="AP34" s="152" t="s">
        <v>65</v>
      </c>
      <c r="AQ34" s="172">
        <v>6.2500000000020898E-3</v>
      </c>
      <c r="AR34" s="142">
        <v>1</v>
      </c>
      <c r="AS34" s="153">
        <v>6.2500000000020898E-3</v>
      </c>
      <c r="AT34" s="153">
        <v>1.0026385224277757E-2</v>
      </c>
      <c r="AU34" s="153">
        <v>0.92076608391417658</v>
      </c>
      <c r="AV34" s="173">
        <v>2.63782643102172E-4</v>
      </c>
      <c r="AW34" s="112"/>
      <c r="AX34" s="112"/>
      <c r="AY34" s="112"/>
      <c r="AZ34" s="112"/>
      <c r="BA34" s="112"/>
      <c r="BB34" s="112"/>
      <c r="BC34" s="112"/>
      <c r="BD34" s="113"/>
    </row>
    <row r="35" spans="27:73">
      <c r="AO35" s="289"/>
      <c r="AP35" s="152" t="s">
        <v>66</v>
      </c>
      <c r="AQ35" s="172">
        <v>6.2500000000020898E-3</v>
      </c>
      <c r="AR35" s="142">
        <v>1</v>
      </c>
      <c r="AS35" s="153">
        <v>6.2500000000020898E-3</v>
      </c>
      <c r="AT35" s="153">
        <v>1.0026385224277757E-2</v>
      </c>
      <c r="AU35" s="153">
        <v>0.92076608391417658</v>
      </c>
      <c r="AV35" s="173">
        <v>2.63782643102172E-4</v>
      </c>
      <c r="AW35" s="112"/>
      <c r="AX35" s="112"/>
      <c r="AY35" s="112"/>
      <c r="AZ35" s="112"/>
      <c r="BA35" s="112"/>
      <c r="BB35" s="112"/>
      <c r="BC35" s="112"/>
      <c r="BD35" s="113"/>
    </row>
    <row r="36" spans="27:73">
      <c r="AO36" s="289"/>
      <c r="AP36" s="152" t="s">
        <v>67</v>
      </c>
      <c r="AQ36" s="172">
        <v>6.2500000000020898E-3</v>
      </c>
      <c r="AR36" s="142">
        <v>1</v>
      </c>
      <c r="AS36" s="153">
        <v>6.2500000000020898E-3</v>
      </c>
      <c r="AT36" s="153">
        <v>1.0026385224277757E-2</v>
      </c>
      <c r="AU36" s="153">
        <v>0.92076608391417658</v>
      </c>
      <c r="AV36" s="173">
        <v>2.63782643102172E-4</v>
      </c>
      <c r="AW36" s="112"/>
      <c r="AX36" s="112"/>
      <c r="AY36" s="112"/>
      <c r="AZ36" s="112"/>
      <c r="BA36" s="112"/>
      <c r="BB36" s="112"/>
      <c r="BC36" s="112"/>
      <c r="BD36" s="113"/>
    </row>
    <row r="37" spans="27:73">
      <c r="AO37" s="289" t="s">
        <v>136</v>
      </c>
      <c r="AP37" s="152" t="s">
        <v>64</v>
      </c>
      <c r="AQ37" s="141">
        <v>23.6875</v>
      </c>
      <c r="AR37" s="143">
        <v>38</v>
      </c>
      <c r="AS37" s="153">
        <v>0.62335526315789502</v>
      </c>
      <c r="AT37" s="155"/>
      <c r="AU37" s="155"/>
      <c r="AV37" s="174"/>
      <c r="AW37" s="112"/>
      <c r="AX37" s="112"/>
      <c r="AY37" s="112"/>
      <c r="AZ37" s="112"/>
      <c r="BA37" s="112"/>
      <c r="BB37" s="112"/>
      <c r="BC37" s="112"/>
      <c r="BD37" s="113"/>
    </row>
    <row r="38" spans="27:73">
      <c r="AO38" s="289"/>
      <c r="AP38" s="152" t="s">
        <v>65</v>
      </c>
      <c r="AQ38" s="141">
        <v>23.687500000000007</v>
      </c>
      <c r="AR38" s="142">
        <v>38</v>
      </c>
      <c r="AS38" s="153">
        <v>0.62335526315789491</v>
      </c>
      <c r="AT38" s="155"/>
      <c r="AU38" s="155"/>
      <c r="AV38" s="174"/>
      <c r="AW38" s="112"/>
      <c r="AX38" s="112"/>
      <c r="AY38" s="112"/>
      <c r="AZ38" s="112"/>
      <c r="BA38" s="112"/>
      <c r="BB38" s="112"/>
      <c r="BC38" s="112"/>
      <c r="BD38" s="113"/>
    </row>
    <row r="39" spans="27:73">
      <c r="AO39" s="289"/>
      <c r="AP39" s="152" t="s">
        <v>66</v>
      </c>
      <c r="AQ39" s="141">
        <v>23.687500000000007</v>
      </c>
      <c r="AR39" s="142">
        <v>38</v>
      </c>
      <c r="AS39" s="153">
        <v>0.62335526315789491</v>
      </c>
      <c r="AT39" s="155"/>
      <c r="AU39" s="155"/>
      <c r="AV39" s="174"/>
      <c r="AW39" s="112"/>
      <c r="AX39" s="112"/>
      <c r="AY39" s="112"/>
      <c r="AZ39" s="112"/>
      <c r="BA39" s="112"/>
      <c r="BB39" s="112"/>
      <c r="BC39" s="112"/>
      <c r="BD39" s="113"/>
    </row>
    <row r="40" spans="27:73" ht="15" thickBot="1">
      <c r="AO40" s="290"/>
      <c r="AP40" s="175" t="s">
        <v>67</v>
      </c>
      <c r="AQ40" s="166">
        <v>23.687500000000007</v>
      </c>
      <c r="AR40" s="176">
        <v>38</v>
      </c>
      <c r="AS40" s="168">
        <v>0.62335526315789491</v>
      </c>
      <c r="AT40" s="169"/>
      <c r="AU40" s="169"/>
      <c r="AV40" s="170"/>
      <c r="AW40" s="112"/>
      <c r="AX40" s="112"/>
      <c r="AY40" s="112"/>
      <c r="AZ40" s="112"/>
      <c r="BA40" s="112"/>
      <c r="BB40" s="112"/>
      <c r="BC40" s="112"/>
      <c r="BD40" s="113"/>
    </row>
    <row r="41" spans="27:73">
      <c r="AO41" s="111"/>
      <c r="AP41" s="112"/>
      <c r="AQ41" s="112"/>
      <c r="AR41" s="112"/>
      <c r="AS41" s="112"/>
      <c r="AT41" s="112"/>
      <c r="AU41" s="112"/>
      <c r="AV41" s="112"/>
      <c r="AW41" s="112"/>
      <c r="AX41" s="112"/>
      <c r="AY41" s="112"/>
      <c r="AZ41" s="112"/>
      <c r="BA41" s="112"/>
      <c r="BB41" s="112"/>
      <c r="BC41" s="112"/>
      <c r="BD41" s="113"/>
    </row>
    <row r="42" spans="27:73">
      <c r="AO42" s="300" t="s">
        <v>68</v>
      </c>
      <c r="AP42" s="301"/>
      <c r="AQ42" s="301"/>
      <c r="AR42" s="301"/>
      <c r="AS42" s="301"/>
      <c r="AT42" s="301"/>
      <c r="AU42" s="301"/>
      <c r="AV42" s="112"/>
      <c r="AW42" s="112"/>
      <c r="AX42" s="112"/>
      <c r="AY42" s="112"/>
      <c r="AZ42" s="112"/>
      <c r="BA42" s="112"/>
      <c r="BB42" s="112"/>
      <c r="BC42" s="112"/>
      <c r="BD42" s="113"/>
    </row>
    <row r="43" spans="27:73" ht="15" thickBot="1">
      <c r="AO43" s="289" t="s">
        <v>69</v>
      </c>
      <c r="AP43" s="294"/>
      <c r="AQ43" s="294"/>
      <c r="AR43" s="294"/>
      <c r="AS43" s="294"/>
      <c r="AT43" s="294"/>
      <c r="AU43" s="294"/>
      <c r="AV43" s="112"/>
      <c r="AW43" s="112"/>
      <c r="AX43" s="112"/>
      <c r="AY43" s="112"/>
      <c r="AZ43" s="112"/>
      <c r="BA43" s="112"/>
      <c r="BB43" s="112"/>
      <c r="BC43" s="112"/>
      <c r="BD43" s="113"/>
    </row>
    <row r="44" spans="27:73" ht="25" thickTop="1" thickBot="1">
      <c r="AO44" s="308" t="s">
        <v>60</v>
      </c>
      <c r="AP44" s="146" t="s">
        <v>61</v>
      </c>
      <c r="AQ44" s="147" t="s">
        <v>44</v>
      </c>
      <c r="AR44" s="147" t="s">
        <v>62</v>
      </c>
      <c r="AS44" s="147" t="s">
        <v>0</v>
      </c>
      <c r="AT44" s="147" t="s">
        <v>63</v>
      </c>
      <c r="AU44" s="148" t="s">
        <v>77</v>
      </c>
      <c r="AV44" s="112"/>
      <c r="AW44" s="112"/>
      <c r="AX44" s="112"/>
      <c r="AY44" s="112"/>
      <c r="AZ44" s="112"/>
      <c r="BA44" s="112"/>
      <c r="BB44" s="112"/>
      <c r="BC44" s="112"/>
      <c r="BD44" s="113"/>
    </row>
    <row r="45" spans="27:73" ht="15" thickTop="1">
      <c r="AO45" s="163" t="s">
        <v>70</v>
      </c>
      <c r="AP45" s="138">
        <v>7439.2562500000022</v>
      </c>
      <c r="AQ45" s="140">
        <v>1</v>
      </c>
      <c r="AR45" s="139">
        <v>7439.2562500000022</v>
      </c>
      <c r="AS45" s="139">
        <v>13156.101803374057</v>
      </c>
      <c r="AT45" s="150">
        <v>6.8937875004272808E-50</v>
      </c>
      <c r="AU45" s="151">
        <v>0.99711992520852899</v>
      </c>
      <c r="AV45" s="112"/>
      <c r="AW45" s="112"/>
      <c r="AX45" s="112"/>
      <c r="AY45" s="112"/>
      <c r="AZ45" s="112"/>
      <c r="BA45" s="112"/>
      <c r="BB45" s="112"/>
      <c r="BC45" s="112"/>
      <c r="BD45" s="113"/>
    </row>
    <row r="46" spans="27:73">
      <c r="AO46" s="189" t="s">
        <v>142</v>
      </c>
      <c r="AP46" s="141">
        <v>6.0062499999999996</v>
      </c>
      <c r="AQ46" s="143">
        <v>1</v>
      </c>
      <c r="AR46" s="142">
        <v>6.0062499999999996</v>
      </c>
      <c r="AS46" s="142">
        <v>10.621873182082613</v>
      </c>
      <c r="AT46" s="153">
        <v>2.3592986277611036E-3</v>
      </c>
      <c r="AU46" s="154">
        <v>0.21845874062286894</v>
      </c>
      <c r="AV46" s="112"/>
      <c r="AW46" s="112"/>
      <c r="AX46" s="112"/>
      <c r="AY46" s="112"/>
      <c r="AZ46" s="112"/>
      <c r="BA46" s="112"/>
      <c r="BB46" s="112"/>
      <c r="BC46" s="112"/>
      <c r="BD46" s="113"/>
    </row>
    <row r="47" spans="27:73" ht="15" thickBot="1">
      <c r="AO47" s="165" t="s">
        <v>71</v>
      </c>
      <c r="AP47" s="166">
        <v>21.487500000000001</v>
      </c>
      <c r="AQ47" s="167">
        <v>38</v>
      </c>
      <c r="AR47" s="168">
        <v>0.56546052631579002</v>
      </c>
      <c r="AS47" s="169"/>
      <c r="AT47" s="169"/>
      <c r="AU47" s="190"/>
      <c r="AV47" s="123"/>
      <c r="AW47" s="123"/>
      <c r="AX47" s="123"/>
      <c r="AY47" s="123"/>
      <c r="AZ47" s="123"/>
      <c r="BA47" s="123"/>
      <c r="BB47" s="123"/>
      <c r="BC47" s="123"/>
      <c r="BD47" s="124"/>
    </row>
  </sheetData>
  <mergeCells count="88">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 ref="N18:T18"/>
    <mergeCell ref="N19:T19"/>
    <mergeCell ref="X6:Y6"/>
    <mergeCell ref="X7:Y7"/>
    <mergeCell ref="N9:N12"/>
    <mergeCell ref="X10:Y10"/>
    <mergeCell ref="X11:Y11"/>
    <mergeCell ref="N13:N16"/>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O33:AO36"/>
    <mergeCell ref="AO37:AO40"/>
    <mergeCell ref="AO42:AU42"/>
    <mergeCell ref="AO43:AU43"/>
    <mergeCell ref="BF28"/>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BF13:BF16"/>
    <mergeCell ref="BF17:BF20"/>
    <mergeCell ref="BF21:BF24"/>
    <mergeCell ref="BF26:BL26"/>
    <mergeCell ref="BF27:BL27"/>
    <mergeCell ref="BR10:BU10"/>
    <mergeCell ref="BR11:BU11"/>
    <mergeCell ref="BR6:BU6"/>
    <mergeCell ref="BR7:BU7"/>
    <mergeCell ref="BO6:BQ6"/>
    <mergeCell ref="BO7:BQ7"/>
    <mergeCell ref="BO10:BQ10"/>
    <mergeCell ref="BO11:BQ11"/>
  </mergeCells>
  <pageMargins left="0.7" right="0.7" top="0.75" bottom="0.75" header="0.3" footer="0.3"/>
  <pageSetup paperSize="9" orientation="portrait" verticalDpi="300"/>
  <ignoredErrors>
    <ignoredError sqref="AZ13:BB13 AZ17:BA17 BC13 BC17" formula="1"/>
  </ignoredErrors>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Props1.xml><?xml version="1.0" encoding="utf-8"?>
<ds:datastoreItem xmlns:ds="http://schemas.openxmlformats.org/officeDocument/2006/customXml" ds:itemID="{FA849663-E906-47CB-8B3F-0EB266235A31}">
  <ds:schemaRefs>
    <ds:schemaRef ds:uri="http://schemas.microsoft.com/sharepoint/v3/contenttype/forms"/>
  </ds:schemaRefs>
</ds:datastoreItem>
</file>

<file path=customXml/itemProps2.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B0567D5-BD80-4677-8E75-D32F05137619}">
  <ds:schemaRefs>
    <ds:schemaRef ds:uri="http://schemas.microsoft.com/office/2006/documentManagement/types"/>
    <ds:schemaRef ds:uri="http://purl.org/dc/dcmitype/"/>
    <ds:schemaRef ds:uri="http://schemas.openxmlformats.org/package/2006/metadata/core-properties"/>
    <ds:schemaRef ds:uri="http://www.w3.org/XML/1998/namespace"/>
    <ds:schemaRef ds:uri="ad6050de-b204-4cd9-b492-5bc34f5a8a79"/>
    <ds:schemaRef ds:uri="http://purl.org/dc/elements/1.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Julian Caracotsios</cp:lastModifiedBy>
  <dcterms:created xsi:type="dcterms:W3CDTF">2013-05-09T12:54:42Z</dcterms:created>
  <dcterms:modified xsi:type="dcterms:W3CDTF">2016-12-12T01:19:48Z</dcterms:modified>
</cp:coreProperties>
</file>