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dos\TECNICA\Tecnico Juliano docs\bateriasdados\"/>
    </mc:Choice>
  </mc:AlternateContent>
  <xr:revisionPtr revIDLastSave="0" documentId="13_ncr:1_{199D9B83-285D-40AB-B5FF-EB8FD3D77CAF}" xr6:coauthVersionLast="47" xr6:coauthVersionMax="47" xr10:uidLastSave="{00000000-0000-0000-0000-000000000000}"/>
  <bookViews>
    <workbookView xWindow="-120" yWindow="-120" windowWidth="20730" windowHeight="11160" xr2:uid="{E0EA4723-65EC-40D2-985D-0676A15C03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8" i="1" l="1"/>
  <c r="S288" i="1"/>
  <c r="R288" i="1"/>
  <c r="P288" i="1"/>
  <c r="N288" i="1"/>
  <c r="M288" i="1"/>
  <c r="L288" i="1"/>
  <c r="J288" i="1"/>
  <c r="H288" i="1"/>
  <c r="G288" i="1"/>
  <c r="F288" i="1"/>
  <c r="B288" i="1"/>
  <c r="T287" i="1"/>
  <c r="S287" i="1"/>
  <c r="R287" i="1"/>
  <c r="P287" i="1"/>
  <c r="N287" i="1"/>
  <c r="M287" i="1"/>
  <c r="L287" i="1"/>
  <c r="J287" i="1"/>
  <c r="H287" i="1"/>
  <c r="G287" i="1"/>
  <c r="F287" i="1"/>
  <c r="B287" i="1"/>
  <c r="T286" i="1"/>
  <c r="S286" i="1"/>
  <c r="R286" i="1"/>
  <c r="P286" i="1"/>
  <c r="N286" i="1"/>
  <c r="M286" i="1"/>
  <c r="L286" i="1"/>
  <c r="J286" i="1"/>
  <c r="H286" i="1"/>
  <c r="G286" i="1"/>
  <c r="F286" i="1"/>
  <c r="B286" i="1"/>
  <c r="T285" i="1"/>
  <c r="S285" i="1"/>
  <c r="R285" i="1"/>
  <c r="P285" i="1"/>
  <c r="N285" i="1"/>
  <c r="M285" i="1"/>
  <c r="L285" i="1"/>
  <c r="J285" i="1"/>
  <c r="H285" i="1"/>
  <c r="G285" i="1"/>
  <c r="F285" i="1"/>
  <c r="B285" i="1"/>
  <c r="T284" i="1"/>
  <c r="S284" i="1"/>
  <c r="R284" i="1"/>
  <c r="P284" i="1"/>
  <c r="N284" i="1"/>
  <c r="M284" i="1"/>
  <c r="L284" i="1"/>
  <c r="J284" i="1"/>
  <c r="H284" i="1"/>
  <c r="G284" i="1"/>
  <c r="F284" i="1"/>
  <c r="B284" i="1"/>
  <c r="T283" i="1"/>
  <c r="S283" i="1"/>
  <c r="R283" i="1"/>
  <c r="P283" i="1"/>
  <c r="N283" i="1"/>
  <c r="M283" i="1"/>
  <c r="L283" i="1"/>
  <c r="J283" i="1"/>
  <c r="H283" i="1"/>
  <c r="G283" i="1"/>
  <c r="F283" i="1"/>
  <c r="B283" i="1"/>
  <c r="T282" i="1"/>
  <c r="S282" i="1"/>
  <c r="R282" i="1"/>
  <c r="P282" i="1"/>
  <c r="N282" i="1"/>
  <c r="M282" i="1"/>
  <c r="L282" i="1"/>
  <c r="J282" i="1"/>
  <c r="H282" i="1"/>
  <c r="G282" i="1"/>
  <c r="F282" i="1"/>
  <c r="B282" i="1"/>
  <c r="T281" i="1"/>
  <c r="S281" i="1"/>
  <c r="R281" i="1"/>
  <c r="P281" i="1"/>
  <c r="N281" i="1"/>
  <c r="M281" i="1"/>
  <c r="L281" i="1"/>
  <c r="J281" i="1"/>
  <c r="H281" i="1"/>
  <c r="G281" i="1"/>
  <c r="F281" i="1"/>
  <c r="B281" i="1"/>
  <c r="T280" i="1"/>
  <c r="S280" i="1"/>
  <c r="R280" i="1"/>
  <c r="P280" i="1"/>
  <c r="N280" i="1"/>
  <c r="M280" i="1"/>
  <c r="L280" i="1"/>
  <c r="J280" i="1"/>
  <c r="H280" i="1"/>
  <c r="G280" i="1"/>
  <c r="F280" i="1"/>
  <c r="B280" i="1"/>
  <c r="T279" i="1"/>
  <c r="S279" i="1"/>
  <c r="R279" i="1"/>
  <c r="P279" i="1"/>
  <c r="N279" i="1"/>
  <c r="M279" i="1"/>
  <c r="L279" i="1"/>
  <c r="J279" i="1"/>
  <c r="H279" i="1"/>
  <c r="G279" i="1"/>
  <c r="F279" i="1"/>
  <c r="B279" i="1"/>
  <c r="T278" i="1"/>
  <c r="S278" i="1"/>
  <c r="R278" i="1"/>
  <c r="P278" i="1"/>
  <c r="N278" i="1"/>
  <c r="M278" i="1"/>
  <c r="L278" i="1"/>
  <c r="J278" i="1"/>
  <c r="H278" i="1"/>
  <c r="G278" i="1"/>
  <c r="F278" i="1"/>
  <c r="B278" i="1"/>
  <c r="T277" i="1"/>
  <c r="S277" i="1"/>
  <c r="R277" i="1"/>
  <c r="P277" i="1"/>
  <c r="N277" i="1"/>
  <c r="M277" i="1"/>
  <c r="L277" i="1"/>
  <c r="J277" i="1"/>
  <c r="H277" i="1"/>
  <c r="G277" i="1"/>
  <c r="F277" i="1"/>
  <c r="B277" i="1"/>
  <c r="T276" i="1"/>
  <c r="S276" i="1"/>
  <c r="R276" i="1"/>
  <c r="P276" i="1"/>
  <c r="N276" i="1"/>
  <c r="M276" i="1"/>
  <c r="L276" i="1"/>
  <c r="J276" i="1"/>
  <c r="H276" i="1"/>
  <c r="G276" i="1"/>
  <c r="F276" i="1"/>
  <c r="B276" i="1"/>
  <c r="T275" i="1"/>
  <c r="S275" i="1"/>
  <c r="R275" i="1"/>
  <c r="P275" i="1"/>
  <c r="N275" i="1"/>
  <c r="M275" i="1"/>
  <c r="L275" i="1"/>
  <c r="J275" i="1"/>
  <c r="H275" i="1"/>
  <c r="G275" i="1"/>
  <c r="F275" i="1"/>
  <c r="B275" i="1"/>
  <c r="T274" i="1"/>
  <c r="S274" i="1"/>
  <c r="R274" i="1"/>
  <c r="P274" i="1"/>
  <c r="N274" i="1"/>
  <c r="M274" i="1"/>
  <c r="L274" i="1"/>
  <c r="J274" i="1"/>
  <c r="H274" i="1"/>
  <c r="G274" i="1"/>
  <c r="F274" i="1"/>
  <c r="B274" i="1"/>
  <c r="T273" i="1"/>
  <c r="S273" i="1"/>
  <c r="R273" i="1"/>
  <c r="P273" i="1"/>
  <c r="N273" i="1"/>
  <c r="M273" i="1"/>
  <c r="L273" i="1"/>
  <c r="J273" i="1"/>
  <c r="H273" i="1"/>
  <c r="G273" i="1"/>
  <c r="F273" i="1"/>
  <c r="B273" i="1"/>
  <c r="T272" i="1"/>
  <c r="S272" i="1"/>
  <c r="R272" i="1"/>
  <c r="P272" i="1"/>
  <c r="N272" i="1"/>
  <c r="M272" i="1"/>
  <c r="L272" i="1"/>
  <c r="J272" i="1"/>
  <c r="H272" i="1"/>
  <c r="G272" i="1"/>
  <c r="F272" i="1"/>
  <c r="B272" i="1"/>
  <c r="T271" i="1"/>
  <c r="S271" i="1"/>
  <c r="R271" i="1"/>
  <c r="P271" i="1"/>
  <c r="N271" i="1"/>
  <c r="M271" i="1"/>
  <c r="L271" i="1"/>
  <c r="J271" i="1"/>
  <c r="H271" i="1"/>
  <c r="G271" i="1"/>
  <c r="F271" i="1"/>
  <c r="B271" i="1"/>
  <c r="T270" i="1"/>
  <c r="S270" i="1"/>
  <c r="R270" i="1"/>
  <c r="P270" i="1"/>
  <c r="N270" i="1"/>
  <c r="M270" i="1"/>
  <c r="L270" i="1"/>
  <c r="J270" i="1"/>
  <c r="H270" i="1"/>
  <c r="G270" i="1"/>
  <c r="F270" i="1"/>
  <c r="B270" i="1"/>
  <c r="T269" i="1"/>
  <c r="S269" i="1"/>
  <c r="R269" i="1"/>
  <c r="P269" i="1"/>
  <c r="N269" i="1"/>
  <c r="M269" i="1"/>
  <c r="L269" i="1"/>
  <c r="J269" i="1"/>
  <c r="H269" i="1"/>
  <c r="G269" i="1"/>
  <c r="F269" i="1"/>
  <c r="B269" i="1"/>
  <c r="T268" i="1"/>
  <c r="S268" i="1"/>
  <c r="R268" i="1"/>
  <c r="P268" i="1"/>
  <c r="N268" i="1"/>
  <c r="M268" i="1"/>
  <c r="L268" i="1"/>
  <c r="J268" i="1"/>
  <c r="H268" i="1"/>
  <c r="G268" i="1"/>
  <c r="F268" i="1"/>
  <c r="B268" i="1"/>
  <c r="T267" i="1"/>
  <c r="S267" i="1"/>
  <c r="R267" i="1"/>
  <c r="P267" i="1"/>
  <c r="N267" i="1"/>
  <c r="M267" i="1"/>
  <c r="L267" i="1"/>
  <c r="J267" i="1"/>
  <c r="H267" i="1"/>
  <c r="G267" i="1"/>
  <c r="F267" i="1"/>
  <c r="B267" i="1"/>
  <c r="T266" i="1"/>
  <c r="S266" i="1"/>
  <c r="R266" i="1"/>
  <c r="P266" i="1"/>
  <c r="N266" i="1"/>
  <c r="M266" i="1"/>
  <c r="L266" i="1"/>
  <c r="J266" i="1"/>
  <c r="H266" i="1"/>
  <c r="G266" i="1"/>
  <c r="F266" i="1"/>
  <c r="B266" i="1"/>
  <c r="T265" i="1"/>
  <c r="S265" i="1"/>
  <c r="R265" i="1"/>
  <c r="P265" i="1"/>
  <c r="N265" i="1"/>
  <c r="M265" i="1"/>
  <c r="L265" i="1"/>
  <c r="J265" i="1"/>
  <c r="H265" i="1"/>
  <c r="G265" i="1"/>
  <c r="F265" i="1"/>
  <c r="B265" i="1"/>
  <c r="T264" i="1"/>
  <c r="S264" i="1"/>
  <c r="R264" i="1"/>
  <c r="P264" i="1"/>
  <c r="N264" i="1"/>
  <c r="M264" i="1"/>
  <c r="L264" i="1"/>
  <c r="J264" i="1"/>
  <c r="H264" i="1"/>
  <c r="G264" i="1"/>
  <c r="F264" i="1"/>
  <c r="B264" i="1"/>
  <c r="T263" i="1"/>
  <c r="S263" i="1"/>
  <c r="R263" i="1"/>
  <c r="P263" i="1"/>
  <c r="N263" i="1"/>
  <c r="M263" i="1"/>
  <c r="L263" i="1"/>
  <c r="J263" i="1"/>
  <c r="H263" i="1"/>
  <c r="G263" i="1"/>
  <c r="F263" i="1"/>
  <c r="B263" i="1"/>
  <c r="T262" i="1"/>
  <c r="S262" i="1"/>
  <c r="R262" i="1"/>
  <c r="P262" i="1"/>
  <c r="N262" i="1"/>
  <c r="M262" i="1"/>
  <c r="L262" i="1"/>
  <c r="J262" i="1"/>
  <c r="H262" i="1"/>
  <c r="G262" i="1"/>
  <c r="F262" i="1"/>
  <c r="B262" i="1"/>
  <c r="T261" i="1"/>
  <c r="S261" i="1"/>
  <c r="R261" i="1"/>
  <c r="P261" i="1"/>
  <c r="N261" i="1"/>
  <c r="M261" i="1"/>
  <c r="L261" i="1"/>
  <c r="J261" i="1"/>
  <c r="H261" i="1"/>
  <c r="G261" i="1"/>
  <c r="F261" i="1"/>
  <c r="B261" i="1"/>
  <c r="T260" i="1"/>
  <c r="S260" i="1"/>
  <c r="R260" i="1"/>
  <c r="P260" i="1"/>
  <c r="N260" i="1"/>
  <c r="M260" i="1"/>
  <c r="L260" i="1"/>
  <c r="J260" i="1"/>
  <c r="H260" i="1"/>
  <c r="G260" i="1"/>
  <c r="F260" i="1"/>
  <c r="B260" i="1"/>
  <c r="T259" i="1"/>
  <c r="S259" i="1"/>
  <c r="R259" i="1"/>
  <c r="P259" i="1"/>
  <c r="N259" i="1"/>
  <c r="M259" i="1"/>
  <c r="L259" i="1"/>
  <c r="J259" i="1"/>
  <c r="H259" i="1"/>
  <c r="G259" i="1"/>
  <c r="F259" i="1"/>
  <c r="B259" i="1"/>
  <c r="T258" i="1"/>
  <c r="S258" i="1"/>
  <c r="R258" i="1"/>
  <c r="P258" i="1"/>
  <c r="N258" i="1"/>
  <c r="M258" i="1"/>
  <c r="L258" i="1"/>
  <c r="J258" i="1"/>
  <c r="H258" i="1"/>
  <c r="G258" i="1"/>
  <c r="F258" i="1"/>
  <c r="B258" i="1"/>
  <c r="T257" i="1"/>
  <c r="S257" i="1"/>
  <c r="R257" i="1"/>
  <c r="P257" i="1"/>
  <c r="N257" i="1"/>
  <c r="M257" i="1"/>
  <c r="L257" i="1"/>
  <c r="J257" i="1"/>
  <c r="H257" i="1"/>
  <c r="G257" i="1"/>
  <c r="F257" i="1"/>
  <c r="B257" i="1"/>
  <c r="T256" i="1"/>
  <c r="S256" i="1"/>
  <c r="R256" i="1"/>
  <c r="P256" i="1"/>
  <c r="N256" i="1"/>
  <c r="M256" i="1"/>
  <c r="L256" i="1"/>
  <c r="J256" i="1"/>
  <c r="H256" i="1"/>
  <c r="G256" i="1"/>
  <c r="F256" i="1"/>
  <c r="B256" i="1"/>
  <c r="T255" i="1"/>
  <c r="S255" i="1"/>
  <c r="R255" i="1"/>
  <c r="P255" i="1"/>
  <c r="N255" i="1"/>
  <c r="M255" i="1"/>
  <c r="L255" i="1"/>
  <c r="J255" i="1"/>
  <c r="H255" i="1"/>
  <c r="G255" i="1"/>
  <c r="F255" i="1"/>
  <c r="B255" i="1"/>
  <c r="T254" i="1"/>
  <c r="S254" i="1"/>
  <c r="R254" i="1"/>
  <c r="P254" i="1"/>
  <c r="N254" i="1"/>
  <c r="M254" i="1"/>
  <c r="L254" i="1"/>
  <c r="J254" i="1"/>
  <c r="H254" i="1"/>
  <c r="G254" i="1"/>
  <c r="F254" i="1"/>
  <c r="B254" i="1"/>
  <c r="T253" i="1"/>
  <c r="S253" i="1"/>
  <c r="P253" i="1"/>
  <c r="N253" i="1"/>
  <c r="M253" i="1"/>
  <c r="L253" i="1"/>
  <c r="J253" i="1"/>
  <c r="H253" i="1"/>
  <c r="G253" i="1"/>
  <c r="F253" i="1"/>
  <c r="B253" i="1"/>
  <c r="T252" i="1"/>
  <c r="S252" i="1"/>
  <c r="P252" i="1"/>
  <c r="N252" i="1"/>
  <c r="M252" i="1"/>
  <c r="L252" i="1"/>
  <c r="J252" i="1"/>
  <c r="H252" i="1"/>
  <c r="G252" i="1"/>
  <c r="F252" i="1"/>
  <c r="B252" i="1"/>
  <c r="T251" i="1"/>
  <c r="S251" i="1"/>
  <c r="P251" i="1"/>
  <c r="N251" i="1"/>
  <c r="M251" i="1"/>
  <c r="L251" i="1"/>
  <c r="J251" i="1"/>
  <c r="H251" i="1"/>
  <c r="G251" i="1"/>
  <c r="F251" i="1"/>
  <c r="B251" i="1"/>
  <c r="T250" i="1"/>
  <c r="S250" i="1"/>
  <c r="P250" i="1"/>
  <c r="N250" i="1"/>
  <c r="M250" i="1"/>
  <c r="L250" i="1"/>
  <c r="J250" i="1"/>
  <c r="H250" i="1"/>
  <c r="G250" i="1"/>
  <c r="F250" i="1"/>
  <c r="B250" i="1"/>
  <c r="T249" i="1"/>
  <c r="S249" i="1"/>
  <c r="P249" i="1"/>
  <c r="N249" i="1"/>
  <c r="M249" i="1"/>
  <c r="L249" i="1"/>
  <c r="J249" i="1"/>
  <c r="H249" i="1"/>
  <c r="G249" i="1"/>
  <c r="F249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Q208" i="1"/>
  <c r="O208" i="1"/>
  <c r="K208" i="1"/>
  <c r="I208" i="1"/>
  <c r="B208" i="1"/>
  <c r="Q207" i="1"/>
  <c r="O207" i="1"/>
  <c r="K207" i="1"/>
  <c r="I207" i="1"/>
  <c r="B207" i="1"/>
  <c r="Q206" i="1"/>
  <c r="O206" i="1"/>
  <c r="K206" i="1"/>
  <c r="I206" i="1"/>
  <c r="B206" i="1"/>
  <c r="Q205" i="1"/>
  <c r="O205" i="1"/>
  <c r="K205" i="1"/>
  <c r="I205" i="1"/>
  <c r="B205" i="1"/>
  <c r="Q204" i="1"/>
  <c r="O204" i="1"/>
  <c r="K204" i="1"/>
  <c r="I204" i="1"/>
  <c r="B204" i="1"/>
  <c r="Q203" i="1"/>
  <c r="O203" i="1"/>
  <c r="K203" i="1"/>
  <c r="I203" i="1"/>
  <c r="B203" i="1"/>
  <c r="Q202" i="1"/>
  <c r="O202" i="1"/>
  <c r="K202" i="1"/>
  <c r="I202" i="1"/>
  <c r="B202" i="1"/>
  <c r="Q201" i="1"/>
  <c r="O201" i="1"/>
  <c r="K201" i="1"/>
  <c r="I201" i="1"/>
  <c r="B201" i="1"/>
  <c r="Q200" i="1"/>
  <c r="O200" i="1"/>
  <c r="K200" i="1"/>
  <c r="I200" i="1"/>
  <c r="B200" i="1"/>
  <c r="Q199" i="1"/>
  <c r="O199" i="1"/>
  <c r="K199" i="1"/>
  <c r="I199" i="1"/>
  <c r="B199" i="1"/>
  <c r="Q198" i="1"/>
  <c r="O198" i="1"/>
  <c r="K198" i="1"/>
  <c r="I198" i="1"/>
  <c r="B198" i="1"/>
  <c r="Q197" i="1"/>
  <c r="O197" i="1"/>
  <c r="K197" i="1"/>
  <c r="I197" i="1"/>
  <c r="B197" i="1"/>
  <c r="Q196" i="1"/>
  <c r="O196" i="1"/>
  <c r="K196" i="1"/>
  <c r="I196" i="1"/>
  <c r="B196" i="1"/>
  <c r="Q195" i="1"/>
  <c r="O195" i="1"/>
  <c r="K195" i="1"/>
  <c r="I195" i="1"/>
  <c r="B195" i="1"/>
  <c r="Q194" i="1"/>
  <c r="O194" i="1"/>
  <c r="K194" i="1"/>
  <c r="I194" i="1"/>
  <c r="B194" i="1"/>
  <c r="Q193" i="1"/>
  <c r="O193" i="1"/>
  <c r="K193" i="1"/>
  <c r="I193" i="1"/>
  <c r="B193" i="1"/>
  <c r="Q192" i="1"/>
  <c r="O192" i="1"/>
  <c r="K192" i="1"/>
  <c r="I192" i="1"/>
  <c r="B192" i="1"/>
  <c r="Q191" i="1"/>
  <c r="O191" i="1"/>
  <c r="K191" i="1"/>
  <c r="I191" i="1"/>
  <c r="B191" i="1"/>
  <c r="Q190" i="1"/>
  <c r="O190" i="1"/>
  <c r="K190" i="1"/>
  <c r="I190" i="1"/>
  <c r="B190" i="1"/>
  <c r="Q189" i="1"/>
  <c r="O189" i="1"/>
  <c r="K189" i="1"/>
  <c r="I189" i="1"/>
  <c r="B189" i="1"/>
  <c r="Q188" i="1"/>
  <c r="O188" i="1"/>
  <c r="K188" i="1"/>
  <c r="I188" i="1"/>
  <c r="B188" i="1"/>
  <c r="Q187" i="1"/>
  <c r="O187" i="1"/>
  <c r="K187" i="1"/>
  <c r="I187" i="1"/>
  <c r="B187" i="1"/>
  <c r="Q186" i="1"/>
  <c r="O186" i="1"/>
  <c r="K186" i="1"/>
  <c r="I186" i="1"/>
  <c r="B186" i="1"/>
  <c r="Q185" i="1"/>
  <c r="O185" i="1"/>
  <c r="K185" i="1"/>
  <c r="I185" i="1"/>
  <c r="B185" i="1"/>
  <c r="Q184" i="1"/>
  <c r="O184" i="1"/>
  <c r="K184" i="1"/>
  <c r="I184" i="1"/>
  <c r="B184" i="1"/>
  <c r="Q183" i="1"/>
  <c r="O183" i="1"/>
  <c r="K183" i="1"/>
  <c r="I183" i="1"/>
  <c r="B183" i="1"/>
  <c r="Q182" i="1"/>
  <c r="O182" i="1"/>
  <c r="K182" i="1"/>
  <c r="I182" i="1"/>
  <c r="B182" i="1"/>
  <c r="Q181" i="1"/>
  <c r="O181" i="1"/>
  <c r="K181" i="1"/>
  <c r="I181" i="1"/>
  <c r="B181" i="1"/>
  <c r="Q180" i="1"/>
  <c r="O180" i="1"/>
  <c r="K180" i="1"/>
  <c r="I180" i="1"/>
  <c r="B180" i="1"/>
  <c r="Q179" i="1"/>
  <c r="O179" i="1"/>
  <c r="K179" i="1"/>
  <c r="I179" i="1"/>
  <c r="B179" i="1"/>
  <c r="Q178" i="1"/>
  <c r="O178" i="1"/>
  <c r="K178" i="1"/>
  <c r="I178" i="1"/>
  <c r="B178" i="1"/>
  <c r="Q177" i="1"/>
  <c r="O177" i="1"/>
  <c r="K177" i="1"/>
  <c r="I177" i="1"/>
  <c r="B177" i="1"/>
  <c r="Q176" i="1"/>
  <c r="O176" i="1"/>
  <c r="K176" i="1"/>
  <c r="I176" i="1"/>
  <c r="B176" i="1"/>
  <c r="Q175" i="1"/>
  <c r="O175" i="1"/>
  <c r="K175" i="1"/>
  <c r="I175" i="1"/>
  <c r="B175" i="1"/>
  <c r="Q174" i="1"/>
  <c r="O174" i="1"/>
  <c r="K174" i="1"/>
  <c r="I174" i="1"/>
  <c r="B174" i="1"/>
  <c r="Q173" i="1"/>
  <c r="O173" i="1"/>
  <c r="K173" i="1"/>
  <c r="I173" i="1"/>
  <c r="B173" i="1"/>
  <c r="B172" i="1"/>
  <c r="B171" i="1"/>
  <c r="B170" i="1"/>
  <c r="B169" i="1"/>
  <c r="B168" i="1"/>
  <c r="B167" i="1"/>
  <c r="Q166" i="1"/>
  <c r="O166" i="1"/>
  <c r="K166" i="1"/>
  <c r="I166" i="1"/>
  <c r="B166" i="1"/>
  <c r="Q165" i="1"/>
  <c r="O165" i="1"/>
  <c r="K165" i="1"/>
  <c r="I165" i="1"/>
  <c r="B165" i="1"/>
  <c r="Q164" i="1"/>
  <c r="O164" i="1"/>
  <c r="K164" i="1"/>
  <c r="I164" i="1"/>
  <c r="B164" i="1"/>
  <c r="Q163" i="1"/>
  <c r="O163" i="1"/>
  <c r="K163" i="1"/>
  <c r="I163" i="1"/>
  <c r="B163" i="1"/>
  <c r="Q162" i="1"/>
  <c r="O162" i="1"/>
  <c r="K162" i="1"/>
  <c r="I162" i="1"/>
  <c r="B162" i="1"/>
  <c r="Q161" i="1"/>
  <c r="O161" i="1"/>
  <c r="K161" i="1"/>
  <c r="I161" i="1"/>
  <c r="B161" i="1"/>
  <c r="Q160" i="1"/>
  <c r="K160" i="1"/>
  <c r="I160" i="1"/>
  <c r="B160" i="1"/>
  <c r="Q159" i="1"/>
  <c r="K159" i="1"/>
  <c r="I159" i="1"/>
  <c r="B159" i="1"/>
  <c r="Q158" i="1"/>
  <c r="K158" i="1"/>
  <c r="I158" i="1"/>
  <c r="B158" i="1"/>
  <c r="Q157" i="1"/>
  <c r="K157" i="1"/>
  <c r="I157" i="1"/>
  <c r="B157" i="1"/>
  <c r="Q156" i="1"/>
  <c r="K156" i="1"/>
  <c r="I156" i="1"/>
  <c r="B156" i="1"/>
  <c r="Q155" i="1"/>
  <c r="K155" i="1"/>
  <c r="I155" i="1"/>
  <c r="B155" i="1"/>
  <c r="Q154" i="1"/>
  <c r="K154" i="1"/>
  <c r="I154" i="1"/>
  <c r="B154" i="1"/>
  <c r="Q153" i="1"/>
  <c r="K153" i="1"/>
  <c r="I153" i="1"/>
  <c r="B153" i="1"/>
  <c r="Q152" i="1"/>
  <c r="K152" i="1"/>
  <c r="I152" i="1"/>
  <c r="B152" i="1"/>
  <c r="Q151" i="1"/>
  <c r="K151" i="1"/>
  <c r="I151" i="1"/>
  <c r="B151" i="1"/>
  <c r="Q150" i="1"/>
  <c r="K150" i="1"/>
  <c r="I150" i="1"/>
  <c r="B150" i="1"/>
  <c r="Q149" i="1"/>
  <c r="K149" i="1"/>
  <c r="I149" i="1"/>
  <c r="B149" i="1"/>
  <c r="Q148" i="1"/>
  <c r="K148" i="1"/>
  <c r="I148" i="1"/>
  <c r="B148" i="1"/>
  <c r="Q147" i="1"/>
  <c r="K147" i="1"/>
  <c r="I147" i="1"/>
  <c r="B147" i="1"/>
  <c r="Q146" i="1"/>
  <c r="K146" i="1"/>
  <c r="I146" i="1"/>
  <c r="B146" i="1"/>
  <c r="Q145" i="1"/>
  <c r="K145" i="1"/>
  <c r="I145" i="1"/>
  <c r="B145" i="1"/>
  <c r="Q144" i="1"/>
  <c r="K144" i="1"/>
  <c r="I144" i="1"/>
  <c r="B144" i="1"/>
  <c r="Q143" i="1"/>
  <c r="K143" i="1"/>
  <c r="I143" i="1"/>
  <c r="B143" i="1"/>
  <c r="Q142" i="1"/>
  <c r="K142" i="1"/>
  <c r="I142" i="1"/>
  <c r="B142" i="1"/>
  <c r="Q141" i="1"/>
  <c r="K141" i="1"/>
  <c r="I141" i="1"/>
  <c r="B141" i="1"/>
  <c r="Q140" i="1"/>
  <c r="K140" i="1"/>
  <c r="I140" i="1"/>
  <c r="B140" i="1"/>
  <c r="Q139" i="1"/>
  <c r="K139" i="1"/>
  <c r="I139" i="1"/>
  <c r="B139" i="1"/>
  <c r="Q138" i="1"/>
  <c r="K138" i="1"/>
  <c r="I138" i="1"/>
  <c r="B138" i="1"/>
  <c r="Q137" i="1"/>
  <c r="K137" i="1"/>
  <c r="I137" i="1"/>
  <c r="B137" i="1"/>
  <c r="Q136" i="1"/>
  <c r="K136" i="1"/>
  <c r="I136" i="1"/>
  <c r="B136" i="1"/>
  <c r="Q135" i="1"/>
  <c r="K135" i="1"/>
  <c r="I135" i="1"/>
  <c r="B135" i="1"/>
  <c r="Q134" i="1"/>
  <c r="K134" i="1"/>
  <c r="I134" i="1"/>
  <c r="B134" i="1"/>
  <c r="Q133" i="1"/>
  <c r="K133" i="1"/>
  <c r="I133" i="1"/>
  <c r="B133" i="1"/>
  <c r="Q132" i="1"/>
  <c r="K132" i="1"/>
  <c r="I132" i="1"/>
  <c r="B132" i="1"/>
  <c r="Q131" i="1"/>
  <c r="K131" i="1"/>
  <c r="I131" i="1"/>
  <c r="B131" i="1"/>
  <c r="Q130" i="1"/>
  <c r="K130" i="1"/>
  <c r="I130" i="1"/>
  <c r="B130" i="1"/>
  <c r="Q129" i="1"/>
  <c r="K129" i="1"/>
  <c r="I129" i="1"/>
  <c r="B129" i="1"/>
  <c r="Q128" i="1"/>
  <c r="K128" i="1"/>
  <c r="I128" i="1"/>
  <c r="B128" i="1"/>
  <c r="Q127" i="1"/>
  <c r="K127" i="1"/>
  <c r="I127" i="1"/>
  <c r="B127" i="1"/>
  <c r="Q126" i="1"/>
  <c r="K126" i="1"/>
  <c r="I126" i="1"/>
  <c r="B126" i="1"/>
  <c r="Q125" i="1"/>
  <c r="K125" i="1"/>
  <c r="I125" i="1"/>
  <c r="B125" i="1"/>
  <c r="K124" i="1"/>
  <c r="B124" i="1"/>
  <c r="K123" i="1"/>
  <c r="B123" i="1"/>
  <c r="K122" i="1"/>
  <c r="B122" i="1"/>
  <c r="K121" i="1"/>
  <c r="B121" i="1"/>
  <c r="K120" i="1"/>
  <c r="B120" i="1"/>
  <c r="K119" i="1"/>
  <c r="B119" i="1"/>
  <c r="Q118" i="1"/>
  <c r="K118" i="1"/>
  <c r="I118" i="1"/>
  <c r="B118" i="1"/>
  <c r="Q117" i="1"/>
  <c r="K117" i="1"/>
  <c r="I117" i="1"/>
  <c r="B117" i="1"/>
  <c r="Q116" i="1"/>
  <c r="K116" i="1"/>
  <c r="I116" i="1"/>
  <c r="B116" i="1"/>
  <c r="Q115" i="1"/>
  <c r="K115" i="1"/>
  <c r="I115" i="1"/>
  <c r="B115" i="1"/>
  <c r="Q114" i="1"/>
  <c r="K114" i="1"/>
  <c r="I114" i="1"/>
  <c r="B114" i="1"/>
  <c r="Q113" i="1"/>
  <c r="K113" i="1"/>
  <c r="I113" i="1"/>
  <c r="B113" i="1"/>
  <c r="K112" i="1"/>
  <c r="I112" i="1"/>
  <c r="B112" i="1"/>
  <c r="K111" i="1"/>
  <c r="I111" i="1"/>
  <c r="B111" i="1"/>
  <c r="K110" i="1"/>
  <c r="I110" i="1"/>
  <c r="B110" i="1"/>
  <c r="K109" i="1"/>
  <c r="I109" i="1"/>
  <c r="B109" i="1"/>
  <c r="K108" i="1"/>
  <c r="I108" i="1"/>
  <c r="B108" i="1"/>
  <c r="K107" i="1"/>
  <c r="I107" i="1"/>
  <c r="B107" i="1"/>
  <c r="K106" i="1"/>
  <c r="I106" i="1"/>
  <c r="B106" i="1"/>
  <c r="Q105" i="1"/>
  <c r="K105" i="1"/>
  <c r="B105" i="1"/>
  <c r="Q104" i="1"/>
  <c r="K104" i="1"/>
  <c r="B104" i="1"/>
  <c r="Q103" i="1"/>
  <c r="K103" i="1"/>
  <c r="B103" i="1"/>
  <c r="Q102" i="1"/>
  <c r="K102" i="1"/>
  <c r="B102" i="1"/>
  <c r="Q101" i="1"/>
  <c r="K101" i="1"/>
  <c r="B101" i="1"/>
  <c r="Q100" i="1"/>
  <c r="K100" i="1"/>
  <c r="B100" i="1"/>
  <c r="Q99" i="1"/>
  <c r="K99" i="1"/>
  <c r="B99" i="1"/>
  <c r="K98" i="1"/>
  <c r="I98" i="1"/>
  <c r="B98" i="1"/>
  <c r="K97" i="1"/>
  <c r="I97" i="1"/>
  <c r="B97" i="1"/>
  <c r="K96" i="1"/>
  <c r="I96" i="1"/>
  <c r="B96" i="1"/>
  <c r="K95" i="1"/>
  <c r="I95" i="1"/>
  <c r="B95" i="1"/>
  <c r="K94" i="1"/>
  <c r="I94" i="1"/>
  <c r="B94" i="1"/>
  <c r="K93" i="1"/>
  <c r="I93" i="1"/>
  <c r="B93" i="1"/>
  <c r="K92" i="1"/>
  <c r="I92" i="1"/>
  <c r="B92" i="1"/>
  <c r="K91" i="1"/>
  <c r="I91" i="1"/>
  <c r="B91" i="1"/>
  <c r="K90" i="1"/>
  <c r="I90" i="1"/>
  <c r="B90" i="1"/>
  <c r="K89" i="1"/>
  <c r="I89" i="1"/>
  <c r="B89" i="1"/>
  <c r="K88" i="1"/>
  <c r="I88" i="1"/>
  <c r="B88" i="1"/>
  <c r="K87" i="1"/>
  <c r="I87" i="1"/>
  <c r="B87" i="1"/>
  <c r="K86" i="1"/>
  <c r="I86" i="1"/>
  <c r="B86" i="1"/>
  <c r="K85" i="1"/>
  <c r="I85" i="1"/>
  <c r="B85" i="1"/>
  <c r="K84" i="1"/>
  <c r="I84" i="1"/>
  <c r="B84" i="1"/>
  <c r="K83" i="1"/>
  <c r="I83" i="1"/>
  <c r="B83" i="1"/>
  <c r="K82" i="1"/>
  <c r="I82" i="1"/>
  <c r="B82" i="1"/>
  <c r="K81" i="1"/>
  <c r="I81" i="1"/>
  <c r="B81" i="1"/>
  <c r="K80" i="1"/>
  <c r="I80" i="1"/>
  <c r="B80" i="1"/>
  <c r="K79" i="1"/>
  <c r="I79" i="1"/>
  <c r="B79" i="1"/>
  <c r="K78" i="1"/>
  <c r="I78" i="1"/>
  <c r="B78" i="1"/>
  <c r="K77" i="1"/>
  <c r="I77" i="1"/>
  <c r="B77" i="1"/>
  <c r="K76" i="1"/>
  <c r="I76" i="1"/>
  <c r="B76" i="1"/>
  <c r="K75" i="1"/>
  <c r="I75" i="1"/>
  <c r="B75" i="1"/>
  <c r="K74" i="1"/>
  <c r="I74" i="1"/>
  <c r="B74" i="1"/>
  <c r="K73" i="1"/>
  <c r="I73" i="1"/>
  <c r="B73" i="1"/>
  <c r="K72" i="1"/>
  <c r="I72" i="1"/>
  <c r="B72" i="1"/>
  <c r="K71" i="1"/>
  <c r="I71" i="1"/>
  <c r="B71" i="1"/>
  <c r="K70" i="1"/>
  <c r="I70" i="1"/>
  <c r="B70" i="1"/>
  <c r="K69" i="1"/>
  <c r="I69" i="1"/>
  <c r="B69" i="1"/>
  <c r="K68" i="1"/>
  <c r="I68" i="1"/>
  <c r="B68" i="1"/>
  <c r="K67" i="1"/>
  <c r="I67" i="1"/>
  <c r="B67" i="1"/>
  <c r="K66" i="1"/>
  <c r="I66" i="1"/>
  <c r="B66" i="1"/>
  <c r="K65" i="1"/>
  <c r="I65" i="1"/>
  <c r="B65" i="1"/>
  <c r="I64" i="1"/>
  <c r="B64" i="1"/>
  <c r="B63" i="1"/>
  <c r="B62" i="1"/>
  <c r="B61" i="1"/>
  <c r="B60" i="1"/>
  <c r="B59" i="1"/>
  <c r="B58" i="1"/>
  <c r="B57" i="1"/>
  <c r="B56" i="1"/>
  <c r="B55" i="1"/>
  <c r="B53" i="1"/>
  <c r="B52" i="1"/>
  <c r="B51" i="1"/>
  <c r="B50" i="1"/>
  <c r="B49" i="1"/>
  <c r="B48" i="1"/>
  <c r="B46" i="1"/>
  <c r="B45" i="1"/>
  <c r="B44" i="1"/>
  <c r="B43" i="1"/>
  <c r="B42" i="1"/>
  <c r="B41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2" i="1"/>
  <c r="B11" i="1"/>
  <c r="B10" i="1"/>
  <c r="B9" i="1"/>
  <c r="B8" i="1"/>
  <c r="B7" i="1"/>
  <c r="B5" i="1"/>
  <c r="B4" i="1"/>
  <c r="B3" i="1"/>
  <c r="B2" i="1"/>
  <c r="Y48" i="1"/>
</calcChain>
</file>

<file path=xl/sharedStrings.xml><?xml version="1.0" encoding="utf-8"?>
<sst xmlns="http://schemas.openxmlformats.org/spreadsheetml/2006/main" count="600" uniqueCount="40">
  <si>
    <t>Código</t>
  </si>
  <si>
    <t>Bateria</t>
  </si>
  <si>
    <t>Ah</t>
  </si>
  <si>
    <t>F,V</t>
  </si>
  <si>
    <t>5min</t>
  </si>
  <si>
    <t>10min</t>
  </si>
  <si>
    <t>15min</t>
  </si>
  <si>
    <t>20min</t>
  </si>
  <si>
    <t>30min</t>
  </si>
  <si>
    <t>45min</t>
  </si>
  <si>
    <t>1h</t>
  </si>
  <si>
    <t>2h</t>
  </si>
  <si>
    <t>3h</t>
  </si>
  <si>
    <t>4h</t>
  </si>
  <si>
    <t>5h</t>
  </si>
  <si>
    <t>6h</t>
  </si>
  <si>
    <t>8h</t>
  </si>
  <si>
    <t>10h</t>
  </si>
  <si>
    <t>20h</t>
  </si>
  <si>
    <t>GETPOWER</t>
  </si>
  <si>
    <t>7 Ah</t>
  </si>
  <si>
    <t>9 Ah</t>
  </si>
  <si>
    <t>12 Ah</t>
  </si>
  <si>
    <t>18 Ah</t>
  </si>
  <si>
    <t>26 Ah</t>
  </si>
  <si>
    <t>33 Ah</t>
  </si>
  <si>
    <t>45 Ah</t>
  </si>
  <si>
    <t>55 Ah</t>
  </si>
  <si>
    <t>KUNG LONG</t>
  </si>
  <si>
    <t>RITAR</t>
  </si>
  <si>
    <t>CSB</t>
  </si>
  <si>
    <t>SECPOWER</t>
  </si>
  <si>
    <t>GETPOWER 7 Ah 1,67</t>
  </si>
  <si>
    <t>GETPOWER 9 Ah 1,67</t>
  </si>
  <si>
    <t>GETPOWER 12 Ah 1,67</t>
  </si>
  <si>
    <t>GETPOWER 26 Ah 1,67</t>
  </si>
  <si>
    <t>GETPOWER 33Ah 1,67</t>
  </si>
  <si>
    <t>GETPOWER 45 Ah 1,67</t>
  </si>
  <si>
    <t>GETPOWER 55 Ah 1,67</t>
  </si>
  <si>
    <t>UNIPOWER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</si>
</sst>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31F20"/>
      <name val="Calibri"/>
      <family val="2"/>
      <scheme val="minor"/>
    </font>
    <font>
      <sz val="11"/>
      <name val="Calibri"/>
      <family val="2"/>
      <scheme val="minor"/>
    </font>
    <font>
      <sz val="11"/>
      <color rgb="FF231F20"/>
      <name val="Calibri"/>
      <family val="2"/>
      <scheme val="minor"/>
    </font>
    <font>
      <sz val="8.5"/>
      <color rgb="FF231F20"/>
      <name val="Calibri"/>
      <family val="2"/>
      <scheme val="minor"/>
    </font>
    <font>
      <sz val="9.5"/>
      <color rgb="FF231F20"/>
      <name val="Calibri"/>
      <family val="2"/>
      <scheme val="minor"/>
    </font>
    <font>
      <sz val="10"/>
      <color rgb="FF231F20"/>
      <name val="Calibri"/>
      <family val="2"/>
      <scheme val="minor"/>
    </font>
    <font>
      <sz val="11"/>
      <color rgb="FF01020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1" xfId="0" applyFill="1" applyBorder="1"/>
    <xf numFmtId="164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4" xfId="0" applyNumberFormat="1" applyFon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166" fontId="4" fillId="8" borderId="1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164" fontId="3" fillId="8" borderId="6" xfId="1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4" fontId="3" fillId="8" borderId="7" xfId="1" applyNumberFormat="1" applyFont="1" applyFill="1" applyBorder="1" applyAlignment="1">
      <alignment horizontal="center" vertical="center"/>
    </xf>
    <xf numFmtId="164" fontId="3" fillId="8" borderId="8" xfId="1" applyNumberFormat="1" applyFont="1" applyFill="1" applyBorder="1" applyAlignment="1">
      <alignment horizontal="center" vertical="center"/>
    </xf>
    <xf numFmtId="164" fontId="3" fillId="8" borderId="5" xfId="1" applyNumberFormat="1" applyFont="1" applyFill="1" applyBorder="1" applyAlignment="1">
      <alignment horizontal="center" vertical="center"/>
    </xf>
    <xf numFmtId="164" fontId="3" fillId="8" borderId="9" xfId="1" applyNumberFormat="1" applyFont="1" applyFill="1" applyBorder="1" applyAlignment="1">
      <alignment horizontal="center" vertical="center"/>
    </xf>
    <xf numFmtId="164" fontId="3" fillId="8" borderId="10" xfId="1" applyNumberFormat="1" applyFont="1" applyFill="1" applyBorder="1" applyAlignment="1">
      <alignment horizontal="center" vertical="center"/>
    </xf>
    <xf numFmtId="164" fontId="3" fillId="8" borderId="11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6" borderId="12" xfId="0" applyFill="1" applyBorder="1"/>
    <xf numFmtId="0" fontId="3" fillId="8" borderId="12" xfId="0" applyFont="1" applyFill="1" applyBorder="1" applyAlignment="1">
      <alignment vertical="center"/>
    </xf>
    <xf numFmtId="2" fontId="0" fillId="8" borderId="12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0" fontId="0" fillId="7" borderId="12" xfId="0" applyFill="1" applyBorder="1"/>
  </cellXfs>
  <cellStyles count="2">
    <cellStyle name="Normal" xfId="0" builtinId="0"/>
    <cellStyle name="Normal 2" xfId="1" xr:uid="{61DDF039-7DA9-498B-9D9E-7963C841F2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DA6-7E56-47E8-B366-0CE3432E6C2E}">
  <dimension ref="B1:Y288"/>
  <sheetViews>
    <sheetView tabSelected="1" workbookViewId="0">
      <selection activeCell="B1" sqref="B1:T1048576"/>
    </sheetView>
  </sheetViews>
  <sheetFormatPr defaultRowHeight="15" x14ac:dyDescent="0.25"/>
  <cols>
    <col min="2" max="2" width="24" customWidth="1"/>
    <col min="3" max="3" width="16.5703125" bestFit="1" customWidth="1"/>
    <col min="4" max="4" width="6.42578125" bestFit="1" customWidth="1"/>
    <col min="5" max="5" width="9.140625" style="32"/>
    <col min="6" max="8" width="12.5703125" style="32" bestFit="1" customWidth="1"/>
    <col min="9" max="9" width="9.140625" style="32"/>
    <col min="10" max="10" width="12.5703125" style="32" bestFit="1" customWidth="1"/>
    <col min="11" max="11" width="9.140625" style="32"/>
    <col min="12" max="16" width="11.5703125" style="32" bestFit="1" customWidth="1"/>
    <col min="17" max="17" width="9.140625" style="32"/>
    <col min="18" max="19" width="11.5703125" style="32" bestFit="1" customWidth="1"/>
    <col min="20" max="20" width="10.5703125" style="32" bestFit="1" customWidth="1"/>
    <col min="25" max="25" width="8.28515625" bestFit="1" customWidth="1"/>
  </cols>
  <sheetData>
    <row r="1" spans="2:20" x14ac:dyDescent="0.25"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2:20" x14ac:dyDescent="0.25">
      <c r="B2" s="4" t="str">
        <f t="shared" ref="B2:B72" si="0">CONCATENATE(C2&amp;" "&amp;D2&amp;" "&amp;E2)</f>
        <v>GETPOWER 7 Ah 1,85</v>
      </c>
      <c r="C2" s="37" t="s">
        <v>19</v>
      </c>
      <c r="D2" s="37" t="s">
        <v>20</v>
      </c>
      <c r="E2" s="38">
        <v>1.85</v>
      </c>
      <c r="F2" s="39">
        <v>37.700000000000003</v>
      </c>
      <c r="G2" s="39">
        <v>27</v>
      </c>
      <c r="H2" s="39">
        <v>20.6</v>
      </c>
      <c r="I2" s="39">
        <v>16.73</v>
      </c>
      <c r="J2" s="39">
        <v>12.8</v>
      </c>
      <c r="K2" s="39">
        <v>10.33</v>
      </c>
      <c r="L2" s="39">
        <v>7.86</v>
      </c>
      <c r="M2" s="39">
        <v>4.79</v>
      </c>
      <c r="N2" s="39">
        <v>3.55</v>
      </c>
      <c r="O2" s="39">
        <v>2.93</v>
      </c>
      <c r="P2" s="39">
        <v>2.31</v>
      </c>
      <c r="Q2" s="39">
        <v>1.91</v>
      </c>
      <c r="R2" s="39">
        <v>1.51</v>
      </c>
      <c r="S2" s="39">
        <v>1.29</v>
      </c>
      <c r="T2" s="39">
        <v>0.71799999999999997</v>
      </c>
    </row>
    <row r="3" spans="2:20" x14ac:dyDescent="0.25">
      <c r="B3" s="4" t="str">
        <f t="shared" si="0"/>
        <v>GETPOWER 7 Ah 1,8</v>
      </c>
      <c r="C3" s="37" t="s">
        <v>19</v>
      </c>
      <c r="D3" s="37" t="s">
        <v>20</v>
      </c>
      <c r="E3" s="40">
        <v>1.8</v>
      </c>
      <c r="F3" s="39">
        <v>39.9</v>
      </c>
      <c r="G3" s="39">
        <v>28</v>
      </c>
      <c r="H3" s="39">
        <v>21.5</v>
      </c>
      <c r="I3" s="39">
        <v>17.23</v>
      </c>
      <c r="J3" s="39">
        <v>13.45</v>
      </c>
      <c r="K3" s="39">
        <v>10.81</v>
      </c>
      <c r="L3" s="39">
        <v>8.17</v>
      </c>
      <c r="M3" s="39">
        <v>4.8499999999999996</v>
      </c>
      <c r="N3" s="39">
        <v>3.61</v>
      </c>
      <c r="O3" s="39">
        <v>2.9750000000000001</v>
      </c>
      <c r="P3" s="39">
        <v>2.34</v>
      </c>
      <c r="Q3" s="39">
        <v>1.9850000000000001</v>
      </c>
      <c r="R3" s="39">
        <v>1.63</v>
      </c>
      <c r="S3" s="39">
        <v>1.3049999999999999</v>
      </c>
      <c r="T3" s="39">
        <v>0.71899999999999997</v>
      </c>
    </row>
    <row r="4" spans="2:20" x14ac:dyDescent="0.25">
      <c r="B4" s="4" t="str">
        <f t="shared" si="0"/>
        <v>GETPOWER 7 Ah 1,75</v>
      </c>
      <c r="C4" s="37" t="s">
        <v>19</v>
      </c>
      <c r="D4" s="37" t="s">
        <v>20</v>
      </c>
      <c r="E4" s="38">
        <v>1.75</v>
      </c>
      <c r="F4" s="39">
        <v>42.3</v>
      </c>
      <c r="G4" s="39">
        <v>28.9</v>
      </c>
      <c r="H4" s="39">
        <v>22.2</v>
      </c>
      <c r="I4" s="39">
        <v>17.75</v>
      </c>
      <c r="J4" s="39">
        <v>13.89</v>
      </c>
      <c r="K4" s="39">
        <v>11.11</v>
      </c>
      <c r="L4" s="39">
        <v>8.33</v>
      </c>
      <c r="M4" s="39">
        <v>4.93</v>
      </c>
      <c r="N4" s="39">
        <v>3.66</v>
      </c>
      <c r="O4" s="39">
        <v>3.0150000000000001</v>
      </c>
      <c r="P4" s="39">
        <v>2.37</v>
      </c>
      <c r="Q4" s="39">
        <v>1.96</v>
      </c>
      <c r="R4" s="39">
        <v>1.55</v>
      </c>
      <c r="S4" s="39">
        <v>1.323</v>
      </c>
      <c r="T4" s="39">
        <v>0.77200000000000002</v>
      </c>
    </row>
    <row r="5" spans="2:20" x14ac:dyDescent="0.25">
      <c r="B5" s="4" t="str">
        <f t="shared" si="0"/>
        <v>GETPOWER 7 Ah 1,7</v>
      </c>
      <c r="C5" s="37" t="s">
        <v>19</v>
      </c>
      <c r="D5" s="37" t="s">
        <v>20</v>
      </c>
      <c r="E5" s="40">
        <v>1.7</v>
      </c>
      <c r="F5" s="39">
        <v>44.1</v>
      </c>
      <c r="G5" s="39">
        <v>29.7</v>
      </c>
      <c r="H5" s="39">
        <v>22.9</v>
      </c>
      <c r="I5" s="39">
        <v>18.29</v>
      </c>
      <c r="J5" s="39">
        <v>14.25</v>
      </c>
      <c r="K5" s="39">
        <v>11.345000000000001</v>
      </c>
      <c r="L5" s="39">
        <v>8.44</v>
      </c>
      <c r="M5" s="39">
        <v>5.0199999999999996</v>
      </c>
      <c r="N5" s="39">
        <v>3.7</v>
      </c>
      <c r="O5" s="39">
        <v>3.05</v>
      </c>
      <c r="P5" s="39">
        <v>2.4</v>
      </c>
      <c r="Q5" s="39">
        <v>1.9850000000000001</v>
      </c>
      <c r="R5" s="39">
        <v>1.57</v>
      </c>
      <c r="S5" s="39">
        <v>1.3280000000000001</v>
      </c>
      <c r="T5" s="39">
        <v>0.73199999999999998</v>
      </c>
    </row>
    <row r="6" spans="2:20" x14ac:dyDescent="0.25">
      <c r="B6" s="4" t="s">
        <v>32</v>
      </c>
      <c r="C6" s="37" t="s">
        <v>19</v>
      </c>
      <c r="D6" s="37" t="s">
        <v>20</v>
      </c>
      <c r="E6" s="40">
        <v>1.67</v>
      </c>
      <c r="F6" s="39">
        <v>45.4</v>
      </c>
      <c r="G6" s="39">
        <v>30.6</v>
      </c>
      <c r="H6" s="39">
        <v>23.4</v>
      </c>
      <c r="I6" s="39">
        <v>18.670000000000002</v>
      </c>
      <c r="J6" s="39">
        <v>14.53</v>
      </c>
      <c r="K6" s="39">
        <v>11.525</v>
      </c>
      <c r="L6" s="39">
        <v>8.52</v>
      </c>
      <c r="M6" s="39">
        <v>5.09</v>
      </c>
      <c r="N6" s="39">
        <v>3.73</v>
      </c>
      <c r="O6" s="39">
        <v>3.0750000000000002</v>
      </c>
      <c r="P6" s="39">
        <v>2.42</v>
      </c>
      <c r="Q6" s="39">
        <v>2.0049999999999999</v>
      </c>
      <c r="R6" s="39">
        <v>1.59</v>
      </c>
      <c r="S6" s="39">
        <v>1.3360000000000001</v>
      </c>
      <c r="T6" s="39">
        <v>0.74</v>
      </c>
    </row>
    <row r="7" spans="2:20" x14ac:dyDescent="0.25">
      <c r="B7" s="4" t="str">
        <f t="shared" si="0"/>
        <v>GETPOWER 7 Ah 1,65</v>
      </c>
      <c r="C7" s="37" t="s">
        <v>19</v>
      </c>
      <c r="D7" s="37" t="s">
        <v>20</v>
      </c>
      <c r="E7" s="38">
        <v>1.65</v>
      </c>
      <c r="F7" s="39">
        <v>46.7</v>
      </c>
      <c r="G7" s="39">
        <v>31.5</v>
      </c>
      <c r="H7" s="39">
        <v>23.9</v>
      </c>
      <c r="I7" s="39">
        <v>19.355</v>
      </c>
      <c r="J7" s="39">
        <v>14.81</v>
      </c>
      <c r="K7" s="39">
        <v>11.705</v>
      </c>
      <c r="L7" s="39">
        <v>8.6</v>
      </c>
      <c r="M7" s="39">
        <v>5.16</v>
      </c>
      <c r="N7" s="39">
        <v>3.76</v>
      </c>
      <c r="O7" s="39">
        <v>3.1</v>
      </c>
      <c r="P7" s="39">
        <v>2.44</v>
      </c>
      <c r="Q7" s="39">
        <v>2.0249999999999999</v>
      </c>
      <c r="R7" s="39">
        <v>1.61</v>
      </c>
      <c r="S7" s="39">
        <v>1.3440000000000001</v>
      </c>
      <c r="T7" s="39">
        <v>0.748</v>
      </c>
    </row>
    <row r="8" spans="2:20" x14ac:dyDescent="0.25">
      <c r="B8" s="4" t="str">
        <f t="shared" si="0"/>
        <v>GETPOWER 7 Ah 1,6</v>
      </c>
      <c r="C8" s="37" t="s">
        <v>19</v>
      </c>
      <c r="D8" s="37" t="s">
        <v>20</v>
      </c>
      <c r="E8" s="40">
        <v>1.6</v>
      </c>
      <c r="F8" s="39">
        <v>47.6</v>
      </c>
      <c r="G8" s="39">
        <v>32.200000000000003</v>
      </c>
      <c r="H8" s="39">
        <v>24.1</v>
      </c>
      <c r="I8" s="39">
        <v>19.32</v>
      </c>
      <c r="J8" s="39">
        <v>14.65</v>
      </c>
      <c r="K8" s="39">
        <v>11.64</v>
      </c>
      <c r="L8" s="39">
        <v>8.6300000000000008</v>
      </c>
      <c r="M8" s="39">
        <v>5.17</v>
      </c>
      <c r="N8" s="39">
        <v>3.77</v>
      </c>
      <c r="O8" s="39">
        <v>3.11</v>
      </c>
      <c r="P8" s="39">
        <v>2.4500000000000002</v>
      </c>
      <c r="Q8" s="39">
        <v>2.0299999999999998</v>
      </c>
      <c r="R8" s="39">
        <v>1.61</v>
      </c>
      <c r="S8" s="39">
        <v>1.345</v>
      </c>
      <c r="T8" s="39">
        <v>0.751</v>
      </c>
    </row>
    <row r="9" spans="2:20" x14ac:dyDescent="0.25">
      <c r="B9" s="4" t="str">
        <f t="shared" si="0"/>
        <v>GETPOWER 9 Ah 1,85</v>
      </c>
      <c r="C9" s="5" t="s">
        <v>19</v>
      </c>
      <c r="D9" s="5" t="s">
        <v>21</v>
      </c>
      <c r="E9" s="6">
        <v>1.85</v>
      </c>
      <c r="F9" s="27">
        <v>38.901000000000003</v>
      </c>
      <c r="G9" s="27">
        <v>31.675000000000001</v>
      </c>
      <c r="H9" s="27">
        <v>26.712</v>
      </c>
      <c r="I9" s="27">
        <v>22.04</v>
      </c>
      <c r="J9" s="27">
        <v>17.367999999999999</v>
      </c>
      <c r="K9" s="27">
        <v>13.734999999999999</v>
      </c>
      <c r="L9" s="27">
        <v>10.103</v>
      </c>
      <c r="M9" s="27">
        <v>6.4859999999999998</v>
      </c>
      <c r="N9" s="27">
        <v>4.6340000000000003</v>
      </c>
      <c r="O9" s="27">
        <v>3.9129999999999998</v>
      </c>
      <c r="P9" s="27">
        <v>3.1909999999999998</v>
      </c>
      <c r="Q9" s="27">
        <v>2.6629999999999998</v>
      </c>
      <c r="R9" s="27">
        <v>2.1349999999999998</v>
      </c>
      <c r="S9" s="27">
        <v>1.6930000000000001</v>
      </c>
      <c r="T9" s="27">
        <v>0.85699999999999998</v>
      </c>
    </row>
    <row r="10" spans="2:20" x14ac:dyDescent="0.25">
      <c r="B10" s="4" t="str">
        <f t="shared" si="0"/>
        <v>GETPOWER 9 Ah 1,8</v>
      </c>
      <c r="C10" s="5" t="s">
        <v>19</v>
      </c>
      <c r="D10" s="5" t="s">
        <v>21</v>
      </c>
      <c r="E10" s="8">
        <v>1.8</v>
      </c>
      <c r="F10" s="27">
        <v>44.155000000000001</v>
      </c>
      <c r="G10" s="27">
        <v>34.122999999999998</v>
      </c>
      <c r="H10" s="27">
        <v>28.146999999999998</v>
      </c>
      <c r="I10" s="27">
        <v>22.997</v>
      </c>
      <c r="J10" s="27">
        <v>17.846</v>
      </c>
      <c r="K10" s="27">
        <v>14.044</v>
      </c>
      <c r="L10" s="27">
        <v>10.242000000000001</v>
      </c>
      <c r="M10" s="27">
        <v>6.5410000000000004</v>
      </c>
      <c r="N10" s="27">
        <v>4.6710000000000003</v>
      </c>
      <c r="O10" s="27">
        <v>3.9390000000000001</v>
      </c>
      <c r="P10" s="27">
        <v>3.206</v>
      </c>
      <c r="Q10" s="27">
        <v>2.6840000000000002</v>
      </c>
      <c r="R10" s="27">
        <v>2.161</v>
      </c>
      <c r="S10" s="27">
        <v>1.72</v>
      </c>
      <c r="T10" s="27">
        <v>0.88600000000000001</v>
      </c>
    </row>
    <row r="11" spans="2:20" x14ac:dyDescent="0.25">
      <c r="B11" s="4" t="str">
        <f t="shared" si="0"/>
        <v>GETPOWER 9 Ah 1,75</v>
      </c>
      <c r="C11" s="5" t="s">
        <v>19</v>
      </c>
      <c r="D11" s="5" t="s">
        <v>21</v>
      </c>
      <c r="E11" s="6">
        <v>1.75</v>
      </c>
      <c r="F11" s="27">
        <v>49.41</v>
      </c>
      <c r="G11" s="27">
        <v>36.570999999999998</v>
      </c>
      <c r="H11" s="27">
        <v>29.306999999999999</v>
      </c>
      <c r="I11" s="27">
        <v>23.777000000000001</v>
      </c>
      <c r="J11" s="27">
        <v>18.247</v>
      </c>
      <c r="K11" s="27">
        <v>14.276</v>
      </c>
      <c r="L11" s="27">
        <v>10.305999999999999</v>
      </c>
      <c r="M11" s="27">
        <v>6.5819999999999999</v>
      </c>
      <c r="N11" s="27">
        <v>4.694</v>
      </c>
      <c r="O11" s="27">
        <v>3.9540000000000002</v>
      </c>
      <c r="P11" s="27">
        <v>3.2130000000000001</v>
      </c>
      <c r="Q11" s="27">
        <v>2.6960000000000002</v>
      </c>
      <c r="R11" s="27">
        <v>2.1779999999999999</v>
      </c>
      <c r="S11" s="27">
        <v>1.7470000000000001</v>
      </c>
      <c r="T11" s="27">
        <v>0.91500000000000004</v>
      </c>
    </row>
    <row r="12" spans="2:20" x14ac:dyDescent="0.25">
      <c r="B12" s="4" t="str">
        <f t="shared" si="0"/>
        <v>GETPOWER 9 Ah 1,7</v>
      </c>
      <c r="C12" s="5" t="s">
        <v>19</v>
      </c>
      <c r="D12" s="5" t="s">
        <v>21</v>
      </c>
      <c r="E12" s="8">
        <v>1.7</v>
      </c>
      <c r="F12" s="27">
        <v>54.591999999999999</v>
      </c>
      <c r="G12" s="27">
        <v>38.853999999999999</v>
      </c>
      <c r="H12" s="27">
        <v>30.564</v>
      </c>
      <c r="I12" s="27">
        <v>24.562999999999999</v>
      </c>
      <c r="J12" s="27">
        <v>18.561</v>
      </c>
      <c r="K12" s="27">
        <v>14.497</v>
      </c>
      <c r="L12" s="27">
        <v>10.433999999999999</v>
      </c>
      <c r="M12" s="27">
        <v>6.6239999999999997</v>
      </c>
      <c r="N12" s="27">
        <v>4.7210000000000001</v>
      </c>
      <c r="O12" s="27">
        <v>3.9750000000000001</v>
      </c>
      <c r="P12" s="27">
        <v>3.2290000000000001</v>
      </c>
      <c r="Q12" s="27">
        <v>2.706</v>
      </c>
      <c r="R12" s="27">
        <v>2.1829999999999998</v>
      </c>
      <c r="S12" s="27">
        <v>1.76</v>
      </c>
      <c r="T12" s="27">
        <v>0.92900000000000005</v>
      </c>
    </row>
    <row r="13" spans="2:20" x14ac:dyDescent="0.25">
      <c r="B13" s="4" t="s">
        <v>33</v>
      </c>
      <c r="C13" s="5" t="s">
        <v>19</v>
      </c>
      <c r="D13" s="5" t="s">
        <v>21</v>
      </c>
      <c r="E13" s="8">
        <v>1.67</v>
      </c>
      <c r="F13" s="27">
        <v>57.658000000000001</v>
      </c>
      <c r="G13" s="27">
        <v>40.270000000000003</v>
      </c>
      <c r="H13" s="27">
        <v>31.312999999999999</v>
      </c>
      <c r="I13" s="27">
        <v>24.937999999999999</v>
      </c>
      <c r="J13" s="27">
        <v>18.724</v>
      </c>
      <c r="K13" s="27">
        <v>14.585000000000001</v>
      </c>
      <c r="L13" s="27">
        <v>10.497999999999999</v>
      </c>
      <c r="M13" s="27">
        <v>6.6379999999999999</v>
      </c>
      <c r="N13" s="27">
        <v>4.7320000000000002</v>
      </c>
      <c r="O13" s="27">
        <v>3.98</v>
      </c>
      <c r="P13" s="27">
        <v>3.2280000000000002</v>
      </c>
      <c r="Q13" s="27">
        <v>2.7120000000000002</v>
      </c>
      <c r="R13" s="27">
        <v>2.2040000000000002</v>
      </c>
      <c r="S13" s="27">
        <v>1.782</v>
      </c>
      <c r="T13" s="27">
        <v>0.95399999999999996</v>
      </c>
    </row>
    <row r="14" spans="2:20" x14ac:dyDescent="0.25">
      <c r="B14" s="4" t="str">
        <f t="shared" si="0"/>
        <v>GETPOWER 9 Ah 1,65</v>
      </c>
      <c r="C14" s="5" t="s">
        <v>19</v>
      </c>
      <c r="D14" s="5" t="s">
        <v>21</v>
      </c>
      <c r="E14" s="6">
        <v>1.65</v>
      </c>
      <c r="F14" s="27">
        <v>60.722999999999999</v>
      </c>
      <c r="G14" s="27">
        <v>41.686</v>
      </c>
      <c r="H14" s="27">
        <v>32.061</v>
      </c>
      <c r="I14" s="27">
        <v>25.312999999999999</v>
      </c>
      <c r="J14" s="27">
        <v>18.887</v>
      </c>
      <c r="K14" s="27">
        <v>14.673</v>
      </c>
      <c r="L14" s="27">
        <v>10.561999999999999</v>
      </c>
      <c r="M14" s="27">
        <v>6.6520000000000001</v>
      </c>
      <c r="N14" s="27">
        <v>4.7430000000000003</v>
      </c>
      <c r="O14" s="27">
        <v>3.9849999999999999</v>
      </c>
      <c r="P14" s="27">
        <v>3.2280000000000002</v>
      </c>
      <c r="Q14" s="27">
        <v>2.7170000000000001</v>
      </c>
      <c r="R14" s="27">
        <v>2.2250000000000001</v>
      </c>
      <c r="S14" s="27">
        <v>1.8029999999999999</v>
      </c>
      <c r="T14" s="27">
        <v>0.97899999999999998</v>
      </c>
    </row>
    <row r="15" spans="2:20" x14ac:dyDescent="0.25">
      <c r="B15" s="4" t="str">
        <f t="shared" si="0"/>
        <v>GETPOWER 9 Ah 1,6</v>
      </c>
      <c r="C15" s="5" t="s">
        <v>19</v>
      </c>
      <c r="D15" s="5" t="s">
        <v>21</v>
      </c>
      <c r="E15" s="8">
        <v>1.6</v>
      </c>
      <c r="F15" s="27">
        <v>64.956000000000003</v>
      </c>
      <c r="G15" s="27">
        <v>43.156999999999996</v>
      </c>
      <c r="H15" s="27">
        <v>33.003</v>
      </c>
      <c r="I15" s="27">
        <v>26.062999999999999</v>
      </c>
      <c r="J15" s="27">
        <v>19.123000000000001</v>
      </c>
      <c r="K15" s="27">
        <v>14.848000000000001</v>
      </c>
      <c r="L15" s="27">
        <v>10.574</v>
      </c>
      <c r="M15" s="27">
        <v>6.6660000000000004</v>
      </c>
      <c r="N15" s="27">
        <v>4.7480000000000002</v>
      </c>
      <c r="O15" s="27">
        <v>3.9940000000000002</v>
      </c>
      <c r="P15" s="27">
        <v>3.24</v>
      </c>
      <c r="Q15" s="27">
        <v>2.7290000000000001</v>
      </c>
      <c r="R15" s="27">
        <v>2.218</v>
      </c>
      <c r="S15" s="27">
        <v>1.806</v>
      </c>
      <c r="T15" s="27">
        <v>1.0029999999999999</v>
      </c>
    </row>
    <row r="16" spans="2:20" x14ac:dyDescent="0.25">
      <c r="B16" s="4" t="str">
        <f t="shared" si="0"/>
        <v>GETPOWER 12 Ah 1,85</v>
      </c>
      <c r="C16" s="37" t="s">
        <v>19</v>
      </c>
      <c r="D16" s="37" t="s">
        <v>22</v>
      </c>
      <c r="E16" s="38">
        <v>1.85</v>
      </c>
      <c r="F16" s="39">
        <v>48.404000000000003</v>
      </c>
      <c r="G16" s="39">
        <v>39.826000000000001</v>
      </c>
      <c r="H16" s="39">
        <v>33.585000000000001</v>
      </c>
      <c r="I16" s="39">
        <v>28.370999999999999</v>
      </c>
      <c r="J16" s="39">
        <v>23.157</v>
      </c>
      <c r="K16" s="39">
        <v>18.678999999999998</v>
      </c>
      <c r="L16" s="39">
        <v>14.201000000000001</v>
      </c>
      <c r="M16" s="39">
        <v>8.9250000000000007</v>
      </c>
      <c r="N16" s="39">
        <v>6.3769999999999998</v>
      </c>
      <c r="O16" s="39">
        <v>5.3840000000000003</v>
      </c>
      <c r="P16" s="39">
        <v>4.391</v>
      </c>
      <c r="Q16" s="39">
        <v>3.6680000000000001</v>
      </c>
      <c r="R16" s="39">
        <v>2.9449999999999998</v>
      </c>
      <c r="S16" s="39">
        <v>2.335</v>
      </c>
      <c r="T16" s="39">
        <v>1.165</v>
      </c>
    </row>
    <row r="17" spans="2:20" x14ac:dyDescent="0.25">
      <c r="B17" s="4" t="str">
        <f t="shared" si="0"/>
        <v>GETPOWER 12 Ah 1,8</v>
      </c>
      <c r="C17" s="37" t="s">
        <v>19</v>
      </c>
      <c r="D17" s="37" t="s">
        <v>22</v>
      </c>
      <c r="E17" s="40">
        <v>1.8</v>
      </c>
      <c r="F17" s="39">
        <v>54.942999999999998</v>
      </c>
      <c r="G17" s="39">
        <v>42.904000000000003</v>
      </c>
      <c r="H17" s="39">
        <v>35.39</v>
      </c>
      <c r="I17" s="39">
        <v>29.593</v>
      </c>
      <c r="J17" s="39">
        <v>23.795000000000002</v>
      </c>
      <c r="K17" s="39">
        <v>19.096</v>
      </c>
      <c r="L17" s="39">
        <v>14.396000000000001</v>
      </c>
      <c r="M17" s="39">
        <v>9.0020000000000007</v>
      </c>
      <c r="N17" s="39">
        <v>6.4279999999999999</v>
      </c>
      <c r="O17" s="39">
        <v>5.42</v>
      </c>
      <c r="P17" s="39">
        <v>4.4109999999999996</v>
      </c>
      <c r="Q17" s="39">
        <v>3.6960000000000002</v>
      </c>
      <c r="R17" s="39">
        <v>2.9809999999999999</v>
      </c>
      <c r="S17" s="39">
        <v>2.3719999999999999</v>
      </c>
      <c r="T17" s="39">
        <v>1.2050000000000001</v>
      </c>
    </row>
    <row r="18" spans="2:20" x14ac:dyDescent="0.25">
      <c r="B18" s="4" t="str">
        <f t="shared" si="0"/>
        <v>GETPOWER 12 Ah 1,75</v>
      </c>
      <c r="C18" s="37" t="s">
        <v>19</v>
      </c>
      <c r="D18" s="37" t="s">
        <v>22</v>
      </c>
      <c r="E18" s="38">
        <v>1.75</v>
      </c>
      <c r="F18" s="39">
        <v>61.481999999999999</v>
      </c>
      <c r="G18" s="39">
        <v>45.981999999999999</v>
      </c>
      <c r="H18" s="39">
        <v>36.847999999999999</v>
      </c>
      <c r="I18" s="39">
        <v>30.588999999999999</v>
      </c>
      <c r="J18" s="39">
        <v>24.33</v>
      </c>
      <c r="K18" s="39">
        <v>19.408000000000001</v>
      </c>
      <c r="L18" s="39">
        <v>14.486000000000001</v>
      </c>
      <c r="M18" s="39">
        <v>9.0570000000000004</v>
      </c>
      <c r="N18" s="39">
        <v>6.4589999999999996</v>
      </c>
      <c r="O18" s="39">
        <v>5.44</v>
      </c>
      <c r="P18" s="39">
        <v>4.4210000000000003</v>
      </c>
      <c r="Q18" s="39">
        <v>3.7130000000000001</v>
      </c>
      <c r="R18" s="39">
        <v>3.0049999999999999</v>
      </c>
      <c r="S18" s="39">
        <v>2.4089999999999998</v>
      </c>
      <c r="T18" s="39">
        <v>1.2450000000000001</v>
      </c>
    </row>
    <row r="19" spans="2:20" x14ac:dyDescent="0.25">
      <c r="B19" s="4" t="str">
        <f t="shared" si="0"/>
        <v>GETPOWER 12 Ah 1,7</v>
      </c>
      <c r="C19" s="37" t="s">
        <v>19</v>
      </c>
      <c r="D19" s="37" t="s">
        <v>22</v>
      </c>
      <c r="E19" s="40">
        <v>1.7</v>
      </c>
      <c r="F19" s="39">
        <v>67.929000000000002</v>
      </c>
      <c r="G19" s="39">
        <v>48.850999999999999</v>
      </c>
      <c r="H19" s="39">
        <v>38.429000000000002</v>
      </c>
      <c r="I19" s="39">
        <v>31.588999999999999</v>
      </c>
      <c r="J19" s="39">
        <v>24.748000000000001</v>
      </c>
      <c r="K19" s="39">
        <v>19.707000000000001</v>
      </c>
      <c r="L19" s="39">
        <v>14.666</v>
      </c>
      <c r="M19" s="39">
        <v>9.1159999999999997</v>
      </c>
      <c r="N19" s="39">
        <v>6.4969999999999999</v>
      </c>
      <c r="O19" s="39">
        <v>5.47</v>
      </c>
      <c r="P19" s="39">
        <v>4.4429999999999996</v>
      </c>
      <c r="Q19" s="39">
        <v>3.7269999999999999</v>
      </c>
      <c r="R19" s="39">
        <v>3.0110000000000001</v>
      </c>
      <c r="S19" s="39">
        <v>2.4279999999999999</v>
      </c>
      <c r="T19" s="39">
        <v>1.264</v>
      </c>
    </row>
    <row r="20" spans="2:20" x14ac:dyDescent="0.25">
      <c r="B20" s="4" t="s">
        <v>34</v>
      </c>
      <c r="C20" s="37" t="s">
        <v>19</v>
      </c>
      <c r="D20" s="37" t="s">
        <v>22</v>
      </c>
      <c r="E20" s="40">
        <v>1.67</v>
      </c>
      <c r="F20" s="39">
        <v>71.744</v>
      </c>
      <c r="G20" s="39">
        <v>50.631999999999998</v>
      </c>
      <c r="H20" s="39">
        <v>39.369999999999997</v>
      </c>
      <c r="I20" s="39">
        <v>32.167999999999999</v>
      </c>
      <c r="J20" s="39">
        <v>24.965</v>
      </c>
      <c r="K20" s="39">
        <v>19.861000000000001</v>
      </c>
      <c r="L20" s="39">
        <v>14.756</v>
      </c>
      <c r="M20" s="39">
        <v>9.1349999999999998</v>
      </c>
      <c r="N20" s="39">
        <v>6.5119999999999996</v>
      </c>
      <c r="O20" s="39">
        <v>5.4779999999999998</v>
      </c>
      <c r="P20" s="39">
        <v>4.4429999999999996</v>
      </c>
      <c r="Q20" s="39">
        <v>3.742</v>
      </c>
      <c r="R20" s="39">
        <v>3.04</v>
      </c>
      <c r="S20" s="39">
        <v>2.4580000000000002</v>
      </c>
      <c r="T20" s="39">
        <v>1.298</v>
      </c>
    </row>
    <row r="21" spans="2:20" x14ac:dyDescent="0.25">
      <c r="B21" s="4" t="str">
        <f t="shared" si="0"/>
        <v>GETPOWER 12 Ah 1,65</v>
      </c>
      <c r="C21" s="37" t="s">
        <v>19</v>
      </c>
      <c r="D21" s="37" t="s">
        <v>22</v>
      </c>
      <c r="E21" s="38">
        <v>1.65</v>
      </c>
      <c r="F21" s="39">
        <v>75.558999999999997</v>
      </c>
      <c r="G21" s="39">
        <v>52.412999999999997</v>
      </c>
      <c r="H21" s="39">
        <v>40.311</v>
      </c>
      <c r="I21" s="39">
        <v>32.747</v>
      </c>
      <c r="J21" s="39">
        <v>25.181999999999999</v>
      </c>
      <c r="K21" s="39">
        <v>20.013999999999999</v>
      </c>
      <c r="L21" s="39">
        <v>14.846</v>
      </c>
      <c r="M21" s="39">
        <v>9.1539999999999999</v>
      </c>
      <c r="N21" s="39">
        <v>6.5270000000000001</v>
      </c>
      <c r="O21" s="39">
        <v>5.4850000000000003</v>
      </c>
      <c r="P21" s="39">
        <v>4.4429999999999996</v>
      </c>
      <c r="Q21" s="39">
        <v>3.7559999999999998</v>
      </c>
      <c r="R21" s="39">
        <v>3.069</v>
      </c>
      <c r="S21" s="39">
        <v>2.488</v>
      </c>
      <c r="T21" s="39">
        <v>1.3320000000000001</v>
      </c>
    </row>
    <row r="22" spans="2:20" x14ac:dyDescent="0.25">
      <c r="B22" s="4" t="str">
        <f t="shared" si="0"/>
        <v>GETPOWER 12 Ah 1,6</v>
      </c>
      <c r="C22" s="37" t="s">
        <v>19</v>
      </c>
      <c r="D22" s="37" t="s">
        <v>22</v>
      </c>
      <c r="E22" s="40">
        <v>1.6</v>
      </c>
      <c r="F22" s="39">
        <v>80.825000000000003</v>
      </c>
      <c r="G22" s="39">
        <v>54.262</v>
      </c>
      <c r="H22" s="39">
        <v>41.494999999999997</v>
      </c>
      <c r="I22" s="39">
        <v>33.497</v>
      </c>
      <c r="J22" s="39">
        <v>25.498000000000001</v>
      </c>
      <c r="K22" s="39">
        <v>20.181000000000001</v>
      </c>
      <c r="L22" s="39">
        <v>14.863</v>
      </c>
      <c r="M22" s="39">
        <v>9.173</v>
      </c>
      <c r="N22" s="39">
        <v>6.5339999999999998</v>
      </c>
      <c r="O22" s="39">
        <v>5.4969999999999999</v>
      </c>
      <c r="P22" s="39">
        <v>4.4589999999999996</v>
      </c>
      <c r="Q22" s="39">
        <v>3.7589999999999999</v>
      </c>
      <c r="R22" s="39">
        <v>3.0590000000000002</v>
      </c>
      <c r="S22" s="39">
        <v>2.4910000000000001</v>
      </c>
      <c r="T22" s="39">
        <v>1.363</v>
      </c>
    </row>
    <row r="23" spans="2:20" x14ac:dyDescent="0.25">
      <c r="B23" s="4" t="str">
        <f t="shared" si="0"/>
        <v>GETPOWER 18 Ah 1,85</v>
      </c>
      <c r="C23" s="5" t="s">
        <v>19</v>
      </c>
      <c r="D23" s="5" t="s">
        <v>23</v>
      </c>
      <c r="E23" s="6">
        <v>1.85</v>
      </c>
      <c r="F23" s="41">
        <v>103.5</v>
      </c>
      <c r="G23" s="41">
        <v>71.400000000000006</v>
      </c>
      <c r="H23" s="41">
        <v>55.9</v>
      </c>
      <c r="I23" s="41">
        <v>46.3</v>
      </c>
      <c r="J23" s="41">
        <v>34.6</v>
      </c>
      <c r="K23" s="41">
        <v>25.4</v>
      </c>
      <c r="L23" s="41">
        <v>20.8</v>
      </c>
      <c r="M23" s="41">
        <v>12.1</v>
      </c>
      <c r="N23" s="41">
        <v>8.74</v>
      </c>
      <c r="O23" s="41">
        <v>6.98</v>
      </c>
      <c r="P23" s="41">
        <v>5.95</v>
      </c>
      <c r="Q23" s="41">
        <v>5.1100000000000003</v>
      </c>
      <c r="R23" s="41">
        <v>4.03</v>
      </c>
      <c r="S23" s="41">
        <v>3.31</v>
      </c>
      <c r="T23" s="41">
        <v>1.76</v>
      </c>
    </row>
    <row r="24" spans="2:20" x14ac:dyDescent="0.25">
      <c r="B24" s="4" t="str">
        <f t="shared" si="0"/>
        <v>GETPOWER 18 Ah 1,8</v>
      </c>
      <c r="C24" s="5" t="s">
        <v>19</v>
      </c>
      <c r="D24" s="5" t="s">
        <v>23</v>
      </c>
      <c r="E24" s="8">
        <v>1.8</v>
      </c>
      <c r="F24" s="41">
        <v>110.3</v>
      </c>
      <c r="G24" s="41">
        <v>75.2</v>
      </c>
      <c r="H24" s="41">
        <v>58.3</v>
      </c>
      <c r="I24" s="41">
        <v>47.9</v>
      </c>
      <c r="J24" s="41">
        <v>35.5</v>
      </c>
      <c r="K24" s="41">
        <v>25.9</v>
      </c>
      <c r="L24" s="41">
        <v>21.3</v>
      </c>
      <c r="M24" s="41">
        <v>12.3</v>
      </c>
      <c r="N24" s="41">
        <v>8.8699999999999992</v>
      </c>
      <c r="O24" s="41">
        <v>7.07</v>
      </c>
      <c r="P24" s="41">
        <v>6.03</v>
      </c>
      <c r="Q24" s="41">
        <v>5.18</v>
      </c>
      <c r="R24" s="41">
        <v>4.09</v>
      </c>
      <c r="S24" s="41">
        <v>3.35</v>
      </c>
      <c r="T24" s="41">
        <v>1.78</v>
      </c>
    </row>
    <row r="25" spans="2:20" x14ac:dyDescent="0.25">
      <c r="B25" s="4" t="str">
        <f t="shared" si="0"/>
        <v>GETPOWER 18 Ah 1,75</v>
      </c>
      <c r="C25" s="5" t="s">
        <v>19</v>
      </c>
      <c r="D25" s="5" t="s">
        <v>23</v>
      </c>
      <c r="E25" s="6">
        <v>1.75</v>
      </c>
      <c r="F25" s="41">
        <v>114.9</v>
      </c>
      <c r="G25" s="41">
        <v>77.599999999999994</v>
      </c>
      <c r="H25" s="41">
        <v>59.9</v>
      </c>
      <c r="I25" s="41">
        <v>48.9</v>
      </c>
      <c r="J25" s="41">
        <v>36.200000000000003</v>
      </c>
      <c r="K25" s="41">
        <v>26.4</v>
      </c>
      <c r="L25" s="41">
        <v>21.6</v>
      </c>
      <c r="M25" s="41">
        <v>12.4</v>
      </c>
      <c r="N25" s="41">
        <v>8.98</v>
      </c>
      <c r="O25" s="41">
        <v>7.16</v>
      </c>
      <c r="P25" s="41">
        <v>6.1</v>
      </c>
      <c r="Q25" s="41">
        <v>5.23</v>
      </c>
      <c r="R25" s="41">
        <v>4.13</v>
      </c>
      <c r="S25" s="41">
        <v>3.38</v>
      </c>
      <c r="T25" s="41">
        <v>1.8</v>
      </c>
    </row>
    <row r="26" spans="2:20" x14ac:dyDescent="0.25">
      <c r="B26" s="4" t="str">
        <f t="shared" si="0"/>
        <v>GETPOWER 18 Ah 1,7</v>
      </c>
      <c r="C26" s="5" t="s">
        <v>19</v>
      </c>
      <c r="D26" s="5" t="s">
        <v>23</v>
      </c>
      <c r="E26" s="8">
        <v>1.7</v>
      </c>
      <c r="F26" s="41">
        <v>119.2</v>
      </c>
      <c r="G26" s="41">
        <v>80.2</v>
      </c>
      <c r="H26" s="41">
        <v>61.5</v>
      </c>
      <c r="I26" s="41">
        <v>50.1</v>
      </c>
      <c r="J26" s="41">
        <v>37</v>
      </c>
      <c r="K26" s="41">
        <v>26.9</v>
      </c>
      <c r="L26" s="41">
        <v>21.9</v>
      </c>
      <c r="M26" s="41">
        <v>12.6</v>
      </c>
      <c r="N26" s="41">
        <v>9.1</v>
      </c>
      <c r="O26" s="41">
        <v>7.24</v>
      </c>
      <c r="P26" s="41">
        <v>6.17</v>
      </c>
      <c r="Q26" s="41">
        <v>5.29</v>
      </c>
      <c r="R26" s="41">
        <v>4.17</v>
      </c>
      <c r="S26" s="41">
        <v>3.41</v>
      </c>
      <c r="T26" s="41">
        <v>1.81</v>
      </c>
    </row>
    <row r="27" spans="2:20" x14ac:dyDescent="0.25">
      <c r="B27" s="4" t="str">
        <f t="shared" si="0"/>
        <v>GETPOWER 18 Ah 1,65</v>
      </c>
      <c r="C27" s="5" t="s">
        <v>19</v>
      </c>
      <c r="D27" s="5" t="s">
        <v>23</v>
      </c>
      <c r="E27" s="6">
        <v>1.65</v>
      </c>
      <c r="F27" s="41">
        <v>122.3</v>
      </c>
      <c r="G27" s="41">
        <v>82</v>
      </c>
      <c r="H27" s="41">
        <v>62.8</v>
      </c>
      <c r="I27" s="41">
        <v>51</v>
      </c>
      <c r="J27" s="41">
        <v>37.5</v>
      </c>
      <c r="K27" s="41">
        <v>27.3</v>
      </c>
      <c r="L27" s="41">
        <v>22.2</v>
      </c>
      <c r="M27" s="41">
        <v>12.7</v>
      </c>
      <c r="N27" s="41">
        <v>9.18</v>
      </c>
      <c r="O27" s="41">
        <v>7.3</v>
      </c>
      <c r="P27" s="41">
        <v>6.22</v>
      </c>
      <c r="Q27" s="41">
        <v>5.33</v>
      </c>
      <c r="R27" s="41">
        <v>4.2</v>
      </c>
      <c r="S27" s="41">
        <v>3.43</v>
      </c>
      <c r="T27" s="41">
        <v>1.83</v>
      </c>
    </row>
    <row r="28" spans="2:20" x14ac:dyDescent="0.25">
      <c r="B28" s="4" t="str">
        <f t="shared" si="0"/>
        <v>GETPOWER 18 Ah 1,6</v>
      </c>
      <c r="C28" s="5" t="s">
        <v>19</v>
      </c>
      <c r="D28" s="5" t="s">
        <v>23</v>
      </c>
      <c r="E28" s="8">
        <v>1.6</v>
      </c>
      <c r="F28" s="41">
        <v>127.2</v>
      </c>
      <c r="G28" s="41">
        <v>84.4</v>
      </c>
      <c r="H28" s="41">
        <v>64.5</v>
      </c>
      <c r="I28" s="41">
        <v>52.3</v>
      </c>
      <c r="J28" s="41">
        <v>38.4</v>
      </c>
      <c r="K28" s="41">
        <v>27.8</v>
      </c>
      <c r="L28" s="41">
        <v>22.6</v>
      </c>
      <c r="M28" s="41">
        <v>12.9</v>
      </c>
      <c r="N28" s="41">
        <v>9.32</v>
      </c>
      <c r="O28" s="41">
        <v>7.41</v>
      </c>
      <c r="P28" s="41">
        <v>6.3</v>
      </c>
      <c r="Q28" s="41">
        <v>5.4</v>
      </c>
      <c r="R28" s="41">
        <v>4.25</v>
      </c>
      <c r="S28" s="41">
        <v>3.47</v>
      </c>
      <c r="T28" s="41">
        <v>1.85</v>
      </c>
    </row>
    <row r="29" spans="2:20" x14ac:dyDescent="0.25">
      <c r="B29" s="4" t="str">
        <f t="shared" si="0"/>
        <v>GETPOWER 26 Ah 1,85</v>
      </c>
      <c r="C29" s="37" t="s">
        <v>19</v>
      </c>
      <c r="D29" s="37" t="s">
        <v>24</v>
      </c>
      <c r="E29" s="42">
        <v>1.85</v>
      </c>
      <c r="F29" s="43">
        <v>100.79600000000001</v>
      </c>
      <c r="G29" s="44">
        <v>81.873999999999995</v>
      </c>
      <c r="H29" s="45">
        <v>69.043999999999997</v>
      </c>
      <c r="I29" s="44">
        <v>58.04</v>
      </c>
      <c r="J29" s="45">
        <v>47.036999999999999</v>
      </c>
      <c r="K29" s="44">
        <v>37.243000000000002</v>
      </c>
      <c r="L29" s="45">
        <v>27.448</v>
      </c>
      <c r="M29" s="44">
        <v>18.016999999999999</v>
      </c>
      <c r="N29" s="45">
        <v>12.872999999999999</v>
      </c>
      <c r="O29" s="44">
        <v>10.869</v>
      </c>
      <c r="P29" s="45">
        <v>8.8640000000000008</v>
      </c>
      <c r="Q29" s="44">
        <v>7.6219999999999999</v>
      </c>
      <c r="R29" s="44">
        <v>6.3810000000000002</v>
      </c>
      <c r="S29" s="44">
        <v>5.0599999999999996</v>
      </c>
      <c r="T29" s="44">
        <v>2.5169999999999999</v>
      </c>
    </row>
    <row r="30" spans="2:20" x14ac:dyDescent="0.25">
      <c r="B30" s="4" t="str">
        <f t="shared" si="0"/>
        <v>GETPOWER 26 Ah 1,8</v>
      </c>
      <c r="C30" s="37" t="s">
        <v>19</v>
      </c>
      <c r="D30" s="37" t="s">
        <v>24</v>
      </c>
      <c r="E30" s="46">
        <v>1.8</v>
      </c>
      <c r="F30" s="47">
        <v>114.41200000000001</v>
      </c>
      <c r="G30" s="48">
        <v>88.201999999999998</v>
      </c>
      <c r="H30" s="49">
        <v>72.754999999999995</v>
      </c>
      <c r="I30" s="48">
        <v>60.543999999999997</v>
      </c>
      <c r="J30" s="49">
        <v>48.332999999999998</v>
      </c>
      <c r="K30" s="48">
        <v>38.08</v>
      </c>
      <c r="L30" s="49">
        <v>27.826000000000001</v>
      </c>
      <c r="M30" s="48">
        <v>18.170999999999999</v>
      </c>
      <c r="N30" s="49">
        <v>12.976000000000001</v>
      </c>
      <c r="O30" s="48">
        <v>10.94</v>
      </c>
      <c r="P30" s="49">
        <v>8.9049999999999994</v>
      </c>
      <c r="Q30" s="48">
        <v>7.6820000000000004</v>
      </c>
      <c r="R30" s="48">
        <v>6.4589999999999996</v>
      </c>
      <c r="S30" s="48">
        <v>5.1390000000000002</v>
      </c>
      <c r="T30" s="48">
        <v>2.6030000000000002</v>
      </c>
    </row>
    <row r="31" spans="2:20" x14ac:dyDescent="0.25">
      <c r="B31" s="4" t="str">
        <f t="shared" si="0"/>
        <v>GETPOWER 26 Ah 1,75</v>
      </c>
      <c r="C31" s="37" t="s">
        <v>19</v>
      </c>
      <c r="D31" s="37" t="s">
        <v>24</v>
      </c>
      <c r="E31" s="42">
        <v>1.75</v>
      </c>
      <c r="F31" s="43">
        <v>128.02799999999999</v>
      </c>
      <c r="G31" s="44">
        <v>94.53</v>
      </c>
      <c r="H31" s="45">
        <v>75.751999999999995</v>
      </c>
      <c r="I31" s="44">
        <v>62.585999999999999</v>
      </c>
      <c r="J31" s="45">
        <v>49.42</v>
      </c>
      <c r="K31" s="44">
        <v>38.71</v>
      </c>
      <c r="L31" s="45">
        <v>28</v>
      </c>
      <c r="M31" s="44">
        <v>18.283000000000001</v>
      </c>
      <c r="N31" s="45">
        <v>13.039</v>
      </c>
      <c r="O31" s="44">
        <v>10.981999999999999</v>
      </c>
      <c r="P31" s="45">
        <v>8.9250000000000007</v>
      </c>
      <c r="Q31" s="44">
        <v>7.718</v>
      </c>
      <c r="R31" s="44">
        <v>6.51</v>
      </c>
      <c r="S31" s="44">
        <v>5.22</v>
      </c>
      <c r="T31" s="44">
        <v>2.69</v>
      </c>
    </row>
    <row r="32" spans="2:20" x14ac:dyDescent="0.25">
      <c r="B32" s="4" t="str">
        <f t="shared" si="0"/>
        <v>GETPOWER 26 Ah 1,7</v>
      </c>
      <c r="C32" s="37" t="s">
        <v>19</v>
      </c>
      <c r="D32" s="37" t="s">
        <v>24</v>
      </c>
      <c r="E32" s="46">
        <v>1.7</v>
      </c>
      <c r="F32" s="47">
        <v>141.45500000000001</v>
      </c>
      <c r="G32" s="48">
        <v>100.429</v>
      </c>
      <c r="H32" s="49">
        <v>79.003</v>
      </c>
      <c r="I32" s="48">
        <v>64.635999999999996</v>
      </c>
      <c r="J32" s="49">
        <v>50.268999999999998</v>
      </c>
      <c r="K32" s="48">
        <v>39.308999999999997</v>
      </c>
      <c r="L32" s="49">
        <v>28.347999999999999</v>
      </c>
      <c r="M32" s="48">
        <v>18.401</v>
      </c>
      <c r="N32" s="49">
        <v>13.115</v>
      </c>
      <c r="O32" s="48">
        <v>11.041</v>
      </c>
      <c r="P32" s="49">
        <v>8.968</v>
      </c>
      <c r="Q32" s="48">
        <v>7.7460000000000004</v>
      </c>
      <c r="R32" s="48">
        <v>6.524</v>
      </c>
      <c r="S32" s="48">
        <v>5.2610000000000001</v>
      </c>
      <c r="T32" s="48">
        <v>2.7309999999999999</v>
      </c>
    </row>
    <row r="33" spans="2:25" x14ac:dyDescent="0.25">
      <c r="B33" s="4" t="s">
        <v>35</v>
      </c>
      <c r="C33" s="37" t="s">
        <v>19</v>
      </c>
      <c r="D33" s="37" t="s">
        <v>24</v>
      </c>
      <c r="E33" s="46">
        <v>1.67</v>
      </c>
      <c r="F33" s="43">
        <v>149.39699999999999</v>
      </c>
      <c r="G33" s="44">
        <v>104.09</v>
      </c>
      <c r="H33" s="45">
        <v>80.938000000000002</v>
      </c>
      <c r="I33" s="44">
        <v>65.823999999999998</v>
      </c>
      <c r="J33" s="45">
        <v>50.710999999999999</v>
      </c>
      <c r="K33" s="44">
        <v>39.616</v>
      </c>
      <c r="L33" s="45">
        <v>28.521999999999998</v>
      </c>
      <c r="M33" s="44">
        <v>18.440000000000001</v>
      </c>
      <c r="N33" s="45">
        <v>13.144</v>
      </c>
      <c r="O33" s="44">
        <v>11.055999999999999</v>
      </c>
      <c r="P33" s="45">
        <v>8.968</v>
      </c>
      <c r="Q33" s="44">
        <v>7.7770000000000001</v>
      </c>
      <c r="R33" s="44">
        <v>6.5860000000000003</v>
      </c>
      <c r="S33" s="44">
        <v>5.3250000000000002</v>
      </c>
      <c r="T33" s="44">
        <v>2.8050000000000002</v>
      </c>
    </row>
    <row r="34" spans="2:25" x14ac:dyDescent="0.25">
      <c r="B34" s="4" t="str">
        <f t="shared" si="0"/>
        <v>GETPOWER 26 Ah 1,65</v>
      </c>
      <c r="C34" s="37" t="s">
        <v>19</v>
      </c>
      <c r="D34" s="37" t="s">
        <v>24</v>
      </c>
      <c r="E34" s="42">
        <v>1.65</v>
      </c>
      <c r="F34" s="43">
        <v>157.34</v>
      </c>
      <c r="G34" s="44">
        <v>107.751</v>
      </c>
      <c r="H34" s="45">
        <v>82.872</v>
      </c>
      <c r="I34" s="44">
        <v>67.012</v>
      </c>
      <c r="J34" s="45">
        <v>51.152000000000001</v>
      </c>
      <c r="K34" s="44">
        <v>39.923999999999999</v>
      </c>
      <c r="L34" s="45">
        <v>28.696000000000002</v>
      </c>
      <c r="M34" s="44">
        <v>18.478000000000002</v>
      </c>
      <c r="N34" s="45">
        <v>13.173999999999999</v>
      </c>
      <c r="O34" s="44">
        <v>11.071</v>
      </c>
      <c r="P34" s="45">
        <v>8.968</v>
      </c>
      <c r="Q34" s="44">
        <v>7.8079999999999998</v>
      </c>
      <c r="R34" s="44">
        <v>6.649</v>
      </c>
      <c r="S34" s="44">
        <v>5.39</v>
      </c>
      <c r="T34" s="44">
        <v>2.8780000000000001</v>
      </c>
    </row>
    <row r="35" spans="2:25" x14ac:dyDescent="0.25">
      <c r="B35" s="4" t="str">
        <f t="shared" si="0"/>
        <v>GETPOWER 26 Ah 1,6</v>
      </c>
      <c r="C35" s="37" t="s">
        <v>19</v>
      </c>
      <c r="D35" s="37" t="s">
        <v>24</v>
      </c>
      <c r="E35" s="40">
        <v>1.6</v>
      </c>
      <c r="F35" s="49">
        <v>168.30799999999999</v>
      </c>
      <c r="G35" s="48">
        <v>111.55200000000001</v>
      </c>
      <c r="H35" s="49">
        <v>85.305999999999997</v>
      </c>
      <c r="I35" s="48">
        <v>68.549000000000007</v>
      </c>
      <c r="J35" s="49">
        <v>51.792000000000002</v>
      </c>
      <c r="K35" s="48">
        <v>40.26</v>
      </c>
      <c r="L35" s="49">
        <v>28.728000000000002</v>
      </c>
      <c r="M35" s="48">
        <v>18.516999999999999</v>
      </c>
      <c r="N35" s="49">
        <v>13.19</v>
      </c>
      <c r="O35" s="48">
        <v>11.096</v>
      </c>
      <c r="P35" s="49">
        <v>9.0009999999999994</v>
      </c>
      <c r="Q35" s="48">
        <v>7.8150000000000004</v>
      </c>
      <c r="R35" s="48">
        <v>6.6289999999999996</v>
      </c>
      <c r="S35" s="48">
        <v>5.3979999999999997</v>
      </c>
      <c r="T35" s="48">
        <v>2.9460000000000002</v>
      </c>
    </row>
    <row r="36" spans="2:25" x14ac:dyDescent="0.25">
      <c r="B36" s="4" t="str">
        <f t="shared" si="0"/>
        <v>GETPOWER 33 Ah 1,85</v>
      </c>
      <c r="C36" s="5" t="s">
        <v>19</v>
      </c>
      <c r="D36" s="5" t="s">
        <v>25</v>
      </c>
      <c r="E36" s="6">
        <v>1.85</v>
      </c>
      <c r="F36" s="41">
        <v>131.589</v>
      </c>
      <c r="G36" s="41">
        <v>110.215</v>
      </c>
      <c r="H36" s="41">
        <v>92.944000000000003</v>
      </c>
      <c r="I36" s="41">
        <v>79.903999999999996</v>
      </c>
      <c r="J36" s="41">
        <v>66.864999999999995</v>
      </c>
      <c r="K36" s="41">
        <v>53.447000000000003</v>
      </c>
      <c r="L36" s="41">
        <v>40.029000000000003</v>
      </c>
      <c r="M36" s="41">
        <v>25.224</v>
      </c>
      <c r="N36" s="41">
        <v>18.023</v>
      </c>
      <c r="O36" s="41">
        <v>15.215999999999999</v>
      </c>
      <c r="P36" s="41">
        <v>12.409000000000001</v>
      </c>
      <c r="Q36" s="41">
        <v>10.254</v>
      </c>
      <c r="R36" s="41">
        <v>8.0990000000000002</v>
      </c>
      <c r="S36" s="41">
        <v>6.4219999999999997</v>
      </c>
      <c r="T36" s="41">
        <v>3.2869999999999999</v>
      </c>
    </row>
    <row r="37" spans="2:25" x14ac:dyDescent="0.25">
      <c r="B37" s="4" t="str">
        <f t="shared" si="0"/>
        <v>GETPOWER 33 Ah 1,8</v>
      </c>
      <c r="C37" s="5" t="s">
        <v>19</v>
      </c>
      <c r="D37" s="5" t="s">
        <v>25</v>
      </c>
      <c r="E37" s="8">
        <v>1.8</v>
      </c>
      <c r="F37" s="41">
        <v>149.364</v>
      </c>
      <c r="G37" s="41">
        <v>118.733</v>
      </c>
      <c r="H37" s="41">
        <v>97.938999999999993</v>
      </c>
      <c r="I37" s="41">
        <v>83.323999999999998</v>
      </c>
      <c r="J37" s="41">
        <v>68.707999999999998</v>
      </c>
      <c r="K37" s="41">
        <v>54.643999999999998</v>
      </c>
      <c r="L37" s="41">
        <v>40.58</v>
      </c>
      <c r="M37" s="41">
        <v>25.439</v>
      </c>
      <c r="N37" s="41">
        <v>18.167000000000002</v>
      </c>
      <c r="O37" s="41">
        <v>15.317</v>
      </c>
      <c r="P37" s="41">
        <v>12.467000000000001</v>
      </c>
      <c r="Q37" s="41">
        <v>10.332000000000001</v>
      </c>
      <c r="R37" s="41">
        <v>8.1980000000000004</v>
      </c>
      <c r="S37" s="41">
        <v>6.5229999999999997</v>
      </c>
      <c r="T37" s="41">
        <v>3.4</v>
      </c>
    </row>
    <row r="38" spans="2:25" x14ac:dyDescent="0.25">
      <c r="B38" s="4" t="str">
        <f t="shared" si="0"/>
        <v>GETPOWER 33 Ah 1,75</v>
      </c>
      <c r="C38" s="5" t="s">
        <v>19</v>
      </c>
      <c r="D38" s="5" t="s">
        <v>25</v>
      </c>
      <c r="E38" s="6">
        <v>1.75</v>
      </c>
      <c r="F38" s="41">
        <v>167.14</v>
      </c>
      <c r="G38" s="41">
        <v>127.251</v>
      </c>
      <c r="H38" s="41">
        <v>101.97499999999999</v>
      </c>
      <c r="I38" s="41">
        <v>86.113</v>
      </c>
      <c r="J38" s="41">
        <v>70.251999999999995</v>
      </c>
      <c r="K38" s="41">
        <v>55.542999999999999</v>
      </c>
      <c r="L38" s="41">
        <v>40.832999999999998</v>
      </c>
      <c r="M38" s="41">
        <v>25.596</v>
      </c>
      <c r="N38" s="41">
        <v>18.254999999999999</v>
      </c>
      <c r="O38" s="41">
        <v>15.375</v>
      </c>
      <c r="P38" s="41">
        <v>12.555</v>
      </c>
      <c r="Q38" s="41">
        <v>10.379</v>
      </c>
      <c r="R38" s="41">
        <v>8.2629999999999999</v>
      </c>
      <c r="S38" s="41">
        <v>6.625</v>
      </c>
      <c r="T38" s="41">
        <v>3.5129999999999999</v>
      </c>
    </row>
    <row r="39" spans="2:25" x14ac:dyDescent="0.25">
      <c r="B39" s="4" t="str">
        <f t="shared" si="0"/>
        <v>GETPOWER 33 Ah 1,7</v>
      </c>
      <c r="C39" s="5" t="s">
        <v>19</v>
      </c>
      <c r="D39" s="5" t="s">
        <v>25</v>
      </c>
      <c r="E39" s="8">
        <v>1.7</v>
      </c>
      <c r="F39" s="41">
        <v>184.66800000000001</v>
      </c>
      <c r="G39" s="41">
        <v>135.19300000000001</v>
      </c>
      <c r="H39" s="41">
        <v>106.35</v>
      </c>
      <c r="I39" s="41">
        <v>88.905000000000001</v>
      </c>
      <c r="J39" s="41">
        <v>71.459999999999994</v>
      </c>
      <c r="K39" s="41">
        <v>56.4</v>
      </c>
      <c r="L39" s="41">
        <v>41.341000000000001</v>
      </c>
      <c r="M39" s="41">
        <v>25.762</v>
      </c>
      <c r="N39" s="41">
        <v>18.361000000000001</v>
      </c>
      <c r="O39" s="41">
        <v>15.458</v>
      </c>
      <c r="P39" s="41">
        <v>12.555</v>
      </c>
      <c r="Q39" s="41">
        <v>10.417999999999999</v>
      </c>
      <c r="R39" s="41">
        <v>8.2799999999999994</v>
      </c>
      <c r="S39" s="41">
        <v>6.6769999999999996</v>
      </c>
      <c r="T39" s="41">
        <v>3.5670000000000002</v>
      </c>
    </row>
    <row r="40" spans="2:25" x14ac:dyDescent="0.25">
      <c r="B40" s="4" t="s">
        <v>36</v>
      </c>
      <c r="C40" s="5" t="s">
        <v>19</v>
      </c>
      <c r="D40" s="5" t="s">
        <v>25</v>
      </c>
      <c r="E40" s="8">
        <v>1.67</v>
      </c>
      <c r="F40" s="41">
        <v>195.03700000000001</v>
      </c>
      <c r="G40" s="41">
        <v>140.12100000000001</v>
      </c>
      <c r="H40" s="41">
        <v>108.955</v>
      </c>
      <c r="I40" s="41">
        <v>90.521000000000001</v>
      </c>
      <c r="J40" s="41">
        <v>72.087000000000003</v>
      </c>
      <c r="K40" s="41">
        <v>56.841000000000001</v>
      </c>
      <c r="L40" s="41">
        <v>41.594000000000001</v>
      </c>
      <c r="M40" s="41">
        <v>25.815999999999999</v>
      </c>
      <c r="N40" s="41">
        <v>18.402000000000001</v>
      </c>
      <c r="O40" s="41">
        <v>15.478999999999999</v>
      </c>
      <c r="P40" s="41">
        <v>12.555</v>
      </c>
      <c r="Q40" s="41">
        <v>10.457000000000001</v>
      </c>
      <c r="R40" s="41">
        <v>8.36</v>
      </c>
      <c r="S40" s="41">
        <v>6.7590000000000003</v>
      </c>
      <c r="T40" s="41">
        <v>3.6629999999999998</v>
      </c>
    </row>
    <row r="41" spans="2:25" x14ac:dyDescent="0.25">
      <c r="B41" s="4" t="str">
        <f t="shared" si="0"/>
        <v>GETPOWER 33 Ah 1,65</v>
      </c>
      <c r="C41" s="5" t="s">
        <v>19</v>
      </c>
      <c r="D41" s="5" t="s">
        <v>25</v>
      </c>
      <c r="E41" s="6">
        <v>1.65</v>
      </c>
      <c r="F41" s="41">
        <v>205.40600000000001</v>
      </c>
      <c r="G41" s="41">
        <v>145.04900000000001</v>
      </c>
      <c r="H41" s="41">
        <v>111.559</v>
      </c>
      <c r="I41" s="41">
        <v>92.137</v>
      </c>
      <c r="J41" s="41">
        <v>72.715000000000003</v>
      </c>
      <c r="K41" s="41">
        <v>57.280999999999999</v>
      </c>
      <c r="L41" s="41">
        <v>41.847999999999999</v>
      </c>
      <c r="M41" s="41">
        <v>25.869</v>
      </c>
      <c r="N41" s="41">
        <v>18.443999999999999</v>
      </c>
      <c r="O41" s="41">
        <v>15.499000000000001</v>
      </c>
      <c r="P41" s="41">
        <v>12.555</v>
      </c>
      <c r="Q41" s="41">
        <v>10.497</v>
      </c>
      <c r="R41" s="41">
        <v>8.4390000000000001</v>
      </c>
      <c r="S41" s="41">
        <v>6.8410000000000002</v>
      </c>
      <c r="T41" s="41">
        <v>3.7589999999999999</v>
      </c>
    </row>
    <row r="42" spans="2:25" x14ac:dyDescent="0.25">
      <c r="B42" s="4" t="str">
        <f t="shared" si="0"/>
        <v>GETPOWER 33 Ah 1,6</v>
      </c>
      <c r="C42" s="5" t="s">
        <v>19</v>
      </c>
      <c r="D42" s="5" t="s">
        <v>25</v>
      </c>
      <c r="E42" s="8">
        <v>1.6</v>
      </c>
      <c r="F42" s="41">
        <v>219.726</v>
      </c>
      <c r="G42" s="41">
        <v>150.167</v>
      </c>
      <c r="H42" s="41">
        <v>114.83499999999999</v>
      </c>
      <c r="I42" s="41">
        <v>94.23</v>
      </c>
      <c r="J42" s="41">
        <v>73.623999999999995</v>
      </c>
      <c r="K42" s="41">
        <v>57.76</v>
      </c>
      <c r="L42" s="41">
        <v>41.895000000000003</v>
      </c>
      <c r="M42" s="41">
        <v>25.922999999999998</v>
      </c>
      <c r="N42" s="41">
        <v>18.46</v>
      </c>
      <c r="O42" s="41">
        <v>15.534000000000001</v>
      </c>
      <c r="P42" s="41">
        <v>12.602</v>
      </c>
      <c r="Q42" s="41">
        <v>10.507999999999999</v>
      </c>
      <c r="R42" s="41">
        <v>8.4130000000000003</v>
      </c>
      <c r="S42" s="41">
        <v>6.851</v>
      </c>
      <c r="T42" s="41">
        <v>3.8479999999999999</v>
      </c>
    </row>
    <row r="43" spans="2:25" x14ac:dyDescent="0.25">
      <c r="B43" s="4" t="str">
        <f t="shared" si="0"/>
        <v>GETPOWER 45 Ah 1,85</v>
      </c>
      <c r="C43" s="37" t="s">
        <v>19</v>
      </c>
      <c r="D43" s="37" t="s">
        <v>26</v>
      </c>
      <c r="E43" s="38">
        <v>1.85</v>
      </c>
      <c r="F43" s="39">
        <v>172.12100000000001</v>
      </c>
      <c r="G43" s="39">
        <v>149.67099999999999</v>
      </c>
      <c r="H43" s="39">
        <v>126.21599999999999</v>
      </c>
      <c r="I43" s="39">
        <v>106.527</v>
      </c>
      <c r="J43" s="39">
        <v>86.837999999999994</v>
      </c>
      <c r="K43" s="39">
        <v>69.152000000000001</v>
      </c>
      <c r="L43" s="39">
        <v>51.466000000000001</v>
      </c>
      <c r="M43" s="39">
        <v>32.707999999999998</v>
      </c>
      <c r="N43" s="39">
        <v>23.37</v>
      </c>
      <c r="O43" s="39">
        <v>19.731000000000002</v>
      </c>
      <c r="P43" s="39">
        <v>16.091000000000001</v>
      </c>
      <c r="Q43" s="39">
        <v>13.568</v>
      </c>
      <c r="R43" s="39">
        <v>11.044</v>
      </c>
      <c r="S43" s="39">
        <v>8.7579999999999991</v>
      </c>
      <c r="T43" s="39">
        <v>4.4329999999999998</v>
      </c>
    </row>
    <row r="44" spans="2:25" x14ac:dyDescent="0.25">
      <c r="B44" s="4" t="str">
        <f t="shared" si="0"/>
        <v>GETPOWER 45 Ah 1,8</v>
      </c>
      <c r="C44" s="37" t="s">
        <v>19</v>
      </c>
      <c r="D44" s="37" t="s">
        <v>26</v>
      </c>
      <c r="E44" s="40">
        <v>1.8</v>
      </c>
      <c r="F44" s="39">
        <v>185.42400000000001</v>
      </c>
      <c r="G44" s="39">
        <v>161.238</v>
      </c>
      <c r="H44" s="39">
        <v>133</v>
      </c>
      <c r="I44" s="39">
        <v>111.11499999999999</v>
      </c>
      <c r="J44" s="39">
        <v>89.230999999999995</v>
      </c>
      <c r="K44" s="39">
        <v>70.701999999999998</v>
      </c>
      <c r="L44" s="39">
        <v>52.173999999999999</v>
      </c>
      <c r="M44" s="39">
        <v>32.987000000000002</v>
      </c>
      <c r="N44" s="39">
        <v>23.556999999999999</v>
      </c>
      <c r="O44" s="39">
        <v>19.861000000000001</v>
      </c>
      <c r="P44" s="39">
        <v>16.166</v>
      </c>
      <c r="Q44" s="39">
        <v>13.672000000000001</v>
      </c>
      <c r="R44" s="39">
        <v>11.179</v>
      </c>
      <c r="S44" s="39">
        <v>8.8949999999999996</v>
      </c>
      <c r="T44" s="39">
        <v>4.585</v>
      </c>
    </row>
    <row r="45" spans="2:25" x14ac:dyDescent="0.25">
      <c r="B45" s="4" t="str">
        <f t="shared" si="0"/>
        <v>GETPOWER 45 Ah 1,75</v>
      </c>
      <c r="C45" s="37" t="s">
        <v>19</v>
      </c>
      <c r="D45" s="37" t="s">
        <v>26</v>
      </c>
      <c r="E45" s="38">
        <v>1.75</v>
      </c>
      <c r="F45" s="39">
        <v>198.726</v>
      </c>
      <c r="G45" s="39">
        <v>172.80500000000001</v>
      </c>
      <c r="H45" s="39">
        <v>138.47999999999999</v>
      </c>
      <c r="I45" s="39">
        <v>114.858</v>
      </c>
      <c r="J45" s="39">
        <v>91.236000000000004</v>
      </c>
      <c r="K45" s="39">
        <v>71.867999999999995</v>
      </c>
      <c r="L45" s="39">
        <v>52.5</v>
      </c>
      <c r="M45" s="39">
        <v>33.19</v>
      </c>
      <c r="N45" s="39">
        <v>23.670999999999999</v>
      </c>
      <c r="O45" s="39">
        <v>19.937000000000001</v>
      </c>
      <c r="P45" s="39">
        <v>16.202999999999999</v>
      </c>
      <c r="Q45" s="39">
        <v>13.734999999999999</v>
      </c>
      <c r="R45" s="39">
        <v>11.268000000000001</v>
      </c>
      <c r="S45" s="39">
        <v>9.0340000000000007</v>
      </c>
      <c r="T45" s="39">
        <v>4.7380000000000004</v>
      </c>
    </row>
    <row r="46" spans="2:25" x14ac:dyDescent="0.25">
      <c r="B46" s="4" t="str">
        <f t="shared" si="0"/>
        <v>GETPOWER 45 Ah 1,7</v>
      </c>
      <c r="C46" s="37" t="s">
        <v>19</v>
      </c>
      <c r="D46" s="37" t="s">
        <v>26</v>
      </c>
      <c r="E46" s="40">
        <v>1.7</v>
      </c>
      <c r="F46" s="39">
        <v>211.12899999999999</v>
      </c>
      <c r="G46" s="39">
        <v>183.59</v>
      </c>
      <c r="H46" s="39">
        <v>144.422</v>
      </c>
      <c r="I46" s="39">
        <v>118.613</v>
      </c>
      <c r="J46" s="39">
        <v>92.805000000000007</v>
      </c>
      <c r="K46" s="39">
        <v>72.978999999999999</v>
      </c>
      <c r="L46" s="39">
        <v>53.152000000000001</v>
      </c>
      <c r="M46" s="39">
        <v>33.405000000000001</v>
      </c>
      <c r="N46" s="39">
        <v>23.808</v>
      </c>
      <c r="O46" s="39">
        <v>20.045000000000002</v>
      </c>
      <c r="P46" s="39">
        <v>16.280999999999999</v>
      </c>
      <c r="Q46" s="39">
        <v>13.786</v>
      </c>
      <c r="R46" s="39">
        <v>11.291</v>
      </c>
      <c r="S46" s="39">
        <v>9.1050000000000004</v>
      </c>
      <c r="T46" s="39">
        <v>4.8109999999999999</v>
      </c>
    </row>
    <row r="47" spans="2:25" x14ac:dyDescent="0.25">
      <c r="B47" s="4" t="s">
        <v>37</v>
      </c>
      <c r="C47" s="37" t="s">
        <v>19</v>
      </c>
      <c r="D47" s="37" t="s">
        <v>26</v>
      </c>
      <c r="E47" s="40">
        <v>1.67</v>
      </c>
      <c r="F47" s="39">
        <v>218.82499999999999</v>
      </c>
      <c r="G47" s="39">
        <v>190.28200000000001</v>
      </c>
      <c r="H47" s="39">
        <v>147.958</v>
      </c>
      <c r="I47" s="39">
        <v>120.789</v>
      </c>
      <c r="J47" s="39">
        <v>93.62</v>
      </c>
      <c r="K47" s="39">
        <v>73.549000000000007</v>
      </c>
      <c r="L47" s="39">
        <v>53.478000000000002</v>
      </c>
      <c r="M47" s="39">
        <v>33.475000000000001</v>
      </c>
      <c r="N47" s="39">
        <v>23.861999999999998</v>
      </c>
      <c r="O47" s="39">
        <v>20.071000000000002</v>
      </c>
      <c r="P47" s="39">
        <v>16.28</v>
      </c>
      <c r="Q47" s="39">
        <v>13.84</v>
      </c>
      <c r="R47" s="39">
        <v>11.398999999999999</v>
      </c>
      <c r="S47" s="39">
        <v>9.2170000000000005</v>
      </c>
      <c r="T47" s="39">
        <v>4.9400000000000004</v>
      </c>
    </row>
    <row r="48" spans="2:25" x14ac:dyDescent="0.25">
      <c r="B48" s="4" t="str">
        <f t="shared" si="0"/>
        <v>GETPOWER 45 Ah 1,65</v>
      </c>
      <c r="C48" s="37" t="s">
        <v>19</v>
      </c>
      <c r="D48" s="37" t="s">
        <v>26</v>
      </c>
      <c r="E48" s="38">
        <v>1.65</v>
      </c>
      <c r="F48" s="39">
        <v>226.52</v>
      </c>
      <c r="G48" s="39">
        <v>196.97399999999999</v>
      </c>
      <c r="H48" s="39">
        <v>151.495</v>
      </c>
      <c r="I48" s="39">
        <v>122.965</v>
      </c>
      <c r="J48" s="39">
        <v>94.435000000000002</v>
      </c>
      <c r="K48" s="39">
        <v>74.119</v>
      </c>
      <c r="L48" s="39">
        <v>53.804000000000002</v>
      </c>
      <c r="M48" s="39">
        <v>33.545000000000002</v>
      </c>
      <c r="N48" s="39">
        <v>23.916</v>
      </c>
      <c r="O48" s="39">
        <v>20.106000000000002</v>
      </c>
      <c r="P48" s="39">
        <v>16.295999999999999</v>
      </c>
      <c r="Q48" s="39">
        <v>13.865</v>
      </c>
      <c r="R48" s="39">
        <v>11.433999999999999</v>
      </c>
      <c r="S48" s="39">
        <v>9.3279999999999994</v>
      </c>
      <c r="T48" s="39">
        <v>5.069</v>
      </c>
      <c r="W48" s="10"/>
      <c r="Y48" t="e">
        <f>(W51-W50)/(W49-W48)*(W52-W48)+W50</f>
        <v>#DIV/0!</v>
      </c>
    </row>
    <row r="49" spans="2:23" x14ac:dyDescent="0.25">
      <c r="B49" s="4" t="str">
        <f t="shared" si="0"/>
        <v>GETPOWER 45 Ah 1,6</v>
      </c>
      <c r="C49" s="37" t="s">
        <v>19</v>
      </c>
      <c r="D49" s="37" t="s">
        <v>26</v>
      </c>
      <c r="E49" s="40">
        <v>1.6</v>
      </c>
      <c r="F49" s="39">
        <v>234.512</v>
      </c>
      <c r="G49" s="39">
        <v>203.92400000000001</v>
      </c>
      <c r="H49" s="39">
        <v>155.94399999999999</v>
      </c>
      <c r="I49" s="39">
        <v>125.78</v>
      </c>
      <c r="J49" s="39">
        <v>95.616</v>
      </c>
      <c r="K49" s="39">
        <v>74.741</v>
      </c>
      <c r="L49" s="39">
        <v>53.865000000000002</v>
      </c>
      <c r="M49" s="39">
        <v>33.615000000000002</v>
      </c>
      <c r="N49" s="39">
        <v>23.945</v>
      </c>
      <c r="O49" s="39">
        <v>20.143000000000001</v>
      </c>
      <c r="P49" s="39">
        <v>16.341000000000001</v>
      </c>
      <c r="Q49" s="39">
        <v>18.907</v>
      </c>
      <c r="R49" s="39">
        <v>11.473000000000001</v>
      </c>
      <c r="S49" s="39">
        <v>9.343</v>
      </c>
      <c r="T49" s="39">
        <v>5.1890000000000001</v>
      </c>
      <c r="W49" s="10"/>
    </row>
    <row r="50" spans="2:23" x14ac:dyDescent="0.25">
      <c r="B50" s="4" t="str">
        <f t="shared" si="0"/>
        <v>GETPOWER 55 Ah 1,85</v>
      </c>
      <c r="C50" s="5" t="s">
        <v>19</v>
      </c>
      <c r="D50" s="5" t="s">
        <v>27</v>
      </c>
      <c r="E50" s="50">
        <v>1.85</v>
      </c>
      <c r="F50" s="51">
        <v>244.953</v>
      </c>
      <c r="G50" s="52">
        <v>188.42599999999999</v>
      </c>
      <c r="H50" s="53">
        <v>150.74100000000001</v>
      </c>
      <c r="I50" s="52">
        <v>127.473</v>
      </c>
      <c r="J50" s="53">
        <v>104.205</v>
      </c>
      <c r="K50" s="52">
        <v>83.554000000000002</v>
      </c>
      <c r="L50" s="53">
        <v>62.902999999999999</v>
      </c>
      <c r="M50" s="52">
        <v>39.637999999999998</v>
      </c>
      <c r="N50" s="53">
        <v>28.321000000000002</v>
      </c>
      <c r="O50" s="52">
        <v>23.911000000000001</v>
      </c>
      <c r="P50" s="53">
        <v>19.5</v>
      </c>
      <c r="Q50" s="52">
        <v>16.5</v>
      </c>
      <c r="R50" s="52">
        <v>13.499000000000001</v>
      </c>
      <c r="S50" s="52">
        <v>10.704000000000001</v>
      </c>
      <c r="T50" s="52">
        <v>5.4290000000000003</v>
      </c>
      <c r="W50" s="15"/>
    </row>
    <row r="51" spans="2:23" x14ac:dyDescent="0.25">
      <c r="B51" s="4" t="str">
        <f t="shared" si="0"/>
        <v>GETPOWER 55 Ah 1,8</v>
      </c>
      <c r="C51" s="5" t="s">
        <v>19</v>
      </c>
      <c r="D51" s="5" t="s">
        <v>27</v>
      </c>
      <c r="E51" s="54">
        <v>1.8</v>
      </c>
      <c r="F51" s="55">
        <v>258.12</v>
      </c>
      <c r="G51" s="56">
        <v>198.554</v>
      </c>
      <c r="H51" s="57">
        <v>158.84299999999999</v>
      </c>
      <c r="I51" s="56">
        <v>132.96</v>
      </c>
      <c r="J51" s="57">
        <v>107.077</v>
      </c>
      <c r="K51" s="56">
        <v>85.423000000000002</v>
      </c>
      <c r="L51" s="57">
        <v>63.768000000000001</v>
      </c>
      <c r="M51" s="56">
        <v>39.975999999999999</v>
      </c>
      <c r="N51" s="57">
        <v>28.547000000000001</v>
      </c>
      <c r="O51" s="56">
        <v>24.068999999999999</v>
      </c>
      <c r="P51" s="57">
        <v>19.59</v>
      </c>
      <c r="Q51" s="56">
        <v>16.626999999999999</v>
      </c>
      <c r="R51" s="56">
        <v>13.663</v>
      </c>
      <c r="S51" s="56">
        <v>10.871</v>
      </c>
      <c r="T51" s="56">
        <v>5.6150000000000002</v>
      </c>
      <c r="W51" s="15"/>
    </row>
    <row r="52" spans="2:23" x14ac:dyDescent="0.25">
      <c r="B52" s="4" t="str">
        <f t="shared" si="0"/>
        <v>GETPOWER 55 Ah 1,75</v>
      </c>
      <c r="C52" s="5" t="s">
        <v>19</v>
      </c>
      <c r="D52" s="5" t="s">
        <v>27</v>
      </c>
      <c r="E52" s="50">
        <v>1.75</v>
      </c>
      <c r="F52" s="51">
        <v>268.75400000000002</v>
      </c>
      <c r="G52" s="52">
        <v>206.73400000000001</v>
      </c>
      <c r="H52" s="53">
        <v>165.387</v>
      </c>
      <c r="I52" s="52">
        <v>137.435</v>
      </c>
      <c r="J52" s="53">
        <v>109.48399999999999</v>
      </c>
      <c r="K52" s="52">
        <v>86.825000000000003</v>
      </c>
      <c r="L52" s="53">
        <v>64.167000000000002</v>
      </c>
      <c r="M52" s="52">
        <v>40.222000000000001</v>
      </c>
      <c r="N52" s="53">
        <v>28.686</v>
      </c>
      <c r="O52" s="52">
        <v>24.161000000000001</v>
      </c>
      <c r="P52" s="53">
        <v>19.635000000000002</v>
      </c>
      <c r="Q52" s="52">
        <v>16.704000000000001</v>
      </c>
      <c r="R52" s="52">
        <v>13.772</v>
      </c>
      <c r="S52" s="52">
        <v>11.041</v>
      </c>
      <c r="T52" s="52">
        <v>5.8019999999999996</v>
      </c>
    </row>
    <row r="53" spans="2:23" x14ac:dyDescent="0.25">
      <c r="B53" s="4" t="str">
        <f t="shared" si="0"/>
        <v>GETPOWER 55 Ah 1,7</v>
      </c>
      <c r="C53" s="5" t="s">
        <v>19</v>
      </c>
      <c r="D53" s="5" t="s">
        <v>27</v>
      </c>
      <c r="E53" s="54">
        <v>1.7</v>
      </c>
      <c r="F53" s="55">
        <v>280.286</v>
      </c>
      <c r="G53" s="56">
        <v>215.60499999999999</v>
      </c>
      <c r="H53" s="57">
        <v>172.48400000000001</v>
      </c>
      <c r="I53" s="56">
        <v>141.92500000000001</v>
      </c>
      <c r="J53" s="57">
        <v>111.366</v>
      </c>
      <c r="K53" s="56">
        <v>88.165000000000006</v>
      </c>
      <c r="L53" s="57">
        <v>64.963999999999999</v>
      </c>
      <c r="M53" s="56">
        <v>40.482999999999997</v>
      </c>
      <c r="N53" s="57">
        <v>28.853000000000002</v>
      </c>
      <c r="O53" s="56">
        <v>24.291</v>
      </c>
      <c r="P53" s="57">
        <v>19.73</v>
      </c>
      <c r="Q53" s="56">
        <v>16.765000000000001</v>
      </c>
      <c r="R53" s="56">
        <v>13.8</v>
      </c>
      <c r="S53" s="56">
        <v>11.128</v>
      </c>
      <c r="T53" s="56">
        <v>5.891</v>
      </c>
    </row>
    <row r="54" spans="2:23" x14ac:dyDescent="0.25">
      <c r="B54" s="4" t="s">
        <v>38</v>
      </c>
      <c r="C54" s="5" t="s">
        <v>19</v>
      </c>
      <c r="D54" s="5" t="s">
        <v>27</v>
      </c>
      <c r="E54" s="54">
        <v>1.67</v>
      </c>
      <c r="F54" s="51">
        <v>287.14999999999998</v>
      </c>
      <c r="G54" s="52">
        <v>220.88499999999999</v>
      </c>
      <c r="H54" s="53">
        <v>176.708</v>
      </c>
      <c r="I54" s="52">
        <v>144.52600000000001</v>
      </c>
      <c r="J54" s="53">
        <v>112.34399999999999</v>
      </c>
      <c r="K54" s="52">
        <v>88.852999999999994</v>
      </c>
      <c r="L54" s="53">
        <v>65.361999999999995</v>
      </c>
      <c r="M54" s="52">
        <v>40.567</v>
      </c>
      <c r="N54" s="53">
        <v>28.917999999999999</v>
      </c>
      <c r="O54" s="52">
        <v>24.324000000000002</v>
      </c>
      <c r="P54" s="53">
        <v>19.73</v>
      </c>
      <c r="Q54" s="52">
        <v>16.765000000000001</v>
      </c>
      <c r="R54" s="52">
        <v>13.8</v>
      </c>
      <c r="S54" s="52">
        <v>11.128</v>
      </c>
      <c r="T54" s="52">
        <v>5.891</v>
      </c>
    </row>
    <row r="55" spans="2:23" x14ac:dyDescent="0.25">
      <c r="B55" s="4" t="str">
        <f t="shared" si="0"/>
        <v>GETPOWER 55 Ah 1,65</v>
      </c>
      <c r="C55" s="5" t="s">
        <v>19</v>
      </c>
      <c r="D55" s="5" t="s">
        <v>27</v>
      </c>
      <c r="E55" s="50">
        <v>1.65</v>
      </c>
      <c r="F55" s="51">
        <v>294.01400000000001</v>
      </c>
      <c r="G55" s="52">
        <v>226.16499999999999</v>
      </c>
      <c r="H55" s="53">
        <v>180.93199999999999</v>
      </c>
      <c r="I55" s="52">
        <v>147.12700000000001</v>
      </c>
      <c r="J55" s="53">
        <v>113.322</v>
      </c>
      <c r="K55" s="52">
        <v>89.540999999999997</v>
      </c>
      <c r="L55" s="53">
        <v>65.760999999999996</v>
      </c>
      <c r="M55" s="52">
        <v>40.652000000000001</v>
      </c>
      <c r="N55" s="53">
        <v>28.983000000000001</v>
      </c>
      <c r="O55" s="52">
        <v>24.356000000000002</v>
      </c>
      <c r="P55" s="53">
        <v>19.728999999999999</v>
      </c>
      <c r="Q55" s="52">
        <v>16.86</v>
      </c>
      <c r="R55" s="52">
        <v>13.991</v>
      </c>
      <c r="S55" s="52">
        <v>11.401</v>
      </c>
      <c r="T55" s="52">
        <v>6.2069999999999999</v>
      </c>
    </row>
    <row r="56" spans="2:23" x14ac:dyDescent="0.25">
      <c r="B56" s="4" t="str">
        <f t="shared" si="0"/>
        <v>GETPOWER 55 Ah 1,6</v>
      </c>
      <c r="C56" s="5" t="s">
        <v>19</v>
      </c>
      <c r="D56" s="5" t="s">
        <v>27</v>
      </c>
      <c r="E56" s="13">
        <v>1.6</v>
      </c>
      <c r="F56" s="57">
        <v>302.64800000000002</v>
      </c>
      <c r="G56" s="56">
        <v>232.80600000000001</v>
      </c>
      <c r="H56" s="57">
        <v>186.245</v>
      </c>
      <c r="I56" s="56">
        <v>150.49199999999999</v>
      </c>
      <c r="J56" s="57">
        <v>114.739</v>
      </c>
      <c r="K56" s="56">
        <v>90.287000000000006</v>
      </c>
      <c r="L56" s="57">
        <v>65.834999999999994</v>
      </c>
      <c r="M56" s="56">
        <v>40.735999999999997</v>
      </c>
      <c r="N56" s="57">
        <v>29.018000000000001</v>
      </c>
      <c r="O56" s="56">
        <v>24.41</v>
      </c>
      <c r="P56" s="57">
        <v>19.803000000000001</v>
      </c>
      <c r="Q56" s="56">
        <v>16.911999999999999</v>
      </c>
      <c r="R56" s="56">
        <v>14.022</v>
      </c>
      <c r="S56" s="56">
        <v>11.419</v>
      </c>
      <c r="T56" s="56">
        <v>6.3540000000000001</v>
      </c>
    </row>
    <row r="57" spans="2:23" x14ac:dyDescent="0.25">
      <c r="B57" s="11" t="str">
        <f t="shared" si="0"/>
        <v>KUNG LONG 7 Ah 1,85</v>
      </c>
      <c r="C57" s="37" t="s">
        <v>28</v>
      </c>
      <c r="D57" s="37" t="s">
        <v>20</v>
      </c>
      <c r="E57" s="38">
        <v>1.85</v>
      </c>
      <c r="F57" s="58">
        <v>26.3</v>
      </c>
      <c r="G57" s="58">
        <v>19.3</v>
      </c>
      <c r="H57" s="58">
        <v>15.8</v>
      </c>
      <c r="I57" s="58">
        <v>13.4</v>
      </c>
      <c r="J57" s="58">
        <v>10.7</v>
      </c>
      <c r="K57" s="40">
        <v>9.0399999999999991</v>
      </c>
      <c r="L57" s="40">
        <v>7.38</v>
      </c>
      <c r="M57" s="40">
        <v>4.26</v>
      </c>
      <c r="N57" s="40">
        <v>3.26</v>
      </c>
      <c r="O57" s="40">
        <v>2.6</v>
      </c>
      <c r="P57" s="40">
        <v>2.1800000000000002</v>
      </c>
      <c r="Q57" s="40">
        <v>1.95</v>
      </c>
      <c r="R57" s="40">
        <v>1.5</v>
      </c>
      <c r="S57" s="59">
        <v>1.26</v>
      </c>
      <c r="T57" s="60">
        <v>0.68600000000000005</v>
      </c>
    </row>
    <row r="58" spans="2:23" x14ac:dyDescent="0.25">
      <c r="B58" s="11" t="str">
        <f t="shared" si="0"/>
        <v>KUNG LONG 7 Ah 1,8</v>
      </c>
      <c r="C58" s="37" t="s">
        <v>28</v>
      </c>
      <c r="D58" s="37" t="s">
        <v>20</v>
      </c>
      <c r="E58" s="40">
        <v>1.8</v>
      </c>
      <c r="F58" s="58">
        <v>33.200000000000003</v>
      </c>
      <c r="G58" s="58">
        <v>23.3</v>
      </c>
      <c r="H58" s="58">
        <v>18.5</v>
      </c>
      <c r="I58" s="58">
        <v>15.3</v>
      </c>
      <c r="J58" s="58">
        <v>11.8</v>
      </c>
      <c r="K58" s="40">
        <v>9.76</v>
      </c>
      <c r="L58" s="40">
        <v>7.72</v>
      </c>
      <c r="M58" s="40">
        <v>4.43</v>
      </c>
      <c r="N58" s="40">
        <v>3.37</v>
      </c>
      <c r="O58" s="40">
        <v>2.68</v>
      </c>
      <c r="P58" s="40">
        <v>2.2400000000000002</v>
      </c>
      <c r="Q58" s="40">
        <v>2</v>
      </c>
      <c r="R58" s="40">
        <v>1.53</v>
      </c>
      <c r="S58" s="59">
        <v>1.28</v>
      </c>
      <c r="T58" s="60">
        <v>0.69499999999999995</v>
      </c>
    </row>
    <row r="59" spans="2:23" x14ac:dyDescent="0.25">
      <c r="B59" s="11" t="str">
        <f t="shared" si="0"/>
        <v>KUNG LONG 7 Ah 1,75</v>
      </c>
      <c r="C59" s="37" t="s">
        <v>28</v>
      </c>
      <c r="D59" s="37" t="s">
        <v>20</v>
      </c>
      <c r="E59" s="38">
        <v>1.75</v>
      </c>
      <c r="F59" s="58">
        <v>38.6</v>
      </c>
      <c r="G59" s="58">
        <v>26.4</v>
      </c>
      <c r="H59" s="58">
        <v>20.5</v>
      </c>
      <c r="I59" s="58">
        <v>16.7</v>
      </c>
      <c r="J59" s="58">
        <v>12.6</v>
      </c>
      <c r="K59" s="40">
        <v>10.26</v>
      </c>
      <c r="L59" s="40">
        <v>7.92</v>
      </c>
      <c r="M59" s="40">
        <v>4.5199999999999996</v>
      </c>
      <c r="N59" s="40">
        <v>3.44</v>
      </c>
      <c r="O59" s="40">
        <v>2.73</v>
      </c>
      <c r="P59" s="40">
        <v>2.2799999999999998</v>
      </c>
      <c r="Q59" s="40">
        <v>2.04</v>
      </c>
      <c r="R59" s="40">
        <v>1.56</v>
      </c>
      <c r="S59" s="59">
        <v>1.3</v>
      </c>
      <c r="T59" s="60">
        <v>0.70199999999999996</v>
      </c>
    </row>
    <row r="60" spans="2:23" x14ac:dyDescent="0.25">
      <c r="B60" s="11" t="str">
        <f t="shared" si="0"/>
        <v>KUNG LONG 7 Ah 1,7</v>
      </c>
      <c r="C60" s="37" t="s">
        <v>28</v>
      </c>
      <c r="D60" s="37" t="s">
        <v>20</v>
      </c>
      <c r="E60" s="40">
        <v>1.7</v>
      </c>
      <c r="F60" s="58">
        <v>41.9</v>
      </c>
      <c r="G60" s="58">
        <v>28.3</v>
      </c>
      <c r="H60" s="58">
        <v>21.7</v>
      </c>
      <c r="I60" s="58">
        <v>17.5</v>
      </c>
      <c r="J60" s="58">
        <v>13.1</v>
      </c>
      <c r="K60" s="40">
        <v>10.545</v>
      </c>
      <c r="L60" s="40">
        <v>7.99</v>
      </c>
      <c r="M60" s="40">
        <v>4.5599999999999996</v>
      </c>
      <c r="N60" s="40">
        <v>3.46</v>
      </c>
      <c r="O60" s="40">
        <v>2.75</v>
      </c>
      <c r="P60" s="40">
        <v>2.29</v>
      </c>
      <c r="Q60" s="40">
        <v>2.0499999999999998</v>
      </c>
      <c r="R60" s="40">
        <v>1.57</v>
      </c>
      <c r="S60" s="59">
        <v>1.31</v>
      </c>
      <c r="T60" s="60">
        <v>0.70599999999999996</v>
      </c>
    </row>
    <row r="61" spans="2:23" x14ac:dyDescent="0.25">
      <c r="B61" s="11" t="str">
        <f t="shared" si="0"/>
        <v>KUNG LONG 7 Ah 1,67</v>
      </c>
      <c r="C61" s="37" t="s">
        <v>28</v>
      </c>
      <c r="D61" s="37" t="s">
        <v>20</v>
      </c>
      <c r="E61" s="38">
        <v>1.67</v>
      </c>
      <c r="F61" s="58">
        <v>43.2</v>
      </c>
      <c r="G61" s="58">
        <v>29</v>
      </c>
      <c r="H61" s="58">
        <v>22.2</v>
      </c>
      <c r="I61" s="58">
        <v>17.899999999999999</v>
      </c>
      <c r="J61" s="58">
        <v>13.3</v>
      </c>
      <c r="K61" s="40">
        <v>10.664999999999999</v>
      </c>
      <c r="L61" s="40">
        <v>8.0299999999999994</v>
      </c>
      <c r="M61" s="40">
        <v>4.58</v>
      </c>
      <c r="N61" s="40">
        <v>3.48</v>
      </c>
      <c r="O61" s="40">
        <v>2.76</v>
      </c>
      <c r="P61" s="40">
        <v>2.2999999999999998</v>
      </c>
      <c r="Q61" s="40">
        <v>2.06</v>
      </c>
      <c r="R61" s="40">
        <v>1.57</v>
      </c>
      <c r="S61" s="59">
        <v>1.31</v>
      </c>
      <c r="T61" s="60">
        <v>0.70799999999999996</v>
      </c>
    </row>
    <row r="62" spans="2:23" x14ac:dyDescent="0.25">
      <c r="B62" s="11" t="str">
        <f t="shared" si="0"/>
        <v>KUNG LONG 7 Ah 1,65</v>
      </c>
      <c r="C62" s="37" t="s">
        <v>28</v>
      </c>
      <c r="D62" s="37" t="s">
        <v>20</v>
      </c>
      <c r="E62" s="40">
        <v>1.65</v>
      </c>
      <c r="F62" s="58">
        <v>44</v>
      </c>
      <c r="G62" s="58">
        <v>29.4</v>
      </c>
      <c r="H62" s="58">
        <v>22.4</v>
      </c>
      <c r="I62" s="58">
        <v>18.100000000000001</v>
      </c>
      <c r="J62" s="58">
        <v>13.4</v>
      </c>
      <c r="K62" s="40">
        <v>10.73</v>
      </c>
      <c r="L62" s="40">
        <v>8.06</v>
      </c>
      <c r="M62" s="40">
        <v>4.5999999999999996</v>
      </c>
      <c r="N62" s="40">
        <v>3.49</v>
      </c>
      <c r="O62" s="40">
        <v>2.77</v>
      </c>
      <c r="P62" s="40">
        <v>2.31</v>
      </c>
      <c r="Q62" s="40">
        <v>2.0699999999999998</v>
      </c>
      <c r="R62" s="40">
        <v>1.58</v>
      </c>
      <c r="S62" s="59">
        <v>1.32</v>
      </c>
      <c r="T62" s="60">
        <v>0.71</v>
      </c>
    </row>
    <row r="63" spans="2:23" x14ac:dyDescent="0.25">
      <c r="B63" s="11" t="str">
        <f t="shared" si="0"/>
        <v>KUNG LONG 7 Ah 1,6</v>
      </c>
      <c r="C63" s="37" t="s">
        <v>28</v>
      </c>
      <c r="D63" s="37" t="s">
        <v>20</v>
      </c>
      <c r="E63" s="40">
        <v>1.6</v>
      </c>
      <c r="F63" s="58">
        <v>45.1</v>
      </c>
      <c r="G63" s="58">
        <v>30.1</v>
      </c>
      <c r="H63" s="58">
        <v>22.9</v>
      </c>
      <c r="I63" s="58">
        <v>18.399999999999999</v>
      </c>
      <c r="J63" s="58">
        <v>13.6</v>
      </c>
      <c r="K63" s="40">
        <v>10.83</v>
      </c>
      <c r="L63" s="40">
        <v>8.06</v>
      </c>
      <c r="M63" s="40">
        <v>4.63</v>
      </c>
      <c r="N63" s="40">
        <v>3.51</v>
      </c>
      <c r="O63" s="40">
        <v>2.79</v>
      </c>
      <c r="P63" s="40">
        <v>2.3199999999999998</v>
      </c>
      <c r="Q63" s="40">
        <v>2.0699999999999998</v>
      </c>
      <c r="R63" s="40">
        <v>1.58</v>
      </c>
      <c r="S63" s="59">
        <v>1.32</v>
      </c>
      <c r="T63" s="60">
        <v>0.71099999999999997</v>
      </c>
    </row>
    <row r="64" spans="2:23" x14ac:dyDescent="0.25">
      <c r="B64" s="11" t="str">
        <f t="shared" si="0"/>
        <v>KUNG LONG 9 Ah 1,85</v>
      </c>
      <c r="C64" s="5" t="s">
        <v>28</v>
      </c>
      <c r="D64" s="5" t="s">
        <v>21</v>
      </c>
      <c r="E64" s="6">
        <v>1.85</v>
      </c>
      <c r="F64" s="12">
        <v>57.1</v>
      </c>
      <c r="G64" s="12">
        <v>36.5</v>
      </c>
      <c r="H64" s="12">
        <v>30.1</v>
      </c>
      <c r="I64" s="16">
        <f>($J64-$H64)/(30-15)*(20-15)+H64</f>
        <v>25.333333333333336</v>
      </c>
      <c r="J64" s="12">
        <v>15.8</v>
      </c>
      <c r="K64" s="13">
        <v>12.885</v>
      </c>
      <c r="L64" s="8">
        <v>9.9700000000000006</v>
      </c>
      <c r="M64" s="8">
        <v>5.4</v>
      </c>
      <c r="N64" s="8">
        <v>4.2</v>
      </c>
      <c r="O64" s="8">
        <v>3.4</v>
      </c>
      <c r="P64" s="8">
        <v>2.89</v>
      </c>
      <c r="Q64" s="13">
        <v>0</v>
      </c>
      <c r="R64" s="16">
        <v>0</v>
      </c>
      <c r="S64" s="8">
        <v>1.62</v>
      </c>
      <c r="T64" s="17">
        <v>0.85299999999999998</v>
      </c>
    </row>
    <row r="65" spans="2:20" x14ac:dyDescent="0.25">
      <c r="B65" s="11" t="str">
        <f t="shared" si="0"/>
        <v>KUNG LONG 9 Ah 1,8</v>
      </c>
      <c r="C65" s="5" t="s">
        <v>28</v>
      </c>
      <c r="D65" s="5" t="s">
        <v>21</v>
      </c>
      <c r="E65" s="8">
        <v>1.8</v>
      </c>
      <c r="F65" s="12">
        <v>60.2</v>
      </c>
      <c r="G65" s="12">
        <v>39.1</v>
      </c>
      <c r="H65" s="12">
        <v>31.2</v>
      </c>
      <c r="I65" s="16">
        <f t="shared" ref="I65:I98" si="1">($J65-$H65)/(30-15)*(20-15)+H65</f>
        <v>26.2</v>
      </c>
      <c r="J65" s="12">
        <v>16.2</v>
      </c>
      <c r="K65" s="13">
        <f>($L65-$J65)/(60-30)*(45-30)+J65</f>
        <v>13.3</v>
      </c>
      <c r="L65" s="12">
        <v>10.4</v>
      </c>
      <c r="M65" s="8">
        <v>5.56</v>
      </c>
      <c r="N65" s="8">
        <v>4.3499999999999996</v>
      </c>
      <c r="O65" s="8">
        <v>3.53</v>
      </c>
      <c r="P65" s="8">
        <v>2.99</v>
      </c>
      <c r="Q65" s="13">
        <v>0</v>
      </c>
      <c r="R65" s="16">
        <v>0</v>
      </c>
      <c r="S65" s="8">
        <v>1.68</v>
      </c>
      <c r="T65" s="17">
        <v>0.88200000000000001</v>
      </c>
    </row>
    <row r="66" spans="2:20" x14ac:dyDescent="0.25">
      <c r="B66" s="11" t="str">
        <f t="shared" si="0"/>
        <v>KUNG LONG 9 Ah 1,75</v>
      </c>
      <c r="C66" s="5" t="s">
        <v>28</v>
      </c>
      <c r="D66" s="5" t="s">
        <v>21</v>
      </c>
      <c r="E66" s="6">
        <v>1.75</v>
      </c>
      <c r="F66" s="12">
        <v>64.7</v>
      </c>
      <c r="G66" s="12">
        <v>42</v>
      </c>
      <c r="H66" s="12">
        <v>32.299999999999997</v>
      </c>
      <c r="I66" s="16">
        <f t="shared" si="1"/>
        <v>27.2</v>
      </c>
      <c r="J66" s="12">
        <v>17</v>
      </c>
      <c r="K66" s="13">
        <f>($L66-$J66)/(60-30)*(45-30)+J66</f>
        <v>13.85</v>
      </c>
      <c r="L66" s="12">
        <v>10.7</v>
      </c>
      <c r="M66" s="8">
        <v>5.69</v>
      </c>
      <c r="N66" s="8">
        <v>4.49</v>
      </c>
      <c r="O66" s="8">
        <v>3.63</v>
      </c>
      <c r="P66" s="8">
        <v>3.05</v>
      </c>
      <c r="Q66" s="13">
        <v>0</v>
      </c>
      <c r="R66" s="16">
        <v>0</v>
      </c>
      <c r="S66" s="8">
        <v>1.71</v>
      </c>
      <c r="T66" s="17">
        <v>0.90200000000000002</v>
      </c>
    </row>
    <row r="67" spans="2:20" x14ac:dyDescent="0.25">
      <c r="B67" s="11" t="str">
        <f t="shared" si="0"/>
        <v>KUNG LONG 9 Ah 1,7</v>
      </c>
      <c r="C67" s="5" t="s">
        <v>28</v>
      </c>
      <c r="D67" s="5" t="s">
        <v>21</v>
      </c>
      <c r="E67" s="8">
        <v>1.7</v>
      </c>
      <c r="F67" s="12">
        <v>67.8</v>
      </c>
      <c r="G67" s="12">
        <v>44</v>
      </c>
      <c r="H67" s="12">
        <v>33.4</v>
      </c>
      <c r="I67" s="13">
        <f t="shared" si="1"/>
        <v>28.166666666666664</v>
      </c>
      <c r="J67" s="12">
        <v>17.7</v>
      </c>
      <c r="K67" s="13">
        <f t="shared" ref="K67:K130" si="2">($L67-$J67)/(60-30)*(45-30)+J67</f>
        <v>14.35</v>
      </c>
      <c r="L67" s="12">
        <v>11</v>
      </c>
      <c r="M67" s="8">
        <v>5.82</v>
      </c>
      <c r="N67" s="8">
        <v>4.62</v>
      </c>
      <c r="O67" s="8">
        <v>3.73</v>
      </c>
      <c r="P67" s="8">
        <v>3.1</v>
      </c>
      <c r="Q67" s="13">
        <v>0</v>
      </c>
      <c r="R67" s="16">
        <v>0</v>
      </c>
      <c r="S67" s="8">
        <v>1.75</v>
      </c>
      <c r="T67" s="17">
        <v>0.90700000000000003</v>
      </c>
    </row>
    <row r="68" spans="2:20" x14ac:dyDescent="0.25">
      <c r="B68" s="11" t="str">
        <f t="shared" si="0"/>
        <v>KUNG LONG 9 Ah 1,67</v>
      </c>
      <c r="C68" s="5" t="s">
        <v>28</v>
      </c>
      <c r="D68" s="5" t="s">
        <v>21</v>
      </c>
      <c r="E68" s="6">
        <v>1.67</v>
      </c>
      <c r="F68" s="12">
        <v>69.8</v>
      </c>
      <c r="G68" s="12">
        <v>45.2</v>
      </c>
      <c r="H68" s="12">
        <v>34</v>
      </c>
      <c r="I68" s="16">
        <f t="shared" si="1"/>
        <v>28.6</v>
      </c>
      <c r="J68" s="12">
        <v>17.8</v>
      </c>
      <c r="K68" s="13">
        <f t="shared" si="2"/>
        <v>14.45</v>
      </c>
      <c r="L68" s="12">
        <v>11.1</v>
      </c>
      <c r="M68" s="8">
        <v>5.87</v>
      </c>
      <c r="N68" s="8">
        <v>4.67</v>
      </c>
      <c r="O68" s="8">
        <v>3.78</v>
      </c>
      <c r="P68" s="8">
        <v>3.12</v>
      </c>
      <c r="Q68" s="13">
        <v>0</v>
      </c>
      <c r="R68" s="16">
        <v>0</v>
      </c>
      <c r="S68" s="8">
        <v>1.77</v>
      </c>
      <c r="T68" s="17">
        <v>0.91</v>
      </c>
    </row>
    <row r="69" spans="2:20" x14ac:dyDescent="0.25">
      <c r="B69" s="11" t="str">
        <f t="shared" si="0"/>
        <v>KUNG LONG 9 Ah 1,65</v>
      </c>
      <c r="C69" s="5" t="s">
        <v>28</v>
      </c>
      <c r="D69" s="5" t="s">
        <v>21</v>
      </c>
      <c r="E69" s="8">
        <v>1.65</v>
      </c>
      <c r="F69" s="12">
        <v>71.2</v>
      </c>
      <c r="G69" s="12">
        <v>46.1</v>
      </c>
      <c r="H69" s="12">
        <v>34.700000000000003</v>
      </c>
      <c r="I69" s="16">
        <f t="shared" si="1"/>
        <v>29.133333333333336</v>
      </c>
      <c r="J69" s="12">
        <v>18</v>
      </c>
      <c r="K69" s="13">
        <f t="shared" si="2"/>
        <v>14.65</v>
      </c>
      <c r="L69" s="12">
        <v>11.3</v>
      </c>
      <c r="M69" s="8">
        <v>5.9</v>
      </c>
      <c r="N69" s="8">
        <v>4.75</v>
      </c>
      <c r="O69" s="8">
        <v>3.85</v>
      </c>
      <c r="P69" s="8">
        <v>3.15</v>
      </c>
      <c r="Q69" s="13">
        <v>0</v>
      </c>
      <c r="R69" s="16">
        <v>0</v>
      </c>
      <c r="S69" s="8">
        <v>1.78</v>
      </c>
      <c r="T69" s="17">
        <v>0.91300000000000003</v>
      </c>
    </row>
    <row r="70" spans="2:20" x14ac:dyDescent="0.25">
      <c r="B70" s="11" t="str">
        <f t="shared" si="0"/>
        <v>KUNG LONG 9 Ah 1,6</v>
      </c>
      <c r="C70" s="5" t="s">
        <v>28</v>
      </c>
      <c r="D70" s="5" t="s">
        <v>21</v>
      </c>
      <c r="E70" s="8">
        <v>1.6</v>
      </c>
      <c r="F70" s="12">
        <v>74.7</v>
      </c>
      <c r="G70" s="12">
        <v>48.3</v>
      </c>
      <c r="H70" s="12">
        <v>35.9</v>
      </c>
      <c r="I70" s="16">
        <f t="shared" si="1"/>
        <v>30.299999999999997</v>
      </c>
      <c r="J70" s="12">
        <v>19.100000000000001</v>
      </c>
      <c r="K70" s="13">
        <f t="shared" si="2"/>
        <v>15.3</v>
      </c>
      <c r="L70" s="12">
        <v>11.5</v>
      </c>
      <c r="M70" s="8">
        <v>5.95</v>
      </c>
      <c r="N70" s="8">
        <v>4.8499999999999996</v>
      </c>
      <c r="O70" s="8">
        <v>3.92</v>
      </c>
      <c r="P70" s="8">
        <v>3.18</v>
      </c>
      <c r="Q70" s="13">
        <v>0</v>
      </c>
      <c r="R70" s="16">
        <v>0</v>
      </c>
      <c r="S70" s="8">
        <v>1.8</v>
      </c>
      <c r="T70" s="17">
        <v>0.91800000000000004</v>
      </c>
    </row>
    <row r="71" spans="2:20" x14ac:dyDescent="0.25">
      <c r="B71" s="11" t="str">
        <f t="shared" si="0"/>
        <v>KUNG LONG 12 Ah 1,85</v>
      </c>
      <c r="C71" s="37" t="s">
        <v>28</v>
      </c>
      <c r="D71" s="37" t="s">
        <v>22</v>
      </c>
      <c r="E71" s="38">
        <v>1.85</v>
      </c>
      <c r="F71" s="58">
        <v>67.599999999999994</v>
      </c>
      <c r="G71" s="58">
        <v>48</v>
      </c>
      <c r="H71" s="58">
        <v>38.6</v>
      </c>
      <c r="I71" s="58">
        <f t="shared" si="1"/>
        <v>33.133333333333333</v>
      </c>
      <c r="J71" s="58">
        <v>22.2</v>
      </c>
      <c r="K71" s="40">
        <f t="shared" si="2"/>
        <v>19</v>
      </c>
      <c r="L71" s="40">
        <v>15.8</v>
      </c>
      <c r="M71" s="40">
        <v>8.6300000000000008</v>
      </c>
      <c r="N71" s="40">
        <v>5.65</v>
      </c>
      <c r="O71" s="40">
        <v>4.78</v>
      </c>
      <c r="P71" s="40">
        <v>3.96</v>
      </c>
      <c r="Q71" s="40">
        <v>0</v>
      </c>
      <c r="R71" s="58">
        <v>0</v>
      </c>
      <c r="S71" s="40">
        <v>2.34</v>
      </c>
      <c r="T71" s="40">
        <v>1.19</v>
      </c>
    </row>
    <row r="72" spans="2:20" x14ac:dyDescent="0.25">
      <c r="B72" s="11" t="str">
        <f t="shared" si="0"/>
        <v>KUNG LONG 12 Ah 1,8</v>
      </c>
      <c r="C72" s="37" t="s">
        <v>28</v>
      </c>
      <c r="D72" s="37" t="s">
        <v>22</v>
      </c>
      <c r="E72" s="40">
        <v>1.8</v>
      </c>
      <c r="F72" s="58">
        <v>75.2</v>
      </c>
      <c r="G72" s="58">
        <v>52.5</v>
      </c>
      <c r="H72" s="58">
        <v>41</v>
      </c>
      <c r="I72" s="58">
        <f t="shared" si="1"/>
        <v>35.200000000000003</v>
      </c>
      <c r="J72" s="58">
        <v>23.6</v>
      </c>
      <c r="K72" s="40">
        <f t="shared" si="2"/>
        <v>19.950000000000003</v>
      </c>
      <c r="L72" s="58">
        <v>16.3</v>
      </c>
      <c r="M72" s="40">
        <v>8.92</v>
      </c>
      <c r="N72" s="40">
        <v>5.87</v>
      </c>
      <c r="O72" s="40">
        <v>4.88</v>
      </c>
      <c r="P72" s="40">
        <v>4.08</v>
      </c>
      <c r="Q72" s="40">
        <v>0</v>
      </c>
      <c r="R72" s="58">
        <v>0</v>
      </c>
      <c r="S72" s="40">
        <v>2.4</v>
      </c>
      <c r="T72" s="40">
        <v>1.21</v>
      </c>
    </row>
    <row r="73" spans="2:20" x14ac:dyDescent="0.25">
      <c r="B73" s="11" t="str">
        <f t="shared" ref="B73:B136" si="3">CONCATENATE(C73&amp;" "&amp;D73&amp;" "&amp;E73)</f>
        <v>KUNG LONG 12 Ah 1,75</v>
      </c>
      <c r="C73" s="37" t="s">
        <v>28</v>
      </c>
      <c r="D73" s="37" t="s">
        <v>22</v>
      </c>
      <c r="E73" s="38">
        <v>1.75</v>
      </c>
      <c r="F73" s="58">
        <v>80.8</v>
      </c>
      <c r="G73" s="58">
        <v>54.9</v>
      </c>
      <c r="H73" s="58">
        <v>42.6</v>
      </c>
      <c r="I73" s="58">
        <f t="shared" si="1"/>
        <v>36.6</v>
      </c>
      <c r="J73" s="58">
        <v>24.6</v>
      </c>
      <c r="K73" s="40">
        <f t="shared" si="2"/>
        <v>20.65</v>
      </c>
      <c r="L73" s="58">
        <v>16.7</v>
      </c>
      <c r="M73" s="40">
        <v>9.0399999999999991</v>
      </c>
      <c r="N73" s="40">
        <v>6.05</v>
      </c>
      <c r="O73" s="40">
        <v>4.96</v>
      </c>
      <c r="P73" s="40">
        <v>4.18</v>
      </c>
      <c r="Q73" s="40">
        <v>0</v>
      </c>
      <c r="R73" s="58">
        <v>0</v>
      </c>
      <c r="S73" s="40">
        <v>2.44</v>
      </c>
      <c r="T73" s="40">
        <v>1.25</v>
      </c>
    </row>
    <row r="74" spans="2:20" x14ac:dyDescent="0.25">
      <c r="B74" s="11" t="str">
        <f t="shared" si="3"/>
        <v>KUNG LONG 12 Ah 1,7</v>
      </c>
      <c r="C74" s="37" t="s">
        <v>28</v>
      </c>
      <c r="D74" s="37" t="s">
        <v>22</v>
      </c>
      <c r="E74" s="40">
        <v>1.7</v>
      </c>
      <c r="F74" s="58">
        <v>86.7</v>
      </c>
      <c r="G74" s="58">
        <v>57.3</v>
      </c>
      <c r="H74" s="58">
        <v>44.1</v>
      </c>
      <c r="I74" s="58">
        <f t="shared" si="1"/>
        <v>37.866666666666667</v>
      </c>
      <c r="J74" s="58">
        <v>25.4</v>
      </c>
      <c r="K74" s="40">
        <f t="shared" si="2"/>
        <v>21.2</v>
      </c>
      <c r="L74" s="58">
        <v>17</v>
      </c>
      <c r="M74" s="40">
        <v>9.14</v>
      </c>
      <c r="N74" s="40">
        <v>6.2</v>
      </c>
      <c r="O74" s="40">
        <v>5.0599999999999996</v>
      </c>
      <c r="P74" s="40">
        <v>4.3</v>
      </c>
      <c r="Q74" s="40">
        <v>0</v>
      </c>
      <c r="R74" s="58">
        <v>0</v>
      </c>
      <c r="S74" s="40">
        <v>2.4700000000000002</v>
      </c>
      <c r="T74" s="40">
        <v>1.26</v>
      </c>
    </row>
    <row r="75" spans="2:20" x14ac:dyDescent="0.25">
      <c r="B75" s="11" t="str">
        <f t="shared" si="3"/>
        <v>KUNG LONG 12 Ah 1,67</v>
      </c>
      <c r="C75" s="37" t="s">
        <v>28</v>
      </c>
      <c r="D75" s="37" t="s">
        <v>22</v>
      </c>
      <c r="E75" s="38">
        <v>1.67</v>
      </c>
      <c r="F75" s="58">
        <v>89.3</v>
      </c>
      <c r="G75" s="58">
        <v>58.2</v>
      </c>
      <c r="H75" s="58">
        <v>44.5</v>
      </c>
      <c r="I75" s="58">
        <f t="shared" si="1"/>
        <v>38.233333333333334</v>
      </c>
      <c r="J75" s="58">
        <v>25.7</v>
      </c>
      <c r="K75" s="40">
        <f t="shared" si="2"/>
        <v>21.45</v>
      </c>
      <c r="L75" s="58">
        <v>17.2</v>
      </c>
      <c r="M75" s="40">
        <v>9.18</v>
      </c>
      <c r="N75" s="40">
        <v>6.27</v>
      </c>
      <c r="O75" s="40">
        <v>5.12</v>
      </c>
      <c r="P75" s="40">
        <v>4.33</v>
      </c>
      <c r="Q75" s="40">
        <v>0</v>
      </c>
      <c r="R75" s="58">
        <v>0</v>
      </c>
      <c r="S75" s="40">
        <v>2.48</v>
      </c>
      <c r="T75" s="40">
        <v>1.28</v>
      </c>
    </row>
    <row r="76" spans="2:20" x14ac:dyDescent="0.25">
      <c r="B76" s="11" t="str">
        <f t="shared" si="3"/>
        <v>KUNG LONG 12 Ah 1,65</v>
      </c>
      <c r="C76" s="37" t="s">
        <v>28</v>
      </c>
      <c r="D76" s="37" t="s">
        <v>22</v>
      </c>
      <c r="E76" s="40">
        <v>1.65</v>
      </c>
      <c r="F76" s="58">
        <v>91.9</v>
      </c>
      <c r="G76" s="58">
        <v>59.5</v>
      </c>
      <c r="H76" s="58">
        <v>45.4</v>
      </c>
      <c r="I76" s="58">
        <f t="shared" si="1"/>
        <v>38.9</v>
      </c>
      <c r="J76" s="58">
        <v>25.9</v>
      </c>
      <c r="K76" s="40">
        <f t="shared" si="2"/>
        <v>21.6</v>
      </c>
      <c r="L76" s="58">
        <v>17.3</v>
      </c>
      <c r="M76" s="40">
        <v>9.24</v>
      </c>
      <c r="N76" s="40">
        <v>6.35</v>
      </c>
      <c r="O76" s="40">
        <v>5.2</v>
      </c>
      <c r="P76" s="40">
        <v>4.38</v>
      </c>
      <c r="Q76" s="40">
        <v>0</v>
      </c>
      <c r="R76" s="58">
        <v>0</v>
      </c>
      <c r="S76" s="40">
        <v>2.5</v>
      </c>
      <c r="T76" s="40">
        <v>1.29</v>
      </c>
    </row>
    <row r="77" spans="2:20" x14ac:dyDescent="0.25">
      <c r="B77" s="11" t="str">
        <f t="shared" si="3"/>
        <v>KUNG LONG 12 Ah 1,6</v>
      </c>
      <c r="C77" s="37" t="s">
        <v>28</v>
      </c>
      <c r="D77" s="37" t="s">
        <v>22</v>
      </c>
      <c r="E77" s="40">
        <v>1.6</v>
      </c>
      <c r="F77" s="58">
        <v>97</v>
      </c>
      <c r="G77" s="58">
        <v>61</v>
      </c>
      <c r="H77" s="58">
        <v>46.6</v>
      </c>
      <c r="I77" s="58">
        <f t="shared" si="1"/>
        <v>39.833333333333336</v>
      </c>
      <c r="J77" s="58">
        <v>26.3</v>
      </c>
      <c r="K77" s="40">
        <f t="shared" si="2"/>
        <v>21.9</v>
      </c>
      <c r="L77" s="58">
        <v>17.5</v>
      </c>
      <c r="M77" s="40">
        <v>9.32</v>
      </c>
      <c r="N77" s="40">
        <v>6.42</v>
      </c>
      <c r="O77" s="40">
        <v>5.26</v>
      </c>
      <c r="P77" s="40">
        <v>4.4800000000000004</v>
      </c>
      <c r="Q77" s="40">
        <v>0</v>
      </c>
      <c r="R77" s="58">
        <v>0</v>
      </c>
      <c r="S77" s="40">
        <v>2.52</v>
      </c>
      <c r="T77" s="40">
        <v>1.32</v>
      </c>
    </row>
    <row r="78" spans="2:20" x14ac:dyDescent="0.25">
      <c r="B78" s="11" t="str">
        <f t="shared" si="3"/>
        <v>KUNG LONG 18 Ah 1,85</v>
      </c>
      <c r="C78" s="5" t="s">
        <v>28</v>
      </c>
      <c r="D78" s="5" t="s">
        <v>23</v>
      </c>
      <c r="E78" s="6">
        <v>1.85</v>
      </c>
      <c r="F78" s="12">
        <v>98.9</v>
      </c>
      <c r="G78" s="12">
        <v>67</v>
      </c>
      <c r="H78" s="12">
        <v>57.2</v>
      </c>
      <c r="I78" s="16">
        <f t="shared" si="1"/>
        <v>49.033333333333339</v>
      </c>
      <c r="J78" s="12">
        <v>32.700000000000003</v>
      </c>
      <c r="K78" s="13">
        <f t="shared" si="2"/>
        <v>25.75</v>
      </c>
      <c r="L78" s="12">
        <v>18.8</v>
      </c>
      <c r="M78" s="12">
        <v>11.9</v>
      </c>
      <c r="N78" s="8">
        <v>8.75</v>
      </c>
      <c r="O78" s="8">
        <v>6.63</v>
      </c>
      <c r="P78" s="8">
        <v>5.82</v>
      </c>
      <c r="Q78" s="13">
        <v>0</v>
      </c>
      <c r="R78" s="16">
        <v>0</v>
      </c>
      <c r="S78" s="8">
        <v>3.4</v>
      </c>
      <c r="T78" s="8">
        <v>1.77</v>
      </c>
    </row>
    <row r="79" spans="2:20" x14ac:dyDescent="0.25">
      <c r="B79" s="11" t="str">
        <f t="shared" si="3"/>
        <v>KUNG LONG 18 Ah 1,8</v>
      </c>
      <c r="C79" s="5" t="s">
        <v>28</v>
      </c>
      <c r="D79" s="5" t="s">
        <v>23</v>
      </c>
      <c r="E79" s="8">
        <v>1.8</v>
      </c>
      <c r="F79" s="18">
        <v>116</v>
      </c>
      <c r="G79" s="12">
        <v>77.099999999999994</v>
      </c>
      <c r="H79" s="12">
        <v>64.5</v>
      </c>
      <c r="I79" s="16">
        <f t="shared" si="1"/>
        <v>54.7</v>
      </c>
      <c r="J79" s="12">
        <v>35.1</v>
      </c>
      <c r="K79" s="13">
        <f t="shared" si="2"/>
        <v>27.450000000000003</v>
      </c>
      <c r="L79" s="12">
        <v>19.8</v>
      </c>
      <c r="M79" s="12">
        <v>12.4</v>
      </c>
      <c r="N79" s="8">
        <v>9.1</v>
      </c>
      <c r="O79" s="8">
        <v>6.93</v>
      </c>
      <c r="P79" s="8">
        <v>6.05</v>
      </c>
      <c r="Q79" s="13">
        <v>0</v>
      </c>
      <c r="R79" s="16">
        <v>0</v>
      </c>
      <c r="S79" s="8">
        <v>3.52</v>
      </c>
      <c r="T79" s="8">
        <v>1.83</v>
      </c>
    </row>
    <row r="80" spans="2:20" x14ac:dyDescent="0.25">
      <c r="B80" s="11" t="str">
        <f t="shared" si="3"/>
        <v>KUNG LONG 18 Ah 1,75</v>
      </c>
      <c r="C80" s="5" t="s">
        <v>28</v>
      </c>
      <c r="D80" s="5" t="s">
        <v>23</v>
      </c>
      <c r="E80" s="6">
        <v>1.75</v>
      </c>
      <c r="F80" s="18">
        <v>128</v>
      </c>
      <c r="G80" s="12">
        <v>84.5</v>
      </c>
      <c r="H80" s="12">
        <v>69.400000000000006</v>
      </c>
      <c r="I80" s="16">
        <f t="shared" si="1"/>
        <v>58.833333333333336</v>
      </c>
      <c r="J80" s="12">
        <v>37.700000000000003</v>
      </c>
      <c r="K80" s="13">
        <f t="shared" si="2"/>
        <v>29.200000000000003</v>
      </c>
      <c r="L80" s="12">
        <v>20.7</v>
      </c>
      <c r="M80" s="12">
        <v>12.7</v>
      </c>
      <c r="N80" s="8">
        <v>9.33</v>
      </c>
      <c r="O80" s="8">
        <v>7.12</v>
      </c>
      <c r="P80" s="8">
        <v>6.17</v>
      </c>
      <c r="Q80" s="13">
        <v>0</v>
      </c>
      <c r="R80" s="16">
        <v>0</v>
      </c>
      <c r="S80" s="8">
        <v>3.6</v>
      </c>
      <c r="T80" s="8">
        <v>1.88</v>
      </c>
    </row>
    <row r="81" spans="2:20" x14ac:dyDescent="0.25">
      <c r="B81" s="11" t="str">
        <f t="shared" si="3"/>
        <v>KUNG LONG 18 Ah 1,7</v>
      </c>
      <c r="C81" s="5" t="s">
        <v>28</v>
      </c>
      <c r="D81" s="5" t="s">
        <v>23</v>
      </c>
      <c r="E81" s="8">
        <v>1.7</v>
      </c>
      <c r="F81" s="18">
        <v>135</v>
      </c>
      <c r="G81" s="12">
        <v>89.1</v>
      </c>
      <c r="H81" s="12">
        <v>72.5</v>
      </c>
      <c r="I81" s="16">
        <f t="shared" si="1"/>
        <v>61.466666666666669</v>
      </c>
      <c r="J81" s="12">
        <v>39.4</v>
      </c>
      <c r="K81" s="13">
        <f t="shared" si="2"/>
        <v>30.35</v>
      </c>
      <c r="L81" s="12">
        <v>21.3</v>
      </c>
      <c r="M81" s="12">
        <v>13.1</v>
      </c>
      <c r="N81" s="8">
        <v>9.5299999999999994</v>
      </c>
      <c r="O81" s="8">
        <v>7.27</v>
      </c>
      <c r="P81" s="8">
        <v>6.27</v>
      </c>
      <c r="Q81" s="13">
        <v>0</v>
      </c>
      <c r="R81" s="16">
        <v>0</v>
      </c>
      <c r="S81" s="8">
        <v>3.67</v>
      </c>
      <c r="T81" s="8">
        <v>1.92</v>
      </c>
    </row>
    <row r="82" spans="2:20" x14ac:dyDescent="0.25">
      <c r="B82" s="11" t="str">
        <f t="shared" si="3"/>
        <v>KUNG LONG 18 Ah 1,67</v>
      </c>
      <c r="C82" s="5" t="s">
        <v>28</v>
      </c>
      <c r="D82" s="5" t="s">
        <v>23</v>
      </c>
      <c r="E82" s="6">
        <v>1.67</v>
      </c>
      <c r="F82" s="18">
        <v>137</v>
      </c>
      <c r="G82" s="12">
        <v>90.2</v>
      </c>
      <c r="H82" s="12">
        <v>73.3</v>
      </c>
      <c r="I82" s="16">
        <f t="shared" si="1"/>
        <v>62.133333333333326</v>
      </c>
      <c r="J82" s="12">
        <v>39.799999999999997</v>
      </c>
      <c r="K82" s="13">
        <f t="shared" si="2"/>
        <v>30.65</v>
      </c>
      <c r="L82" s="12">
        <v>21.5</v>
      </c>
      <c r="M82" s="12">
        <v>13.2</v>
      </c>
      <c r="N82" s="8">
        <v>9.6</v>
      </c>
      <c r="O82" s="8">
        <v>7.32</v>
      </c>
      <c r="P82" s="8">
        <v>6.3</v>
      </c>
      <c r="Q82" s="13">
        <v>0</v>
      </c>
      <c r="R82" s="16">
        <v>0</v>
      </c>
      <c r="S82" s="8">
        <v>3.68</v>
      </c>
      <c r="T82" s="8">
        <v>1.93</v>
      </c>
    </row>
    <row r="83" spans="2:20" x14ac:dyDescent="0.25">
      <c r="B83" s="11" t="str">
        <f t="shared" si="3"/>
        <v>KUNG LONG 18 Ah 1,65</v>
      </c>
      <c r="C83" s="5" t="s">
        <v>28</v>
      </c>
      <c r="D83" s="5" t="s">
        <v>23</v>
      </c>
      <c r="E83" s="8">
        <v>1.65</v>
      </c>
      <c r="F83" s="18">
        <v>139</v>
      </c>
      <c r="G83" s="12">
        <v>91.7</v>
      </c>
      <c r="H83" s="12">
        <v>74.2</v>
      </c>
      <c r="I83" s="16">
        <f t="shared" si="1"/>
        <v>62.900000000000006</v>
      </c>
      <c r="J83" s="12">
        <v>40.299999999999997</v>
      </c>
      <c r="K83" s="13">
        <f t="shared" si="2"/>
        <v>31.049999999999997</v>
      </c>
      <c r="L83" s="12">
        <v>21.8</v>
      </c>
      <c r="M83" s="12">
        <v>13.3</v>
      </c>
      <c r="N83" s="8">
        <v>9.68</v>
      </c>
      <c r="O83" s="8">
        <v>7.38</v>
      </c>
      <c r="P83" s="8">
        <v>6.35</v>
      </c>
      <c r="Q83" s="13">
        <v>0</v>
      </c>
      <c r="R83" s="16">
        <v>0</v>
      </c>
      <c r="S83" s="8">
        <v>3.72</v>
      </c>
      <c r="T83" s="8">
        <v>1.95</v>
      </c>
    </row>
    <row r="84" spans="2:20" x14ac:dyDescent="0.25">
      <c r="B84" s="11" t="str">
        <f t="shared" si="3"/>
        <v>KUNG LONG 18 Ah 1,6</v>
      </c>
      <c r="C84" s="5" t="s">
        <v>28</v>
      </c>
      <c r="D84" s="5" t="s">
        <v>23</v>
      </c>
      <c r="E84" s="8">
        <v>1.6</v>
      </c>
      <c r="F84" s="18">
        <v>141</v>
      </c>
      <c r="G84" s="12">
        <v>92.9</v>
      </c>
      <c r="H84" s="12">
        <v>75.099999999999994</v>
      </c>
      <c r="I84" s="16">
        <f t="shared" si="1"/>
        <v>63.666666666666657</v>
      </c>
      <c r="J84" s="12">
        <v>40.799999999999997</v>
      </c>
      <c r="K84" s="13">
        <f t="shared" si="2"/>
        <v>31.5</v>
      </c>
      <c r="L84" s="12">
        <v>22.2</v>
      </c>
      <c r="M84" s="12">
        <v>13.5</v>
      </c>
      <c r="N84" s="8">
        <v>9.7799999999999994</v>
      </c>
      <c r="O84" s="8">
        <v>7.46</v>
      </c>
      <c r="P84" s="8">
        <v>6.41</v>
      </c>
      <c r="Q84" s="13">
        <v>0</v>
      </c>
      <c r="R84" s="16">
        <v>0</v>
      </c>
      <c r="S84" s="8">
        <v>3.75</v>
      </c>
      <c r="T84" s="8">
        <v>1.96</v>
      </c>
    </row>
    <row r="85" spans="2:20" x14ac:dyDescent="0.25">
      <c r="B85" s="11" t="str">
        <f t="shared" si="3"/>
        <v>KUNG LONG 26 Ah 1,85</v>
      </c>
      <c r="C85" s="37" t="s">
        <v>28</v>
      </c>
      <c r="D85" s="37" t="s">
        <v>24</v>
      </c>
      <c r="E85" s="38">
        <v>1.85</v>
      </c>
      <c r="F85" s="61">
        <v>114</v>
      </c>
      <c r="G85" s="58">
        <v>88.2</v>
      </c>
      <c r="H85" s="58">
        <v>70.2</v>
      </c>
      <c r="I85" s="58">
        <f t="shared" si="1"/>
        <v>60.466666666666669</v>
      </c>
      <c r="J85" s="58">
        <v>41</v>
      </c>
      <c r="K85" s="40">
        <f t="shared" si="2"/>
        <v>34</v>
      </c>
      <c r="L85" s="58">
        <v>27</v>
      </c>
      <c r="M85" s="58">
        <v>14.6</v>
      </c>
      <c r="N85" s="58">
        <v>12.2</v>
      </c>
      <c r="O85" s="40">
        <v>9.82</v>
      </c>
      <c r="P85" s="40">
        <v>8.4700000000000006</v>
      </c>
      <c r="Q85" s="40">
        <v>0</v>
      </c>
      <c r="R85" s="58">
        <v>0</v>
      </c>
      <c r="S85" s="40">
        <v>4.93</v>
      </c>
      <c r="T85" s="40">
        <v>2.5299999999999998</v>
      </c>
    </row>
    <row r="86" spans="2:20" x14ac:dyDescent="0.25">
      <c r="B86" s="11" t="str">
        <f t="shared" si="3"/>
        <v>KUNG LONG 26 Ah 1,8</v>
      </c>
      <c r="C86" s="37" t="s">
        <v>28</v>
      </c>
      <c r="D86" s="37" t="s">
        <v>24</v>
      </c>
      <c r="E86" s="40">
        <v>1.8</v>
      </c>
      <c r="F86" s="61">
        <v>129</v>
      </c>
      <c r="G86" s="58">
        <v>99.7</v>
      </c>
      <c r="H86" s="58">
        <v>76.599999999999994</v>
      </c>
      <c r="I86" s="58">
        <f t="shared" si="1"/>
        <v>65.899999999999991</v>
      </c>
      <c r="J86" s="58">
        <v>44.5</v>
      </c>
      <c r="K86" s="40">
        <f t="shared" si="2"/>
        <v>36.5</v>
      </c>
      <c r="L86" s="58">
        <v>28.5</v>
      </c>
      <c r="M86" s="58">
        <v>15.4</v>
      </c>
      <c r="N86" s="58">
        <v>12.7</v>
      </c>
      <c r="O86" s="40">
        <v>10.199999999999999</v>
      </c>
      <c r="P86" s="40">
        <v>8.6999999999999993</v>
      </c>
      <c r="Q86" s="40">
        <v>0</v>
      </c>
      <c r="R86" s="58">
        <v>0</v>
      </c>
      <c r="S86" s="40">
        <v>5.12</v>
      </c>
      <c r="T86" s="40">
        <v>2.62</v>
      </c>
    </row>
    <row r="87" spans="2:20" x14ac:dyDescent="0.25">
      <c r="B87" s="11" t="str">
        <f t="shared" si="3"/>
        <v>KUNG LONG 26 Ah 1,75</v>
      </c>
      <c r="C87" s="37" t="s">
        <v>28</v>
      </c>
      <c r="D87" s="37" t="s">
        <v>24</v>
      </c>
      <c r="E87" s="38">
        <v>1.75</v>
      </c>
      <c r="F87" s="61">
        <v>142</v>
      </c>
      <c r="G87" s="61">
        <v>106</v>
      </c>
      <c r="H87" s="58">
        <v>80.8</v>
      </c>
      <c r="I87" s="58">
        <f t="shared" si="1"/>
        <v>69.36666666666666</v>
      </c>
      <c r="J87" s="58">
        <v>46.5</v>
      </c>
      <c r="K87" s="40">
        <f t="shared" si="2"/>
        <v>37.9</v>
      </c>
      <c r="L87" s="58">
        <v>29.3</v>
      </c>
      <c r="M87" s="58">
        <v>15.9</v>
      </c>
      <c r="N87" s="58">
        <v>12.9</v>
      </c>
      <c r="O87" s="58">
        <v>10.4</v>
      </c>
      <c r="P87" s="40">
        <v>8.82</v>
      </c>
      <c r="Q87" s="40">
        <v>0</v>
      </c>
      <c r="R87" s="58">
        <v>0</v>
      </c>
      <c r="S87" s="40">
        <v>5.22</v>
      </c>
      <c r="T87" s="40">
        <v>2.68</v>
      </c>
    </row>
    <row r="88" spans="2:20" x14ac:dyDescent="0.25">
      <c r="B88" s="11" t="str">
        <f t="shared" si="3"/>
        <v>KUNG LONG 26 Ah 1,7</v>
      </c>
      <c r="C88" s="37" t="s">
        <v>28</v>
      </c>
      <c r="D88" s="37" t="s">
        <v>24</v>
      </c>
      <c r="E88" s="40">
        <v>1.7</v>
      </c>
      <c r="F88" s="61">
        <v>155</v>
      </c>
      <c r="G88" s="61">
        <v>111</v>
      </c>
      <c r="H88" s="58">
        <v>84.3</v>
      </c>
      <c r="I88" s="58">
        <f t="shared" si="1"/>
        <v>72.2</v>
      </c>
      <c r="J88" s="58">
        <v>48</v>
      </c>
      <c r="K88" s="40">
        <f t="shared" si="2"/>
        <v>39</v>
      </c>
      <c r="L88" s="58">
        <v>30</v>
      </c>
      <c r="M88" s="58">
        <v>16.2</v>
      </c>
      <c r="N88" s="58">
        <v>13.1</v>
      </c>
      <c r="O88" s="58">
        <v>10.5</v>
      </c>
      <c r="P88" s="40">
        <v>8.93</v>
      </c>
      <c r="Q88" s="40">
        <v>0</v>
      </c>
      <c r="R88" s="58">
        <v>0</v>
      </c>
      <c r="S88" s="40">
        <v>5.3</v>
      </c>
      <c r="T88" s="40">
        <v>2.73</v>
      </c>
    </row>
    <row r="89" spans="2:20" x14ac:dyDescent="0.25">
      <c r="B89" s="11" t="str">
        <f t="shared" si="3"/>
        <v>KUNG LONG 26 Ah 1,67</v>
      </c>
      <c r="C89" s="37" t="s">
        <v>28</v>
      </c>
      <c r="D89" s="37" t="s">
        <v>24</v>
      </c>
      <c r="E89" s="38">
        <v>1.67</v>
      </c>
      <c r="F89" s="61">
        <v>159</v>
      </c>
      <c r="G89" s="61">
        <v>114</v>
      </c>
      <c r="H89" s="58">
        <v>86.7</v>
      </c>
      <c r="I89" s="58">
        <f t="shared" si="1"/>
        <v>74.066666666666663</v>
      </c>
      <c r="J89" s="58">
        <v>48.8</v>
      </c>
      <c r="K89" s="40">
        <f t="shared" si="2"/>
        <v>39.5</v>
      </c>
      <c r="L89" s="58">
        <v>30.2</v>
      </c>
      <c r="M89" s="58">
        <v>16.399999999999999</v>
      </c>
      <c r="N89" s="58">
        <v>13.1</v>
      </c>
      <c r="O89" s="58">
        <v>10.6</v>
      </c>
      <c r="P89" s="40">
        <v>8.9700000000000006</v>
      </c>
      <c r="Q89" s="40">
        <v>0</v>
      </c>
      <c r="R89" s="58">
        <v>0</v>
      </c>
      <c r="S89" s="40">
        <v>5.32</v>
      </c>
      <c r="T89" s="40">
        <v>2.75</v>
      </c>
    </row>
    <row r="90" spans="2:20" x14ac:dyDescent="0.25">
      <c r="B90" s="11" t="str">
        <f t="shared" si="3"/>
        <v>KUNG LONG 26 Ah 1,65</v>
      </c>
      <c r="C90" s="37" t="s">
        <v>28</v>
      </c>
      <c r="D90" s="37" t="s">
        <v>24</v>
      </c>
      <c r="E90" s="40">
        <v>1.65</v>
      </c>
      <c r="F90" s="61">
        <v>165</v>
      </c>
      <c r="G90" s="61">
        <v>117</v>
      </c>
      <c r="H90" s="58">
        <v>88.2</v>
      </c>
      <c r="I90" s="58">
        <f t="shared" si="1"/>
        <v>75.3</v>
      </c>
      <c r="J90" s="58">
        <v>49.5</v>
      </c>
      <c r="K90" s="40">
        <f t="shared" si="2"/>
        <v>40</v>
      </c>
      <c r="L90" s="58">
        <v>30.5</v>
      </c>
      <c r="M90" s="58">
        <v>16.5</v>
      </c>
      <c r="N90" s="58">
        <v>13.2</v>
      </c>
      <c r="O90" s="58">
        <v>10.6</v>
      </c>
      <c r="P90" s="40">
        <v>9.02</v>
      </c>
      <c r="Q90" s="40">
        <v>0</v>
      </c>
      <c r="R90" s="58">
        <v>0</v>
      </c>
      <c r="S90" s="40">
        <v>5.35</v>
      </c>
      <c r="T90" s="40">
        <v>2.77</v>
      </c>
    </row>
    <row r="91" spans="2:20" x14ac:dyDescent="0.25">
      <c r="B91" s="11" t="str">
        <f t="shared" si="3"/>
        <v>KUNG LONG 26 Ah 1,6</v>
      </c>
      <c r="C91" s="37" t="s">
        <v>28</v>
      </c>
      <c r="D91" s="37" t="s">
        <v>24</v>
      </c>
      <c r="E91" s="40">
        <v>1.6</v>
      </c>
      <c r="F91" s="61">
        <v>177</v>
      </c>
      <c r="G91" s="61">
        <v>122</v>
      </c>
      <c r="H91" s="58">
        <v>91.3</v>
      </c>
      <c r="I91" s="58">
        <f t="shared" si="1"/>
        <v>77.633333333333326</v>
      </c>
      <c r="J91" s="58">
        <v>50.3</v>
      </c>
      <c r="K91" s="40">
        <f t="shared" si="2"/>
        <v>40.549999999999997</v>
      </c>
      <c r="L91" s="58">
        <v>30.8</v>
      </c>
      <c r="M91" s="58">
        <v>16.7</v>
      </c>
      <c r="N91" s="58">
        <v>13.3</v>
      </c>
      <c r="O91" s="58">
        <v>10.7</v>
      </c>
      <c r="P91" s="40">
        <v>9.0500000000000007</v>
      </c>
      <c r="Q91" s="40">
        <v>0</v>
      </c>
      <c r="R91" s="58">
        <v>0</v>
      </c>
      <c r="S91" s="40">
        <v>5.38</v>
      </c>
      <c r="T91" s="40">
        <v>2.78</v>
      </c>
    </row>
    <row r="92" spans="2:20" x14ac:dyDescent="0.25">
      <c r="B92" s="11" t="str">
        <f t="shared" si="3"/>
        <v>KUNG LONG 33 Ah 1,85</v>
      </c>
      <c r="C92" s="5" t="s">
        <v>28</v>
      </c>
      <c r="D92" s="5" t="s">
        <v>25</v>
      </c>
      <c r="E92" s="6">
        <v>1.85</v>
      </c>
      <c r="F92" s="12">
        <v>163</v>
      </c>
      <c r="G92" s="12">
        <v>111</v>
      </c>
      <c r="H92" s="12">
        <v>85.8</v>
      </c>
      <c r="I92" s="16">
        <f t="shared" si="1"/>
        <v>73.266666666666666</v>
      </c>
      <c r="J92" s="12">
        <v>48.2</v>
      </c>
      <c r="K92" s="13">
        <f t="shared" si="2"/>
        <v>39.25</v>
      </c>
      <c r="L92" s="12">
        <v>30.3</v>
      </c>
      <c r="M92" s="12">
        <v>19</v>
      </c>
      <c r="N92" s="8">
        <v>13.6</v>
      </c>
      <c r="O92" s="8">
        <v>11</v>
      </c>
      <c r="P92" s="8">
        <v>9.57</v>
      </c>
      <c r="Q92" s="13">
        <v>0</v>
      </c>
      <c r="R92" s="16">
        <v>0</v>
      </c>
      <c r="S92" s="8">
        <v>5.52</v>
      </c>
      <c r="T92" s="8">
        <v>2.9</v>
      </c>
    </row>
    <row r="93" spans="2:20" x14ac:dyDescent="0.25">
      <c r="B93" s="11" t="str">
        <f t="shared" si="3"/>
        <v>KUNG LONG 33 Ah 1,8</v>
      </c>
      <c r="C93" s="5" t="s">
        <v>28</v>
      </c>
      <c r="D93" s="5" t="s">
        <v>25</v>
      </c>
      <c r="E93" s="8">
        <v>1.8</v>
      </c>
      <c r="F93" s="18">
        <v>192</v>
      </c>
      <c r="G93" s="12">
        <v>130</v>
      </c>
      <c r="H93" s="12">
        <v>99.3</v>
      </c>
      <c r="I93" s="16">
        <f t="shared" si="1"/>
        <v>84.7</v>
      </c>
      <c r="J93" s="12">
        <v>55.5</v>
      </c>
      <c r="K93" s="13">
        <f t="shared" si="2"/>
        <v>44.35</v>
      </c>
      <c r="L93" s="12">
        <v>33.200000000000003</v>
      </c>
      <c r="M93" s="12">
        <v>20.5</v>
      </c>
      <c r="N93" s="8">
        <v>14.7</v>
      </c>
      <c r="O93" s="8">
        <v>11.7</v>
      </c>
      <c r="P93" s="8">
        <v>10.3</v>
      </c>
      <c r="Q93" s="13">
        <v>0</v>
      </c>
      <c r="R93" s="16">
        <v>0</v>
      </c>
      <c r="S93" s="8">
        <v>5.97</v>
      </c>
      <c r="T93" s="8">
        <v>3.13</v>
      </c>
    </row>
    <row r="94" spans="2:20" x14ac:dyDescent="0.25">
      <c r="B94" s="11" t="str">
        <f t="shared" si="3"/>
        <v>KUNG LONG 33 Ah 1,75</v>
      </c>
      <c r="C94" s="5" t="s">
        <v>28</v>
      </c>
      <c r="D94" s="5" t="s">
        <v>25</v>
      </c>
      <c r="E94" s="6">
        <v>1.75</v>
      </c>
      <c r="F94" s="18">
        <v>211</v>
      </c>
      <c r="G94" s="12">
        <v>143</v>
      </c>
      <c r="H94" s="12">
        <v>108</v>
      </c>
      <c r="I94" s="16">
        <f t="shared" si="1"/>
        <v>92.1</v>
      </c>
      <c r="J94" s="12">
        <v>60.3</v>
      </c>
      <c r="K94" s="13">
        <f t="shared" si="2"/>
        <v>47.65</v>
      </c>
      <c r="L94" s="12">
        <v>35</v>
      </c>
      <c r="M94" s="12">
        <v>21.5</v>
      </c>
      <c r="N94" s="8">
        <v>15.5</v>
      </c>
      <c r="O94" s="8">
        <v>12.3</v>
      </c>
      <c r="P94" s="8">
        <v>10.9</v>
      </c>
      <c r="Q94" s="13">
        <v>0</v>
      </c>
      <c r="R94" s="16">
        <v>0</v>
      </c>
      <c r="S94" s="8">
        <v>6.35</v>
      </c>
      <c r="T94" s="8">
        <v>3.33</v>
      </c>
    </row>
    <row r="95" spans="2:20" x14ac:dyDescent="0.25">
      <c r="B95" s="11" t="str">
        <f t="shared" si="3"/>
        <v>KUNG LONG 33 Ah 1,7</v>
      </c>
      <c r="C95" s="5" t="s">
        <v>28</v>
      </c>
      <c r="D95" s="5" t="s">
        <v>25</v>
      </c>
      <c r="E95" s="8">
        <v>1.7</v>
      </c>
      <c r="F95" s="18">
        <v>223</v>
      </c>
      <c r="G95" s="12">
        <v>151</v>
      </c>
      <c r="H95" s="12">
        <v>114</v>
      </c>
      <c r="I95" s="16">
        <f t="shared" si="1"/>
        <v>97</v>
      </c>
      <c r="J95" s="12">
        <v>63</v>
      </c>
      <c r="K95" s="13">
        <f t="shared" si="2"/>
        <v>49.9</v>
      </c>
      <c r="L95" s="12">
        <v>36.799999999999997</v>
      </c>
      <c r="M95" s="12">
        <v>22.3</v>
      </c>
      <c r="N95" s="8">
        <v>16.100000000000001</v>
      </c>
      <c r="O95" s="8">
        <v>12.8</v>
      </c>
      <c r="P95" s="8">
        <v>11.3</v>
      </c>
      <c r="Q95" s="13">
        <v>0</v>
      </c>
      <c r="R95" s="16">
        <v>0</v>
      </c>
      <c r="S95" s="8">
        <v>6.57</v>
      </c>
      <c r="T95" s="8">
        <v>3.45</v>
      </c>
    </row>
    <row r="96" spans="2:20" x14ac:dyDescent="0.25">
      <c r="B96" s="11" t="str">
        <f t="shared" si="3"/>
        <v>KUNG LONG 33 Ah 1,67</v>
      </c>
      <c r="C96" s="5" t="s">
        <v>28</v>
      </c>
      <c r="D96" s="5" t="s">
        <v>25</v>
      </c>
      <c r="E96" s="6">
        <v>1.67</v>
      </c>
      <c r="F96" s="18">
        <v>227</v>
      </c>
      <c r="G96" s="12">
        <v>154</v>
      </c>
      <c r="H96" s="12">
        <v>115</v>
      </c>
      <c r="I96" s="16">
        <f t="shared" si="1"/>
        <v>97.933333333333337</v>
      </c>
      <c r="J96" s="12">
        <v>63.8</v>
      </c>
      <c r="K96" s="13">
        <f t="shared" si="2"/>
        <v>50.65</v>
      </c>
      <c r="L96" s="12">
        <v>37.5</v>
      </c>
      <c r="M96" s="12">
        <v>22.7</v>
      </c>
      <c r="N96" s="8">
        <v>16.399999999999999</v>
      </c>
      <c r="O96" s="8">
        <v>13</v>
      </c>
      <c r="P96" s="8">
        <v>11.4</v>
      </c>
      <c r="Q96" s="13">
        <v>0</v>
      </c>
      <c r="R96" s="16">
        <v>0</v>
      </c>
      <c r="S96" s="8">
        <v>6.63</v>
      </c>
      <c r="T96" s="8">
        <v>3.5</v>
      </c>
    </row>
    <row r="97" spans="2:20" x14ac:dyDescent="0.25">
      <c r="B97" s="11" t="str">
        <f t="shared" si="3"/>
        <v>KUNG LONG 33 Ah 1,65</v>
      </c>
      <c r="C97" s="5" t="s">
        <v>28</v>
      </c>
      <c r="D97" s="5" t="s">
        <v>25</v>
      </c>
      <c r="E97" s="8">
        <v>1.65</v>
      </c>
      <c r="F97" s="18">
        <v>232</v>
      </c>
      <c r="G97" s="12">
        <v>156</v>
      </c>
      <c r="H97" s="12">
        <v>117</v>
      </c>
      <c r="I97" s="16">
        <f t="shared" si="1"/>
        <v>99.6</v>
      </c>
      <c r="J97" s="12">
        <v>64.8</v>
      </c>
      <c r="K97" s="13">
        <f t="shared" si="2"/>
        <v>51.5</v>
      </c>
      <c r="L97" s="12">
        <v>38.200000000000003</v>
      </c>
      <c r="M97" s="12">
        <v>23</v>
      </c>
      <c r="N97" s="8">
        <v>16.7</v>
      </c>
      <c r="O97" s="8">
        <v>13.2</v>
      </c>
      <c r="P97" s="8">
        <v>11.5</v>
      </c>
      <c r="Q97" s="13">
        <v>0</v>
      </c>
      <c r="R97" s="16">
        <v>0</v>
      </c>
      <c r="S97" s="8">
        <v>6.7</v>
      </c>
      <c r="T97" s="8">
        <v>3.55</v>
      </c>
    </row>
    <row r="98" spans="2:20" x14ac:dyDescent="0.25">
      <c r="B98" s="11" t="str">
        <f t="shared" si="3"/>
        <v>KUNG LONG 33 Ah 1,6</v>
      </c>
      <c r="C98" s="5" t="s">
        <v>28</v>
      </c>
      <c r="D98" s="5" t="s">
        <v>25</v>
      </c>
      <c r="E98" s="8">
        <v>1.6</v>
      </c>
      <c r="F98" s="18">
        <v>236</v>
      </c>
      <c r="G98" s="12">
        <v>159</v>
      </c>
      <c r="H98" s="12">
        <v>119</v>
      </c>
      <c r="I98" s="16">
        <f t="shared" si="1"/>
        <v>101.33333333333334</v>
      </c>
      <c r="J98" s="12">
        <v>66</v>
      </c>
      <c r="K98" s="13">
        <f t="shared" si="2"/>
        <v>52.5</v>
      </c>
      <c r="L98" s="12">
        <v>39</v>
      </c>
      <c r="M98" s="12">
        <v>23.5</v>
      </c>
      <c r="N98" s="8">
        <v>17</v>
      </c>
      <c r="O98" s="8">
        <v>13.4</v>
      </c>
      <c r="P98" s="8">
        <v>11.7</v>
      </c>
      <c r="Q98" s="13">
        <v>0</v>
      </c>
      <c r="R98" s="16">
        <v>0</v>
      </c>
      <c r="S98" s="8">
        <v>6.8</v>
      </c>
      <c r="T98" s="8">
        <v>3.6</v>
      </c>
    </row>
    <row r="99" spans="2:20" x14ac:dyDescent="0.25">
      <c r="B99" s="11" t="str">
        <f t="shared" si="3"/>
        <v>KUNG LONG 45 Ah 1,85</v>
      </c>
      <c r="C99" s="37" t="s">
        <v>28</v>
      </c>
      <c r="D99" s="37" t="s">
        <v>26</v>
      </c>
      <c r="E99" s="38">
        <v>1.85</v>
      </c>
      <c r="F99" s="61">
        <v>249</v>
      </c>
      <c r="G99" s="58">
        <v>178</v>
      </c>
      <c r="H99" s="58">
        <v>135</v>
      </c>
      <c r="I99" s="58">
        <v>112</v>
      </c>
      <c r="J99" s="58">
        <v>84.8</v>
      </c>
      <c r="K99" s="40">
        <f t="shared" si="2"/>
        <v>73.849999999999994</v>
      </c>
      <c r="L99" s="58">
        <v>62.9</v>
      </c>
      <c r="M99" s="40">
        <v>33.5</v>
      </c>
      <c r="N99" s="40">
        <v>23.3</v>
      </c>
      <c r="O99" s="40">
        <v>18</v>
      </c>
      <c r="P99" s="40">
        <v>14.6</v>
      </c>
      <c r="Q99" s="40">
        <f>($R99-$P99)/(480-300)*(360-300)+P99</f>
        <v>12.92</v>
      </c>
      <c r="R99" s="40">
        <v>9.56</v>
      </c>
      <c r="S99" s="40">
        <v>6.93</v>
      </c>
      <c r="T99" s="40">
        <v>3.55</v>
      </c>
    </row>
    <row r="100" spans="2:20" x14ac:dyDescent="0.25">
      <c r="B100" s="11" t="str">
        <f t="shared" si="3"/>
        <v>KUNG LONG 45 Ah 1,8</v>
      </c>
      <c r="C100" s="37" t="s">
        <v>28</v>
      </c>
      <c r="D100" s="37" t="s">
        <v>26</v>
      </c>
      <c r="E100" s="40">
        <v>1.8</v>
      </c>
      <c r="F100" s="61">
        <v>266</v>
      </c>
      <c r="G100" s="58">
        <v>198</v>
      </c>
      <c r="H100" s="58">
        <v>142</v>
      </c>
      <c r="I100" s="58">
        <v>118</v>
      </c>
      <c r="J100" s="58">
        <v>88.6</v>
      </c>
      <c r="K100" s="40">
        <f t="shared" si="2"/>
        <v>76.949999999999989</v>
      </c>
      <c r="L100" s="58">
        <v>65.3</v>
      </c>
      <c r="M100" s="40">
        <v>34.799999999999997</v>
      </c>
      <c r="N100" s="40">
        <v>24.1</v>
      </c>
      <c r="O100" s="40">
        <v>18.600000000000001</v>
      </c>
      <c r="P100" s="40">
        <v>15.2</v>
      </c>
      <c r="Q100" s="40">
        <f t="shared" ref="Q100:Q105" si="4">($R100-$P100)/(480-300)*(360-300)+P100</f>
        <v>13.426666666666666</v>
      </c>
      <c r="R100" s="40">
        <v>9.8800000000000008</v>
      </c>
      <c r="S100" s="40">
        <v>7.15</v>
      </c>
      <c r="T100" s="40">
        <v>3.75</v>
      </c>
    </row>
    <row r="101" spans="2:20" x14ac:dyDescent="0.25">
      <c r="B101" s="11" t="str">
        <f t="shared" si="3"/>
        <v>KUNG LONG 45 Ah 1,75</v>
      </c>
      <c r="C101" s="37" t="s">
        <v>28</v>
      </c>
      <c r="D101" s="37" t="s">
        <v>26</v>
      </c>
      <c r="E101" s="38">
        <v>1.75</v>
      </c>
      <c r="F101" s="61">
        <v>281</v>
      </c>
      <c r="G101" s="58">
        <v>198</v>
      </c>
      <c r="H101" s="58">
        <v>149</v>
      </c>
      <c r="I101" s="58">
        <v>123</v>
      </c>
      <c r="J101" s="58">
        <v>91.8</v>
      </c>
      <c r="K101" s="40">
        <f t="shared" si="2"/>
        <v>79.199999999999989</v>
      </c>
      <c r="L101" s="58">
        <v>66.599999999999994</v>
      </c>
      <c r="M101" s="40">
        <v>35.4</v>
      </c>
      <c r="N101" s="40">
        <v>24.5</v>
      </c>
      <c r="O101" s="40">
        <v>18.899999999999999</v>
      </c>
      <c r="P101" s="40">
        <v>15.4</v>
      </c>
      <c r="Q101" s="40">
        <f t="shared" si="4"/>
        <v>13.6</v>
      </c>
      <c r="R101" s="40">
        <v>10</v>
      </c>
      <c r="S101" s="40">
        <v>7.35</v>
      </c>
      <c r="T101" s="40">
        <v>3.93</v>
      </c>
    </row>
    <row r="102" spans="2:20" x14ac:dyDescent="0.25">
      <c r="B102" s="11" t="str">
        <f t="shared" si="3"/>
        <v>KUNG LONG 45 Ah 1,7</v>
      </c>
      <c r="C102" s="37" t="s">
        <v>28</v>
      </c>
      <c r="D102" s="37" t="s">
        <v>26</v>
      </c>
      <c r="E102" s="40">
        <v>1.7</v>
      </c>
      <c r="F102" s="61">
        <v>290</v>
      </c>
      <c r="G102" s="58">
        <v>204</v>
      </c>
      <c r="H102" s="58">
        <v>152</v>
      </c>
      <c r="I102" s="58">
        <v>125</v>
      </c>
      <c r="J102" s="58">
        <v>93.5</v>
      </c>
      <c r="K102" s="40">
        <f t="shared" si="2"/>
        <v>80.3</v>
      </c>
      <c r="L102" s="58">
        <v>67.099999999999994</v>
      </c>
      <c r="M102" s="40">
        <v>35.6</v>
      </c>
      <c r="N102" s="40">
        <v>24.7</v>
      </c>
      <c r="O102" s="40">
        <v>19</v>
      </c>
      <c r="P102" s="40">
        <v>15.5</v>
      </c>
      <c r="Q102" s="40">
        <f t="shared" si="4"/>
        <v>13.7</v>
      </c>
      <c r="R102" s="40">
        <v>10.1</v>
      </c>
      <c r="S102" s="40">
        <v>7.55</v>
      </c>
      <c r="T102" s="40">
        <v>4.08</v>
      </c>
    </row>
    <row r="103" spans="2:20" x14ac:dyDescent="0.25">
      <c r="B103" s="11" t="str">
        <f t="shared" si="3"/>
        <v>KUNG LONG 45 Ah 1,67</v>
      </c>
      <c r="C103" s="37" t="s">
        <v>28</v>
      </c>
      <c r="D103" s="37" t="s">
        <v>26</v>
      </c>
      <c r="E103" s="38">
        <v>1.67</v>
      </c>
      <c r="F103" s="61">
        <v>293</v>
      </c>
      <c r="G103" s="58">
        <v>205</v>
      </c>
      <c r="H103" s="58">
        <v>153</v>
      </c>
      <c r="I103" s="58">
        <v>126</v>
      </c>
      <c r="J103" s="58">
        <v>94.2</v>
      </c>
      <c r="K103" s="40">
        <f t="shared" si="2"/>
        <v>80.75</v>
      </c>
      <c r="L103" s="58">
        <v>67.3</v>
      </c>
      <c r="M103" s="40">
        <v>35.799999999999997</v>
      </c>
      <c r="N103" s="40">
        <v>24.7</v>
      </c>
      <c r="O103" s="40">
        <v>19.100000000000001</v>
      </c>
      <c r="P103" s="40">
        <v>15.5</v>
      </c>
      <c r="Q103" s="40">
        <f t="shared" si="4"/>
        <v>13.7</v>
      </c>
      <c r="R103" s="40">
        <v>10.1</v>
      </c>
      <c r="S103" s="40">
        <v>7.63</v>
      </c>
      <c r="T103" s="40">
        <v>4.1500000000000004</v>
      </c>
    </row>
    <row r="104" spans="2:20" x14ac:dyDescent="0.25">
      <c r="B104" s="11" t="str">
        <f t="shared" si="3"/>
        <v>KUNG LONG 45 Ah 1,65</v>
      </c>
      <c r="C104" s="37" t="s">
        <v>28</v>
      </c>
      <c r="D104" s="37" t="s">
        <v>26</v>
      </c>
      <c r="E104" s="40">
        <v>1.65</v>
      </c>
      <c r="F104" s="61">
        <v>295</v>
      </c>
      <c r="G104" s="58">
        <v>207</v>
      </c>
      <c r="H104" s="58">
        <v>154</v>
      </c>
      <c r="I104" s="58">
        <v>127</v>
      </c>
      <c r="J104" s="58">
        <v>94.6</v>
      </c>
      <c r="K104" s="40">
        <f t="shared" si="2"/>
        <v>81.099999999999994</v>
      </c>
      <c r="L104" s="58">
        <v>67.599999999999994</v>
      </c>
      <c r="M104" s="40">
        <v>35.9</v>
      </c>
      <c r="N104" s="40">
        <v>24.8</v>
      </c>
      <c r="O104" s="40">
        <v>19.100000000000001</v>
      </c>
      <c r="P104" s="40">
        <v>15.6</v>
      </c>
      <c r="Q104" s="40">
        <f t="shared" si="4"/>
        <v>13.766666666666666</v>
      </c>
      <c r="R104" s="40">
        <v>10.1</v>
      </c>
      <c r="S104" s="40">
        <v>7.73</v>
      </c>
      <c r="T104" s="40">
        <v>4.2300000000000004</v>
      </c>
    </row>
    <row r="105" spans="2:20" x14ac:dyDescent="0.25">
      <c r="B105" s="11" t="str">
        <f t="shared" si="3"/>
        <v>KUNG LONG 45 Ah 1,6</v>
      </c>
      <c r="C105" s="37" t="s">
        <v>28</v>
      </c>
      <c r="D105" s="37" t="s">
        <v>26</v>
      </c>
      <c r="E105" s="40">
        <v>1.6</v>
      </c>
      <c r="F105" s="61">
        <v>299</v>
      </c>
      <c r="G105" s="58">
        <v>209</v>
      </c>
      <c r="H105" s="58">
        <v>156</v>
      </c>
      <c r="I105" s="58">
        <v>128</v>
      </c>
      <c r="J105" s="58">
        <v>95.5</v>
      </c>
      <c r="K105" s="40">
        <f t="shared" si="2"/>
        <v>81.7</v>
      </c>
      <c r="L105" s="58">
        <v>67.900000000000006</v>
      </c>
      <c r="M105" s="40">
        <v>36.1</v>
      </c>
      <c r="N105" s="40">
        <v>24.9</v>
      </c>
      <c r="O105" s="40">
        <v>19.2</v>
      </c>
      <c r="P105" s="40">
        <v>15.7</v>
      </c>
      <c r="Q105" s="40">
        <f t="shared" si="4"/>
        <v>13.866666666666665</v>
      </c>
      <c r="R105" s="40">
        <v>10.199999999999999</v>
      </c>
      <c r="S105" s="40">
        <v>7.87</v>
      </c>
      <c r="T105" s="40">
        <v>4.3499999999999996</v>
      </c>
    </row>
    <row r="106" spans="2:20" x14ac:dyDescent="0.25">
      <c r="B106" s="11" t="str">
        <f t="shared" si="3"/>
        <v>KUNG LONG 55 Ah 1,85</v>
      </c>
      <c r="C106" s="5" t="s">
        <v>28</v>
      </c>
      <c r="D106" s="5" t="s">
        <v>27</v>
      </c>
      <c r="E106" s="6">
        <v>1.85</v>
      </c>
      <c r="F106" s="18">
        <v>328</v>
      </c>
      <c r="G106" s="12">
        <v>210</v>
      </c>
      <c r="H106" s="12">
        <v>163</v>
      </c>
      <c r="I106" s="16">
        <f>($J106-$H106)/(30-15)*(20-15)+H106</f>
        <v>137.63333333333333</v>
      </c>
      <c r="J106" s="12">
        <v>86.9</v>
      </c>
      <c r="K106" s="13">
        <f t="shared" si="2"/>
        <v>75.800000000000011</v>
      </c>
      <c r="L106" s="12">
        <v>64.7</v>
      </c>
      <c r="M106" s="12">
        <v>32.5</v>
      </c>
      <c r="N106" s="12">
        <v>26.3</v>
      </c>
      <c r="O106" s="8">
        <v>21.8</v>
      </c>
      <c r="P106" s="8">
        <v>18.3</v>
      </c>
      <c r="Q106" s="13">
        <v>0</v>
      </c>
      <c r="R106" s="16">
        <v>0</v>
      </c>
      <c r="S106" s="8">
        <v>10.6</v>
      </c>
      <c r="T106" s="8">
        <v>5.48</v>
      </c>
    </row>
    <row r="107" spans="2:20" x14ac:dyDescent="0.25">
      <c r="B107" s="11" t="str">
        <f t="shared" si="3"/>
        <v>KUNG LONG 55 Ah 1,8</v>
      </c>
      <c r="C107" s="5" t="s">
        <v>28</v>
      </c>
      <c r="D107" s="5" t="s">
        <v>27</v>
      </c>
      <c r="E107" s="8">
        <v>1.8</v>
      </c>
      <c r="F107" s="18">
        <v>381</v>
      </c>
      <c r="G107" s="12">
        <v>244</v>
      </c>
      <c r="H107" s="12">
        <v>187</v>
      </c>
      <c r="I107" s="16">
        <f t="shared" ref="I107:I166" si="5">($J107-$H107)/(30-15)*(20-15)+H107</f>
        <v>157.83333333333334</v>
      </c>
      <c r="J107" s="12">
        <v>99.5</v>
      </c>
      <c r="K107" s="13">
        <f t="shared" si="2"/>
        <v>83.5</v>
      </c>
      <c r="L107" s="12">
        <v>67.5</v>
      </c>
      <c r="M107" s="12">
        <v>34.700000000000003</v>
      </c>
      <c r="N107" s="12">
        <v>28.2</v>
      </c>
      <c r="O107" s="8">
        <v>23</v>
      </c>
      <c r="P107" s="8">
        <v>19.3</v>
      </c>
      <c r="Q107" s="13">
        <v>0</v>
      </c>
      <c r="R107" s="16">
        <v>0</v>
      </c>
      <c r="S107" s="8">
        <v>11.1</v>
      </c>
      <c r="T107" s="8">
        <v>5.78</v>
      </c>
    </row>
    <row r="108" spans="2:20" x14ac:dyDescent="0.25">
      <c r="B108" s="11" t="str">
        <f t="shared" si="3"/>
        <v>KUNG LONG 55 Ah 1,75</v>
      </c>
      <c r="C108" s="5" t="s">
        <v>28</v>
      </c>
      <c r="D108" s="5" t="s">
        <v>27</v>
      </c>
      <c r="E108" s="6">
        <v>1.75</v>
      </c>
      <c r="F108" s="18">
        <v>413</v>
      </c>
      <c r="G108" s="18">
        <v>265</v>
      </c>
      <c r="H108" s="12">
        <v>202</v>
      </c>
      <c r="I108" s="16">
        <f t="shared" si="5"/>
        <v>170.33333333333334</v>
      </c>
      <c r="J108" s="12">
        <v>107</v>
      </c>
      <c r="K108" s="13">
        <f t="shared" si="2"/>
        <v>88.15</v>
      </c>
      <c r="L108" s="12">
        <v>69.3</v>
      </c>
      <c r="M108" s="12">
        <v>36.200000000000003</v>
      </c>
      <c r="N108" s="12">
        <v>29.2</v>
      </c>
      <c r="O108" s="12">
        <v>23.7</v>
      </c>
      <c r="P108" s="8">
        <v>20</v>
      </c>
      <c r="Q108" s="13">
        <v>0</v>
      </c>
      <c r="R108" s="16">
        <v>0</v>
      </c>
      <c r="S108" s="8">
        <v>11.4</v>
      </c>
      <c r="T108" s="8">
        <v>5.93</v>
      </c>
    </row>
    <row r="109" spans="2:20" x14ac:dyDescent="0.25">
      <c r="B109" s="11" t="str">
        <f t="shared" si="3"/>
        <v>KUNG LONG 55 Ah 1,7</v>
      </c>
      <c r="C109" s="5" t="s">
        <v>28</v>
      </c>
      <c r="D109" s="5" t="s">
        <v>27</v>
      </c>
      <c r="E109" s="8">
        <v>1.7</v>
      </c>
      <c r="F109" s="18">
        <v>430</v>
      </c>
      <c r="G109" s="18">
        <v>276</v>
      </c>
      <c r="H109" s="12">
        <v>209</v>
      </c>
      <c r="I109" s="16">
        <f t="shared" si="5"/>
        <v>176.33333333333334</v>
      </c>
      <c r="J109" s="12">
        <v>111</v>
      </c>
      <c r="K109" s="13">
        <f t="shared" si="2"/>
        <v>90.9</v>
      </c>
      <c r="L109" s="12">
        <v>70.8</v>
      </c>
      <c r="M109" s="12">
        <v>37.200000000000003</v>
      </c>
      <c r="N109" s="12">
        <v>29.8</v>
      </c>
      <c r="O109" s="12">
        <v>24.2</v>
      </c>
      <c r="P109" s="8">
        <v>20.3</v>
      </c>
      <c r="Q109" s="13">
        <v>0</v>
      </c>
      <c r="R109" s="16">
        <v>0</v>
      </c>
      <c r="S109" s="8">
        <v>11.6</v>
      </c>
      <c r="T109" s="8">
        <v>6.05</v>
      </c>
    </row>
    <row r="110" spans="2:20" x14ac:dyDescent="0.25">
      <c r="B110" s="11" t="str">
        <f t="shared" si="3"/>
        <v>KUNG LONG 55 Ah 1,67</v>
      </c>
      <c r="C110" s="5" t="s">
        <v>28</v>
      </c>
      <c r="D110" s="5" t="s">
        <v>27</v>
      </c>
      <c r="E110" s="6">
        <v>1.67</v>
      </c>
      <c r="F110" s="18">
        <v>434</v>
      </c>
      <c r="G110" s="18">
        <v>278</v>
      </c>
      <c r="H110" s="12">
        <v>211</v>
      </c>
      <c r="I110" s="16">
        <f t="shared" si="5"/>
        <v>178</v>
      </c>
      <c r="J110" s="12">
        <v>112</v>
      </c>
      <c r="K110" s="13">
        <f t="shared" si="2"/>
        <v>91.65</v>
      </c>
      <c r="L110" s="12">
        <v>71.3</v>
      </c>
      <c r="M110" s="12">
        <v>37.5</v>
      </c>
      <c r="N110" s="12">
        <v>30</v>
      </c>
      <c r="O110" s="12">
        <v>24.3</v>
      </c>
      <c r="P110" s="8">
        <v>20.5</v>
      </c>
      <c r="Q110" s="13">
        <v>0</v>
      </c>
      <c r="R110" s="16">
        <v>0</v>
      </c>
      <c r="S110" s="8">
        <v>11.6</v>
      </c>
      <c r="T110" s="8">
        <v>6.08</v>
      </c>
    </row>
    <row r="111" spans="2:20" x14ac:dyDescent="0.25">
      <c r="B111" s="11" t="str">
        <f t="shared" si="3"/>
        <v>KUNG LONG 55 Ah 1,65</v>
      </c>
      <c r="C111" s="5" t="s">
        <v>28</v>
      </c>
      <c r="D111" s="5" t="s">
        <v>27</v>
      </c>
      <c r="E111" s="8">
        <v>1.65</v>
      </c>
      <c r="F111" s="18">
        <v>438</v>
      </c>
      <c r="G111" s="18">
        <v>281</v>
      </c>
      <c r="H111" s="12">
        <v>213</v>
      </c>
      <c r="I111" s="16">
        <f t="shared" si="5"/>
        <v>179.66666666666666</v>
      </c>
      <c r="J111" s="12">
        <v>113</v>
      </c>
      <c r="K111" s="13">
        <f t="shared" si="2"/>
        <v>92.5</v>
      </c>
      <c r="L111" s="12">
        <v>72</v>
      </c>
      <c r="M111" s="12">
        <v>37.799999999999997</v>
      </c>
      <c r="N111" s="12">
        <v>30.3</v>
      </c>
      <c r="O111" s="12">
        <v>24.5</v>
      </c>
      <c r="P111" s="8">
        <v>20.7</v>
      </c>
      <c r="Q111" s="13">
        <v>0</v>
      </c>
      <c r="R111" s="16">
        <v>0</v>
      </c>
      <c r="S111" s="8">
        <v>11.7</v>
      </c>
      <c r="T111" s="8">
        <v>6.14</v>
      </c>
    </row>
    <row r="112" spans="2:20" x14ac:dyDescent="0.25">
      <c r="B112" s="11" t="str">
        <f t="shared" si="3"/>
        <v>KUNG LONG 55 Ah 1,6</v>
      </c>
      <c r="C112" s="5" t="s">
        <v>28</v>
      </c>
      <c r="D112" s="5" t="s">
        <v>27</v>
      </c>
      <c r="E112" s="8">
        <v>1.6</v>
      </c>
      <c r="F112" s="18">
        <v>444</v>
      </c>
      <c r="G112" s="18">
        <v>285</v>
      </c>
      <c r="H112" s="12">
        <v>215</v>
      </c>
      <c r="I112" s="16">
        <f t="shared" si="5"/>
        <v>181.66666666666666</v>
      </c>
      <c r="J112" s="12">
        <v>115</v>
      </c>
      <c r="K112" s="13">
        <f t="shared" si="2"/>
        <v>93.8</v>
      </c>
      <c r="L112" s="12">
        <v>72.599999999999994</v>
      </c>
      <c r="M112" s="12">
        <v>38.299999999999997</v>
      </c>
      <c r="N112" s="12">
        <v>30.5</v>
      </c>
      <c r="O112" s="12">
        <v>24.6</v>
      </c>
      <c r="P112" s="8">
        <v>20.9</v>
      </c>
      <c r="Q112" s="13">
        <v>0</v>
      </c>
      <c r="R112" s="16">
        <v>0</v>
      </c>
      <c r="S112" s="8">
        <v>11.7</v>
      </c>
      <c r="T112" s="8">
        <v>6.18</v>
      </c>
    </row>
    <row r="113" spans="2:20" x14ac:dyDescent="0.25">
      <c r="B113" s="19" t="str">
        <f t="shared" si="3"/>
        <v>RITAR 7 Ah 1,85</v>
      </c>
      <c r="C113" s="37" t="s">
        <v>29</v>
      </c>
      <c r="D113" s="37" t="s">
        <v>20</v>
      </c>
      <c r="E113" s="62">
        <v>1.85</v>
      </c>
      <c r="F113" s="63">
        <v>34.82</v>
      </c>
      <c r="G113" s="63">
        <v>24.62</v>
      </c>
      <c r="H113" s="63">
        <v>19.260000000000002</v>
      </c>
      <c r="I113" s="58">
        <f t="shared" si="5"/>
        <v>16.79</v>
      </c>
      <c r="J113" s="63">
        <v>11.85</v>
      </c>
      <c r="K113" s="40">
        <f t="shared" si="2"/>
        <v>9.5449999999999999</v>
      </c>
      <c r="L113" s="63">
        <v>7.24</v>
      </c>
      <c r="M113" s="63">
        <v>4.4800000000000004</v>
      </c>
      <c r="N113" s="63">
        <v>3.32</v>
      </c>
      <c r="O113" s="63">
        <v>2.67</v>
      </c>
      <c r="P113" s="59">
        <v>2.2799999999999998</v>
      </c>
      <c r="Q113" s="40">
        <f>($R113-$P113)/(480-300)*(360-300)+P113</f>
        <v>2.04</v>
      </c>
      <c r="R113" s="59">
        <v>1.56</v>
      </c>
      <c r="S113" s="59">
        <v>1.28</v>
      </c>
      <c r="T113" s="59">
        <v>0.68</v>
      </c>
    </row>
    <row r="114" spans="2:20" x14ac:dyDescent="0.25">
      <c r="B114" s="19" t="str">
        <f t="shared" si="3"/>
        <v>RITAR 7 Ah 1,8</v>
      </c>
      <c r="C114" s="37" t="s">
        <v>29</v>
      </c>
      <c r="D114" s="37" t="s">
        <v>20</v>
      </c>
      <c r="E114" s="59">
        <v>1.8</v>
      </c>
      <c r="F114" s="63">
        <v>38.880000000000003</v>
      </c>
      <c r="G114" s="63">
        <v>26.85</v>
      </c>
      <c r="H114" s="63">
        <v>20.8</v>
      </c>
      <c r="I114" s="58">
        <f t="shared" si="5"/>
        <v>18.086666666666666</v>
      </c>
      <c r="J114" s="63">
        <v>12.66</v>
      </c>
      <c r="K114" s="40">
        <f t="shared" si="2"/>
        <v>10.16</v>
      </c>
      <c r="L114" s="63">
        <v>7.66</v>
      </c>
      <c r="M114" s="63">
        <v>4.6900000000000004</v>
      </c>
      <c r="N114" s="63">
        <v>3.45</v>
      </c>
      <c r="O114" s="63">
        <v>2.78</v>
      </c>
      <c r="P114" s="59">
        <v>2.36</v>
      </c>
      <c r="Q114" s="40">
        <f t="shared" ref="Q114:Q166" si="6">($R114-$P114)/(480-300)*(360-300)+P114</f>
        <v>2.11</v>
      </c>
      <c r="R114" s="59">
        <v>1.61</v>
      </c>
      <c r="S114" s="59">
        <v>1.32</v>
      </c>
      <c r="T114" s="59">
        <v>0.69</v>
      </c>
    </row>
    <row r="115" spans="2:20" x14ac:dyDescent="0.25">
      <c r="B115" s="19" t="str">
        <f t="shared" si="3"/>
        <v>RITAR 7 Ah 1,75</v>
      </c>
      <c r="C115" s="37" t="s">
        <v>29</v>
      </c>
      <c r="D115" s="37" t="s">
        <v>20</v>
      </c>
      <c r="E115" s="62">
        <v>1.75</v>
      </c>
      <c r="F115" s="63">
        <v>41.94</v>
      </c>
      <c r="G115" s="63">
        <v>28.47</v>
      </c>
      <c r="H115" s="63">
        <v>21.93</v>
      </c>
      <c r="I115" s="58">
        <f t="shared" si="5"/>
        <v>19.036666666666665</v>
      </c>
      <c r="J115" s="63">
        <v>13.25</v>
      </c>
      <c r="K115" s="40">
        <f t="shared" si="2"/>
        <v>10.620000000000001</v>
      </c>
      <c r="L115" s="63">
        <v>7.99</v>
      </c>
      <c r="M115" s="63">
        <v>4.84</v>
      </c>
      <c r="N115" s="63">
        <v>3.56</v>
      </c>
      <c r="O115" s="63">
        <v>2.85</v>
      </c>
      <c r="P115" s="59">
        <v>2.4300000000000002</v>
      </c>
      <c r="Q115" s="40">
        <f t="shared" si="6"/>
        <v>2.166666666666667</v>
      </c>
      <c r="R115" s="59">
        <v>1.64</v>
      </c>
      <c r="S115" s="59">
        <v>1.35</v>
      </c>
      <c r="T115" s="59">
        <v>0.71</v>
      </c>
    </row>
    <row r="116" spans="2:20" x14ac:dyDescent="0.25">
      <c r="B116" s="19" t="str">
        <f t="shared" si="3"/>
        <v>RITAR 7 Ah 1,7</v>
      </c>
      <c r="C116" s="37" t="s">
        <v>29</v>
      </c>
      <c r="D116" s="37" t="s">
        <v>20</v>
      </c>
      <c r="E116" s="59">
        <v>1.7</v>
      </c>
      <c r="F116" s="63">
        <v>44.1</v>
      </c>
      <c r="G116" s="63">
        <v>29.58</v>
      </c>
      <c r="H116" s="63">
        <v>22.69</v>
      </c>
      <c r="I116" s="58">
        <f t="shared" si="5"/>
        <v>19.68</v>
      </c>
      <c r="J116" s="63">
        <v>13.66</v>
      </c>
      <c r="K116" s="40">
        <f t="shared" si="2"/>
        <v>10.940000000000001</v>
      </c>
      <c r="L116" s="63">
        <v>8.2200000000000006</v>
      </c>
      <c r="M116" s="63">
        <v>4.95</v>
      </c>
      <c r="N116" s="63">
        <v>3.63</v>
      </c>
      <c r="O116" s="63">
        <v>2.91</v>
      </c>
      <c r="P116" s="59">
        <v>2.4700000000000002</v>
      </c>
      <c r="Q116" s="40">
        <f t="shared" si="6"/>
        <v>2.2033333333333336</v>
      </c>
      <c r="R116" s="59">
        <v>1.67</v>
      </c>
      <c r="S116" s="59">
        <v>1.37</v>
      </c>
      <c r="T116" s="59">
        <v>0.72</v>
      </c>
    </row>
    <row r="117" spans="2:20" x14ac:dyDescent="0.25">
      <c r="B117" s="19" t="str">
        <f t="shared" si="3"/>
        <v>RITAR 7 Ah 1,65</v>
      </c>
      <c r="C117" s="37" t="s">
        <v>29</v>
      </c>
      <c r="D117" s="37" t="s">
        <v>20</v>
      </c>
      <c r="E117" s="62">
        <v>1.65</v>
      </c>
      <c r="F117" s="63">
        <v>45.85</v>
      </c>
      <c r="G117" s="63">
        <v>30.48</v>
      </c>
      <c r="H117" s="63">
        <v>23.32</v>
      </c>
      <c r="I117" s="58">
        <f t="shared" si="5"/>
        <v>20.213333333333335</v>
      </c>
      <c r="J117" s="63">
        <v>14</v>
      </c>
      <c r="K117" s="40">
        <f t="shared" si="2"/>
        <v>11.2</v>
      </c>
      <c r="L117" s="63">
        <v>8.4</v>
      </c>
      <c r="M117" s="63">
        <v>5.03</v>
      </c>
      <c r="N117" s="63">
        <v>3.69</v>
      </c>
      <c r="O117" s="63">
        <v>2.95</v>
      </c>
      <c r="P117" s="59">
        <v>2.5</v>
      </c>
      <c r="Q117" s="40">
        <f t="shared" si="6"/>
        <v>2.23</v>
      </c>
      <c r="R117" s="59">
        <v>1.69</v>
      </c>
      <c r="S117" s="59">
        <v>1.39</v>
      </c>
      <c r="T117" s="59">
        <v>0.72</v>
      </c>
    </row>
    <row r="118" spans="2:20" x14ac:dyDescent="0.25">
      <c r="B118" s="19" t="str">
        <f t="shared" si="3"/>
        <v>RITAR 7 Ah 1,6</v>
      </c>
      <c r="C118" s="37" t="s">
        <v>29</v>
      </c>
      <c r="D118" s="37" t="s">
        <v>20</v>
      </c>
      <c r="E118" s="59">
        <v>1.6</v>
      </c>
      <c r="F118" s="63">
        <v>46.34</v>
      </c>
      <c r="G118" s="63">
        <v>30.6</v>
      </c>
      <c r="H118" s="63">
        <v>23.46</v>
      </c>
      <c r="I118" s="58">
        <f t="shared" si="5"/>
        <v>20.34</v>
      </c>
      <c r="J118" s="63">
        <v>14.1</v>
      </c>
      <c r="K118" s="40">
        <f t="shared" si="2"/>
        <v>11.285</v>
      </c>
      <c r="L118" s="63">
        <v>8.4700000000000006</v>
      </c>
      <c r="M118" s="63">
        <v>5.07</v>
      </c>
      <c r="N118" s="63">
        <v>3.71</v>
      </c>
      <c r="O118" s="63">
        <v>2.97</v>
      </c>
      <c r="P118" s="59">
        <v>2.52</v>
      </c>
      <c r="Q118" s="40">
        <f t="shared" si="6"/>
        <v>2.25</v>
      </c>
      <c r="R118" s="59">
        <v>1.71</v>
      </c>
      <c r="S118" s="59">
        <v>1.4</v>
      </c>
      <c r="T118" s="59">
        <v>0.73</v>
      </c>
    </row>
    <row r="119" spans="2:20" x14ac:dyDescent="0.25">
      <c r="B119" s="19" t="str">
        <f t="shared" si="3"/>
        <v>RITAR 9 Ah 1,85</v>
      </c>
      <c r="C119" s="5" t="s">
        <v>29</v>
      </c>
      <c r="D119" s="5" t="s">
        <v>21</v>
      </c>
      <c r="E119" s="20">
        <v>1.85</v>
      </c>
      <c r="F119" s="9">
        <v>54.1</v>
      </c>
      <c r="G119" s="9">
        <v>40.6</v>
      </c>
      <c r="H119" s="9">
        <v>33.6</v>
      </c>
      <c r="I119" s="16">
        <v>28</v>
      </c>
      <c r="J119" s="9">
        <v>21.2</v>
      </c>
      <c r="K119" s="13">
        <f t="shared" si="2"/>
        <v>17</v>
      </c>
      <c r="L119" s="9">
        <v>12.8</v>
      </c>
      <c r="M119" s="9">
        <v>0</v>
      </c>
      <c r="N119" s="9">
        <v>0</v>
      </c>
      <c r="O119" s="9">
        <v>0</v>
      </c>
      <c r="P119" s="9">
        <v>0</v>
      </c>
      <c r="Q119" s="13">
        <v>0</v>
      </c>
      <c r="R119" s="9">
        <v>0</v>
      </c>
      <c r="S119" s="9">
        <v>0</v>
      </c>
      <c r="T119" s="9">
        <v>0</v>
      </c>
    </row>
    <row r="120" spans="2:20" x14ac:dyDescent="0.25">
      <c r="B120" s="19" t="str">
        <f t="shared" si="3"/>
        <v>RITAR 9 Ah 1,8</v>
      </c>
      <c r="C120" s="5" t="s">
        <v>29</v>
      </c>
      <c r="D120" s="5" t="s">
        <v>21</v>
      </c>
      <c r="E120" s="14">
        <v>1.8</v>
      </c>
      <c r="F120" s="9">
        <v>56.9</v>
      </c>
      <c r="G120" s="9">
        <v>42.9</v>
      </c>
      <c r="H120" s="9">
        <v>35</v>
      </c>
      <c r="I120" s="16">
        <v>28.5</v>
      </c>
      <c r="J120" s="9">
        <v>21.5</v>
      </c>
      <c r="K120" s="13">
        <f t="shared" si="2"/>
        <v>17.2</v>
      </c>
      <c r="L120" s="9">
        <v>12.9</v>
      </c>
      <c r="M120" s="9">
        <v>0</v>
      </c>
      <c r="N120" s="9">
        <v>0</v>
      </c>
      <c r="O120" s="9">
        <v>0</v>
      </c>
      <c r="P120" s="9">
        <v>0</v>
      </c>
      <c r="Q120" s="13">
        <v>0</v>
      </c>
      <c r="R120" s="9">
        <v>0</v>
      </c>
      <c r="S120" s="9">
        <v>0</v>
      </c>
      <c r="T120" s="9">
        <v>0</v>
      </c>
    </row>
    <row r="121" spans="2:20" x14ac:dyDescent="0.25">
      <c r="B121" s="19" t="str">
        <f t="shared" si="3"/>
        <v>RITAR 9 Ah 1,75</v>
      </c>
      <c r="C121" s="5" t="s">
        <v>29</v>
      </c>
      <c r="D121" s="5" t="s">
        <v>21</v>
      </c>
      <c r="E121" s="20">
        <v>1.75</v>
      </c>
      <c r="F121" s="9">
        <v>59.6</v>
      </c>
      <c r="G121" s="9">
        <v>45.2</v>
      </c>
      <c r="H121" s="9">
        <v>36.299999999999997</v>
      </c>
      <c r="I121" s="16">
        <v>28.9</v>
      </c>
      <c r="J121" s="9">
        <v>21.9</v>
      </c>
      <c r="K121" s="13">
        <f t="shared" si="2"/>
        <v>17.45</v>
      </c>
      <c r="L121" s="9">
        <v>13</v>
      </c>
      <c r="M121" s="9">
        <v>0</v>
      </c>
      <c r="N121" s="9">
        <v>0</v>
      </c>
      <c r="O121" s="9">
        <v>0</v>
      </c>
      <c r="P121" s="9">
        <v>0</v>
      </c>
      <c r="Q121" s="13">
        <v>0</v>
      </c>
      <c r="R121" s="9">
        <v>0</v>
      </c>
      <c r="S121" s="9">
        <v>0</v>
      </c>
      <c r="T121" s="9">
        <v>0</v>
      </c>
    </row>
    <row r="122" spans="2:20" x14ac:dyDescent="0.25">
      <c r="B122" s="19" t="str">
        <f t="shared" si="3"/>
        <v>RITAR 9 Ah 1,7</v>
      </c>
      <c r="C122" s="5" t="s">
        <v>29</v>
      </c>
      <c r="D122" s="5" t="s">
        <v>21</v>
      </c>
      <c r="E122" s="14">
        <v>1.7</v>
      </c>
      <c r="F122" s="9">
        <v>62.3</v>
      </c>
      <c r="G122" s="9">
        <v>47.6</v>
      </c>
      <c r="H122" s="9">
        <v>37.6</v>
      </c>
      <c r="I122" s="16">
        <v>29.4</v>
      </c>
      <c r="J122" s="9">
        <v>22.2</v>
      </c>
      <c r="K122" s="13">
        <f t="shared" si="2"/>
        <v>17.600000000000001</v>
      </c>
      <c r="L122" s="9">
        <v>13</v>
      </c>
      <c r="M122" s="9">
        <v>0</v>
      </c>
      <c r="N122" s="9">
        <v>0</v>
      </c>
      <c r="O122" s="9">
        <v>0</v>
      </c>
      <c r="P122" s="9">
        <v>0</v>
      </c>
      <c r="Q122" s="13">
        <v>0</v>
      </c>
      <c r="R122" s="9">
        <v>0</v>
      </c>
      <c r="S122" s="9">
        <v>0</v>
      </c>
      <c r="T122" s="9">
        <v>0</v>
      </c>
    </row>
    <row r="123" spans="2:20" x14ac:dyDescent="0.25">
      <c r="B123" s="19" t="str">
        <f t="shared" si="3"/>
        <v>RITAR 9 Ah 1,65</v>
      </c>
      <c r="C123" s="5" t="s">
        <v>29</v>
      </c>
      <c r="D123" s="5" t="s">
        <v>21</v>
      </c>
      <c r="E123" s="20">
        <v>1.65</v>
      </c>
      <c r="F123" s="9">
        <v>64.3</v>
      </c>
      <c r="G123" s="9">
        <v>48.7</v>
      </c>
      <c r="H123" s="9">
        <v>38.299999999999997</v>
      </c>
      <c r="I123" s="16">
        <v>30.2</v>
      </c>
      <c r="J123" s="9">
        <v>22.6</v>
      </c>
      <c r="K123" s="13">
        <f t="shared" si="2"/>
        <v>17.899999999999999</v>
      </c>
      <c r="L123" s="9">
        <v>13.2</v>
      </c>
      <c r="M123" s="9">
        <v>0</v>
      </c>
      <c r="N123" s="9">
        <v>0</v>
      </c>
      <c r="O123" s="9">
        <v>0</v>
      </c>
      <c r="P123" s="9">
        <v>0</v>
      </c>
      <c r="Q123" s="13">
        <v>0</v>
      </c>
      <c r="R123" s="9">
        <v>0</v>
      </c>
      <c r="S123" s="9">
        <v>0</v>
      </c>
      <c r="T123" s="9">
        <v>0</v>
      </c>
    </row>
    <row r="124" spans="2:20" x14ac:dyDescent="0.25">
      <c r="B124" s="19" t="str">
        <f t="shared" si="3"/>
        <v>RITAR 9 Ah 1,6</v>
      </c>
      <c r="C124" s="5" t="s">
        <v>29</v>
      </c>
      <c r="D124" s="5" t="s">
        <v>21</v>
      </c>
      <c r="E124" s="14">
        <v>1.6</v>
      </c>
      <c r="F124" s="9">
        <v>68.8</v>
      </c>
      <c r="G124" s="9">
        <v>51.5</v>
      </c>
      <c r="H124" s="9">
        <v>40</v>
      </c>
      <c r="I124" s="16">
        <v>32</v>
      </c>
      <c r="J124" s="9">
        <v>23.5</v>
      </c>
      <c r="K124" s="13">
        <f t="shared" si="2"/>
        <v>18.649999999999999</v>
      </c>
      <c r="L124" s="9">
        <v>13.8</v>
      </c>
      <c r="M124" s="9">
        <v>0</v>
      </c>
      <c r="N124" s="9">
        <v>0</v>
      </c>
      <c r="O124" s="9">
        <v>0</v>
      </c>
      <c r="P124" s="9">
        <v>0</v>
      </c>
      <c r="Q124" s="13">
        <v>0</v>
      </c>
      <c r="R124" s="9">
        <v>0</v>
      </c>
      <c r="S124" s="9">
        <v>0</v>
      </c>
      <c r="T124" s="9">
        <v>0</v>
      </c>
    </row>
    <row r="125" spans="2:20" x14ac:dyDescent="0.25">
      <c r="B125" s="19" t="str">
        <f t="shared" si="3"/>
        <v>RITAR 12 Ah 1,85</v>
      </c>
      <c r="C125" s="37" t="s">
        <v>29</v>
      </c>
      <c r="D125" s="37" t="s">
        <v>22</v>
      </c>
      <c r="E125" s="62">
        <v>1.85</v>
      </c>
      <c r="F125" s="64">
        <v>57.550000000000004</v>
      </c>
      <c r="G125" s="65">
        <v>44.533333333333331</v>
      </c>
      <c r="H125" s="65">
        <v>34.866666666666667</v>
      </c>
      <c r="I125" s="58">
        <f t="shared" si="5"/>
        <v>30.383333333333333</v>
      </c>
      <c r="J125" s="65">
        <v>21.416666666666668</v>
      </c>
      <c r="K125" s="40">
        <f t="shared" si="2"/>
        <v>17.945</v>
      </c>
      <c r="L125" s="65">
        <v>14.473333333333334</v>
      </c>
      <c r="M125" s="65">
        <v>8.3366666666666678</v>
      </c>
      <c r="N125" s="65">
        <v>5.875</v>
      </c>
      <c r="O125" s="65">
        <v>4.6849999999999996</v>
      </c>
      <c r="P125" s="64">
        <v>4.07</v>
      </c>
      <c r="Q125" s="40">
        <f t="shared" si="6"/>
        <v>3.6066666666666669</v>
      </c>
      <c r="R125" s="65">
        <v>2.6799999999999997</v>
      </c>
      <c r="S125" s="65">
        <v>2.2566666666666664</v>
      </c>
      <c r="T125" s="66">
        <v>1.1525000000000001</v>
      </c>
    </row>
    <row r="126" spans="2:20" x14ac:dyDescent="0.25">
      <c r="B126" s="19" t="str">
        <f t="shared" si="3"/>
        <v>RITAR 12 Ah 1,8</v>
      </c>
      <c r="C126" s="37" t="s">
        <v>29</v>
      </c>
      <c r="D126" s="37" t="s">
        <v>22</v>
      </c>
      <c r="E126" s="59">
        <v>1.8</v>
      </c>
      <c r="F126" s="65">
        <v>65.266666666666666</v>
      </c>
      <c r="G126" s="65">
        <v>47.833333333333336</v>
      </c>
      <c r="H126" s="65">
        <v>37.033333333333331</v>
      </c>
      <c r="I126" s="58">
        <f t="shared" si="5"/>
        <v>32.027777777777779</v>
      </c>
      <c r="J126" s="65">
        <v>22.016666666666666</v>
      </c>
      <c r="K126" s="40">
        <f t="shared" si="2"/>
        <v>18.407499999999999</v>
      </c>
      <c r="L126" s="65">
        <v>14.798333333333334</v>
      </c>
      <c r="M126" s="65">
        <v>8.4583333333333339</v>
      </c>
      <c r="N126" s="65">
        <v>5.9916666666666671</v>
      </c>
      <c r="O126" s="65">
        <v>4.753333333333333</v>
      </c>
      <c r="P126" s="65">
        <v>4.085</v>
      </c>
      <c r="Q126" s="40">
        <f t="shared" si="6"/>
        <v>3.6227777777777779</v>
      </c>
      <c r="R126" s="65">
        <v>2.6983333333333337</v>
      </c>
      <c r="S126" s="65">
        <v>2.29</v>
      </c>
      <c r="T126" s="67">
        <v>1.171</v>
      </c>
    </row>
    <row r="127" spans="2:20" x14ac:dyDescent="0.25">
      <c r="B127" s="19" t="str">
        <f t="shared" si="3"/>
        <v>RITAR 12 Ah 1,75</v>
      </c>
      <c r="C127" s="37" t="s">
        <v>29</v>
      </c>
      <c r="D127" s="37" t="s">
        <v>22</v>
      </c>
      <c r="E127" s="62">
        <v>1.75</v>
      </c>
      <c r="F127" s="65">
        <v>72.333333333333329</v>
      </c>
      <c r="G127" s="65">
        <v>51.133333333333333</v>
      </c>
      <c r="H127" s="65">
        <v>39.18333333333333</v>
      </c>
      <c r="I127" s="58">
        <f t="shared" si="5"/>
        <v>33.638888888888886</v>
      </c>
      <c r="J127" s="64">
        <v>22.55</v>
      </c>
      <c r="K127" s="40">
        <f t="shared" si="2"/>
        <v>18.771666666666668</v>
      </c>
      <c r="L127" s="65">
        <v>14.993333333333332</v>
      </c>
      <c r="M127" s="64">
        <v>8.52</v>
      </c>
      <c r="N127" s="65">
        <v>6.0616666666666665</v>
      </c>
      <c r="O127" s="65">
        <v>4.92</v>
      </c>
      <c r="P127" s="65">
        <v>4.1033333333333335</v>
      </c>
      <c r="Q127" s="40">
        <f t="shared" si="6"/>
        <v>3.6388888888888893</v>
      </c>
      <c r="R127" s="65">
        <v>2.7100000000000004</v>
      </c>
      <c r="S127" s="65">
        <v>2.3249999999999997</v>
      </c>
      <c r="T127" s="67">
        <v>1.22</v>
      </c>
    </row>
    <row r="128" spans="2:20" x14ac:dyDescent="0.25">
      <c r="B128" s="19" t="str">
        <f t="shared" si="3"/>
        <v>RITAR 12 Ah 1,7</v>
      </c>
      <c r="C128" s="37" t="s">
        <v>29</v>
      </c>
      <c r="D128" s="37" t="s">
        <v>22</v>
      </c>
      <c r="E128" s="59">
        <v>1.7</v>
      </c>
      <c r="F128" s="64">
        <v>79.25</v>
      </c>
      <c r="G128" s="65">
        <v>53.333333333333336</v>
      </c>
      <c r="H128" s="64">
        <v>41.35</v>
      </c>
      <c r="I128" s="58">
        <f t="shared" si="5"/>
        <v>35.244444444444447</v>
      </c>
      <c r="J128" s="65">
        <v>23.033333333333331</v>
      </c>
      <c r="K128" s="40">
        <f t="shared" si="2"/>
        <v>19.115833333333331</v>
      </c>
      <c r="L128" s="65">
        <v>15.198333333333332</v>
      </c>
      <c r="M128" s="65">
        <v>8.6116666666666664</v>
      </c>
      <c r="N128" s="65">
        <v>6.1066666666666665</v>
      </c>
      <c r="O128" s="65">
        <v>4.9866666666666672</v>
      </c>
      <c r="P128" s="65">
        <v>4.1366666666666667</v>
      </c>
      <c r="Q128" s="40">
        <f t="shared" si="6"/>
        <v>3.6688888888888886</v>
      </c>
      <c r="R128" s="65">
        <v>2.7333333333333329</v>
      </c>
      <c r="S128" s="65">
        <v>2.3416666666666668</v>
      </c>
      <c r="T128" s="67">
        <v>1.2409999999999999</v>
      </c>
    </row>
    <row r="129" spans="2:22" x14ac:dyDescent="0.25">
      <c r="B129" s="19" t="str">
        <f t="shared" si="3"/>
        <v>RITAR 12 Ah 1,65</v>
      </c>
      <c r="C129" s="37" t="s">
        <v>29</v>
      </c>
      <c r="D129" s="37" t="s">
        <v>22</v>
      </c>
      <c r="E129" s="62">
        <v>1.65</v>
      </c>
      <c r="F129" s="65">
        <v>83.333333333333329</v>
      </c>
      <c r="G129" s="65">
        <v>55.533333333333331</v>
      </c>
      <c r="H129" s="64">
        <v>41.9</v>
      </c>
      <c r="I129" s="58">
        <f t="shared" si="5"/>
        <v>35.677777777777777</v>
      </c>
      <c r="J129" s="65">
        <v>23.233333333333334</v>
      </c>
      <c r="K129" s="40">
        <f t="shared" si="2"/>
        <v>19.272500000000001</v>
      </c>
      <c r="L129" s="65">
        <v>15.311666666666667</v>
      </c>
      <c r="M129" s="65">
        <v>8.6883333333333344</v>
      </c>
      <c r="N129" s="65">
        <v>6.16</v>
      </c>
      <c r="O129" s="65">
        <v>5.0350000000000001</v>
      </c>
      <c r="P129" s="65">
        <v>4.1616666666666662</v>
      </c>
      <c r="Q129" s="40">
        <f t="shared" si="6"/>
        <v>3.6927777777777777</v>
      </c>
      <c r="R129" s="65">
        <v>2.7550000000000003</v>
      </c>
      <c r="S129" s="65">
        <v>2.3733333333333335</v>
      </c>
      <c r="T129" s="67">
        <v>1.2736666666666667</v>
      </c>
    </row>
    <row r="130" spans="2:22" x14ac:dyDescent="0.25">
      <c r="B130" s="19" t="str">
        <f t="shared" si="3"/>
        <v>RITAR 12 Ah 1,6</v>
      </c>
      <c r="C130" s="37" t="s">
        <v>29</v>
      </c>
      <c r="D130" s="37" t="s">
        <v>22</v>
      </c>
      <c r="E130" s="59">
        <v>1.6</v>
      </c>
      <c r="F130" s="64">
        <v>85.55</v>
      </c>
      <c r="G130" s="65">
        <v>56.716666666666669</v>
      </c>
      <c r="H130" s="64">
        <v>42.5</v>
      </c>
      <c r="I130" s="58">
        <f t="shared" si="5"/>
        <v>36.155555555555559</v>
      </c>
      <c r="J130" s="65">
        <v>23.466666666666669</v>
      </c>
      <c r="K130" s="40">
        <f t="shared" si="2"/>
        <v>19.502500000000001</v>
      </c>
      <c r="L130" s="65">
        <v>15.538333333333334</v>
      </c>
      <c r="M130" s="65">
        <v>8.8049999999999997</v>
      </c>
      <c r="N130" s="65">
        <v>6.2616666666666667</v>
      </c>
      <c r="O130" s="65">
        <v>5.1066666666666665</v>
      </c>
      <c r="P130" s="65">
        <v>4.2</v>
      </c>
      <c r="Q130" s="40">
        <f t="shared" si="6"/>
        <v>3.7216666666666667</v>
      </c>
      <c r="R130" s="65">
        <v>2.7650000000000001</v>
      </c>
      <c r="S130" s="65">
        <v>2.395</v>
      </c>
      <c r="T130" s="67">
        <v>1.2841666666666667</v>
      </c>
    </row>
    <row r="131" spans="2:22" x14ac:dyDescent="0.25">
      <c r="B131" s="19" t="str">
        <f t="shared" si="3"/>
        <v>RITAR 18 Ah 1,85</v>
      </c>
      <c r="C131" s="5" t="s">
        <v>29</v>
      </c>
      <c r="D131" s="5" t="s">
        <v>23</v>
      </c>
      <c r="E131" s="20">
        <v>1.85</v>
      </c>
      <c r="F131" s="9">
        <v>94.1</v>
      </c>
      <c r="G131" s="9">
        <v>72.900000000000006</v>
      </c>
      <c r="H131" s="9">
        <v>59.5</v>
      </c>
      <c r="I131" s="16">
        <f t="shared" si="5"/>
        <v>52.466666666666669</v>
      </c>
      <c r="J131" s="9">
        <v>38.4</v>
      </c>
      <c r="K131" s="13">
        <f t="shared" ref="K131:K166" si="7">($L131-$J131)/(60-30)*(45-30)+J131</f>
        <v>31</v>
      </c>
      <c r="L131" s="9">
        <v>23.6</v>
      </c>
      <c r="M131" s="9">
        <v>14.2</v>
      </c>
      <c r="N131" s="9">
        <v>8.9600000000000009</v>
      </c>
      <c r="O131" s="9">
        <v>7.34</v>
      </c>
      <c r="P131" s="9">
        <v>7.02</v>
      </c>
      <c r="Q131" s="13">
        <f t="shared" si="6"/>
        <v>6.1499999999999995</v>
      </c>
      <c r="R131" s="9">
        <v>4.41</v>
      </c>
      <c r="S131" s="9">
        <v>3.29</v>
      </c>
      <c r="T131" s="9">
        <v>1.67</v>
      </c>
    </row>
    <row r="132" spans="2:22" x14ac:dyDescent="0.25">
      <c r="B132" s="19" t="str">
        <f t="shared" si="3"/>
        <v>RITAR 18 Ah 1,8</v>
      </c>
      <c r="C132" s="5" t="s">
        <v>29</v>
      </c>
      <c r="D132" s="5" t="s">
        <v>23</v>
      </c>
      <c r="E132" s="14">
        <v>1.8</v>
      </c>
      <c r="F132" s="9">
        <v>107</v>
      </c>
      <c r="G132" s="9">
        <v>78.3</v>
      </c>
      <c r="H132" s="9">
        <v>63.1</v>
      </c>
      <c r="I132" s="16">
        <f t="shared" si="5"/>
        <v>55.166666666666664</v>
      </c>
      <c r="J132" s="9">
        <v>39.299999999999997</v>
      </c>
      <c r="K132" s="13">
        <f t="shared" si="7"/>
        <v>31.65</v>
      </c>
      <c r="L132" s="9">
        <v>24</v>
      </c>
      <c r="M132" s="9">
        <v>14.4</v>
      </c>
      <c r="N132" s="9">
        <v>9.0399999999999991</v>
      </c>
      <c r="O132" s="9">
        <v>7.4</v>
      </c>
      <c r="P132" s="9">
        <v>7.04</v>
      </c>
      <c r="Q132" s="13">
        <f t="shared" si="6"/>
        <v>6.1633333333333331</v>
      </c>
      <c r="R132" s="9">
        <v>4.41</v>
      </c>
      <c r="S132" s="9">
        <v>3.35</v>
      </c>
      <c r="T132" s="22">
        <v>1.73</v>
      </c>
    </row>
    <row r="133" spans="2:22" x14ac:dyDescent="0.25">
      <c r="B133" s="19" t="str">
        <f t="shared" si="3"/>
        <v>RITAR 18 Ah 1,75</v>
      </c>
      <c r="C133" s="5" t="s">
        <v>29</v>
      </c>
      <c r="D133" s="5" t="s">
        <v>23</v>
      </c>
      <c r="E133" s="20">
        <v>1.75</v>
      </c>
      <c r="F133" s="9">
        <v>120</v>
      </c>
      <c r="G133" s="9">
        <v>83.7</v>
      </c>
      <c r="H133" s="9">
        <v>66.8</v>
      </c>
      <c r="I133" s="16">
        <f t="shared" si="5"/>
        <v>57.966666666666669</v>
      </c>
      <c r="J133" s="9">
        <v>40.299999999999997</v>
      </c>
      <c r="K133" s="13">
        <f t="shared" si="7"/>
        <v>32.35</v>
      </c>
      <c r="L133" s="9">
        <v>24.4</v>
      </c>
      <c r="M133" s="9">
        <v>14.6</v>
      </c>
      <c r="N133" s="9">
        <v>9.11</v>
      </c>
      <c r="O133" s="9">
        <v>7.45</v>
      </c>
      <c r="P133" s="9">
        <v>7.06</v>
      </c>
      <c r="Q133" s="13">
        <f t="shared" si="6"/>
        <v>6.1833333333333327</v>
      </c>
      <c r="R133" s="9">
        <v>4.43</v>
      </c>
      <c r="S133" s="9">
        <v>3.4</v>
      </c>
      <c r="T133" s="22">
        <v>1.78</v>
      </c>
    </row>
    <row r="134" spans="2:22" x14ac:dyDescent="0.25">
      <c r="B134" s="19" t="str">
        <f t="shared" si="3"/>
        <v>RITAR 18 Ah 1,7</v>
      </c>
      <c r="C134" s="5" t="s">
        <v>29</v>
      </c>
      <c r="D134" s="5" t="s">
        <v>23</v>
      </c>
      <c r="E134" s="14">
        <v>1.7</v>
      </c>
      <c r="F134" s="9">
        <v>132</v>
      </c>
      <c r="G134" s="9">
        <v>87.3</v>
      </c>
      <c r="H134" s="9">
        <v>70.5</v>
      </c>
      <c r="I134" s="16">
        <f t="shared" si="5"/>
        <v>60.766666666666666</v>
      </c>
      <c r="J134" s="9">
        <v>41.3</v>
      </c>
      <c r="K134" s="13">
        <f t="shared" si="7"/>
        <v>33.049999999999997</v>
      </c>
      <c r="L134" s="9">
        <v>24.8</v>
      </c>
      <c r="M134" s="9">
        <v>14.8</v>
      </c>
      <c r="N134" s="9">
        <v>9.16</v>
      </c>
      <c r="O134" s="9">
        <v>7.51</v>
      </c>
      <c r="P134" s="9">
        <v>7.07</v>
      </c>
      <c r="Q134" s="13">
        <f t="shared" si="6"/>
        <v>6.1966666666666672</v>
      </c>
      <c r="R134" s="9">
        <v>4.45</v>
      </c>
      <c r="S134" s="9">
        <v>3.44</v>
      </c>
      <c r="T134" s="22">
        <v>1.85</v>
      </c>
    </row>
    <row r="135" spans="2:22" x14ac:dyDescent="0.25">
      <c r="B135" s="19" t="str">
        <f t="shared" si="3"/>
        <v>RITAR 18 Ah 1,65</v>
      </c>
      <c r="C135" s="5" t="s">
        <v>29</v>
      </c>
      <c r="D135" s="5" t="s">
        <v>23</v>
      </c>
      <c r="E135" s="20">
        <v>1.65</v>
      </c>
      <c r="F135" s="9">
        <v>135</v>
      </c>
      <c r="G135" s="9">
        <v>90</v>
      </c>
      <c r="H135" s="9">
        <v>72.2</v>
      </c>
      <c r="I135" s="16">
        <f t="shared" si="5"/>
        <v>61.966666666666669</v>
      </c>
      <c r="J135" s="9">
        <v>41.5</v>
      </c>
      <c r="K135" s="13">
        <f t="shared" si="7"/>
        <v>33.200000000000003</v>
      </c>
      <c r="L135" s="9">
        <v>24.9</v>
      </c>
      <c r="M135" s="9">
        <v>14.9</v>
      </c>
      <c r="N135" s="9">
        <v>9.18</v>
      </c>
      <c r="O135" s="9">
        <v>7.51</v>
      </c>
      <c r="P135" s="9">
        <v>7.09</v>
      </c>
      <c r="Q135" s="13">
        <f t="shared" si="6"/>
        <v>6.22</v>
      </c>
      <c r="R135" s="9">
        <v>4.4800000000000004</v>
      </c>
      <c r="S135" s="9">
        <v>3.47</v>
      </c>
      <c r="T135" s="22">
        <v>1.89</v>
      </c>
    </row>
    <row r="136" spans="2:22" x14ac:dyDescent="0.25">
      <c r="B136" s="19" t="str">
        <f t="shared" si="3"/>
        <v>RITAR 18 Ah 1,6</v>
      </c>
      <c r="C136" s="5" t="s">
        <v>29</v>
      </c>
      <c r="D136" s="5" t="s">
        <v>23</v>
      </c>
      <c r="E136" s="14">
        <v>1.6</v>
      </c>
      <c r="F136" s="9">
        <v>144</v>
      </c>
      <c r="G136" s="9">
        <v>93.6</v>
      </c>
      <c r="H136" s="9">
        <v>76.099999999999994</v>
      </c>
      <c r="I136" s="16">
        <f t="shared" si="5"/>
        <v>64.8</v>
      </c>
      <c r="J136" s="9">
        <v>42.2</v>
      </c>
      <c r="K136" s="13">
        <f t="shared" si="7"/>
        <v>33.6</v>
      </c>
      <c r="L136" s="9">
        <v>25</v>
      </c>
      <c r="M136" s="9">
        <v>15</v>
      </c>
      <c r="N136" s="9">
        <v>9.1999999999999993</v>
      </c>
      <c r="O136" s="9">
        <v>7.52</v>
      </c>
      <c r="P136" s="9">
        <v>7.15</v>
      </c>
      <c r="Q136" s="13">
        <f t="shared" si="6"/>
        <v>6.2600000000000007</v>
      </c>
      <c r="R136" s="9">
        <v>4.4800000000000004</v>
      </c>
      <c r="S136" s="9">
        <v>3.51</v>
      </c>
      <c r="T136" s="22">
        <v>1.96</v>
      </c>
    </row>
    <row r="137" spans="2:22" x14ac:dyDescent="0.25">
      <c r="B137" s="19" t="str">
        <f t="shared" ref="B137:B200" si="8">CONCATENATE(C137&amp;" "&amp;D137&amp;" "&amp;E137)</f>
        <v>RITAR 26 Ah 1,85</v>
      </c>
      <c r="C137" s="37" t="s">
        <v>29</v>
      </c>
      <c r="D137" s="37" t="s">
        <v>24</v>
      </c>
      <c r="E137" s="62">
        <v>1.85</v>
      </c>
      <c r="F137" s="64">
        <v>126.7</v>
      </c>
      <c r="G137" s="64">
        <v>88.63</v>
      </c>
      <c r="H137" s="64">
        <v>68.599999999999994</v>
      </c>
      <c r="I137" s="58">
        <f t="shared" si="5"/>
        <v>59.813333333333333</v>
      </c>
      <c r="J137" s="64">
        <v>42.24</v>
      </c>
      <c r="K137" s="40">
        <f t="shared" si="7"/>
        <v>33.89</v>
      </c>
      <c r="L137" s="64">
        <v>25.54</v>
      </c>
      <c r="M137" s="64">
        <v>16.649999999999999</v>
      </c>
      <c r="N137" s="64">
        <v>12.31</v>
      </c>
      <c r="O137" s="64">
        <v>9.92</v>
      </c>
      <c r="P137" s="64">
        <v>8.4700000000000006</v>
      </c>
      <c r="Q137" s="40">
        <f t="shared" si="6"/>
        <v>7.5766666666666671</v>
      </c>
      <c r="R137" s="64">
        <v>5.79</v>
      </c>
      <c r="S137" s="64">
        <v>4.75</v>
      </c>
      <c r="T137" s="64">
        <v>2.5099999999999998</v>
      </c>
    </row>
    <row r="138" spans="2:22" x14ac:dyDescent="0.25">
      <c r="B138" s="19" t="str">
        <f t="shared" si="8"/>
        <v>RITAR 26 Ah 1,8</v>
      </c>
      <c r="C138" s="37" t="s">
        <v>29</v>
      </c>
      <c r="D138" s="37" t="s">
        <v>24</v>
      </c>
      <c r="E138" s="59">
        <v>1.8</v>
      </c>
      <c r="F138" s="64">
        <v>141.4</v>
      </c>
      <c r="G138" s="64">
        <v>96.66</v>
      </c>
      <c r="H138" s="64">
        <v>74.099999999999994</v>
      </c>
      <c r="I138" s="58">
        <f t="shared" si="5"/>
        <v>64.44</v>
      </c>
      <c r="J138" s="64">
        <v>45.12</v>
      </c>
      <c r="K138" s="40">
        <f t="shared" si="7"/>
        <v>36.07</v>
      </c>
      <c r="L138" s="64">
        <v>27.02</v>
      </c>
      <c r="M138" s="64">
        <v>17.399999999999999</v>
      </c>
      <c r="N138" s="64">
        <v>12.83</v>
      </c>
      <c r="O138" s="64">
        <v>10.31</v>
      </c>
      <c r="P138" s="64">
        <v>8.7799999999999994</v>
      </c>
      <c r="Q138" s="40">
        <f t="shared" si="6"/>
        <v>7.8433333333333328</v>
      </c>
      <c r="R138" s="64">
        <v>5.97</v>
      </c>
      <c r="S138" s="64">
        <v>4.9000000000000004</v>
      </c>
      <c r="T138" s="64">
        <v>2.58</v>
      </c>
      <c r="V138" s="24"/>
    </row>
    <row r="139" spans="2:22" x14ac:dyDescent="0.25">
      <c r="B139" s="19" t="str">
        <f t="shared" si="8"/>
        <v>RITAR 26 Ah 1,75</v>
      </c>
      <c r="C139" s="37" t="s">
        <v>29</v>
      </c>
      <c r="D139" s="37" t="s">
        <v>24</v>
      </c>
      <c r="E139" s="62">
        <v>1.75</v>
      </c>
      <c r="F139" s="64">
        <v>152.6</v>
      </c>
      <c r="G139" s="64">
        <v>102.5</v>
      </c>
      <c r="H139" s="64">
        <v>78.099999999999994</v>
      </c>
      <c r="I139" s="58">
        <f t="shared" si="5"/>
        <v>67.806666666666658</v>
      </c>
      <c r="J139" s="64">
        <v>47.22</v>
      </c>
      <c r="K139" s="40">
        <f t="shared" si="7"/>
        <v>37.700000000000003</v>
      </c>
      <c r="L139" s="64">
        <v>28.18</v>
      </c>
      <c r="M139" s="64">
        <v>17.96</v>
      </c>
      <c r="N139" s="64">
        <v>13.21</v>
      </c>
      <c r="O139" s="64">
        <v>10.6</v>
      </c>
      <c r="P139" s="64">
        <v>9.01</v>
      </c>
      <c r="Q139" s="40">
        <f t="shared" si="6"/>
        <v>8.043333333333333</v>
      </c>
      <c r="R139" s="64">
        <v>6.11</v>
      </c>
      <c r="S139" s="64">
        <v>5.01</v>
      </c>
      <c r="T139" s="64">
        <v>2.63</v>
      </c>
    </row>
    <row r="140" spans="2:22" x14ac:dyDescent="0.25">
      <c r="B140" s="19" t="str">
        <f t="shared" si="8"/>
        <v>RITAR 26 Ah 1,7</v>
      </c>
      <c r="C140" s="37" t="s">
        <v>29</v>
      </c>
      <c r="D140" s="37" t="s">
        <v>24</v>
      </c>
      <c r="E140" s="59">
        <v>1.7</v>
      </c>
      <c r="F140" s="64">
        <v>160.4</v>
      </c>
      <c r="G140" s="64">
        <v>106.5</v>
      </c>
      <c r="H140" s="64">
        <v>80.900000000000006</v>
      </c>
      <c r="I140" s="58">
        <f t="shared" si="5"/>
        <v>70.163333333333341</v>
      </c>
      <c r="J140" s="64">
        <v>48.69</v>
      </c>
      <c r="K140" s="40">
        <f t="shared" si="7"/>
        <v>38.854999999999997</v>
      </c>
      <c r="L140" s="64">
        <v>29.02</v>
      </c>
      <c r="M140" s="64">
        <v>18.37</v>
      </c>
      <c r="N140" s="64">
        <v>13.48</v>
      </c>
      <c r="O140" s="64">
        <v>10.8</v>
      </c>
      <c r="P140" s="64">
        <v>9.17</v>
      </c>
      <c r="Q140" s="40">
        <f t="shared" si="6"/>
        <v>8.1833333333333336</v>
      </c>
      <c r="R140" s="64">
        <v>6.21</v>
      </c>
      <c r="S140" s="64">
        <v>5.09</v>
      </c>
      <c r="T140" s="64">
        <v>2.66</v>
      </c>
    </row>
    <row r="141" spans="2:22" x14ac:dyDescent="0.25">
      <c r="B141" s="19" t="str">
        <f t="shared" si="8"/>
        <v>RITAR 26 Ah 1,65</v>
      </c>
      <c r="C141" s="37" t="s">
        <v>29</v>
      </c>
      <c r="D141" s="37" t="s">
        <v>24</v>
      </c>
      <c r="E141" s="62">
        <v>1.65</v>
      </c>
      <c r="F141" s="64">
        <v>166.8</v>
      </c>
      <c r="G141" s="64">
        <v>109.7</v>
      </c>
      <c r="H141" s="64">
        <v>83.1</v>
      </c>
      <c r="I141" s="58">
        <f t="shared" si="5"/>
        <v>72.033333333333331</v>
      </c>
      <c r="J141" s="64">
        <v>49.9</v>
      </c>
      <c r="K141" s="40">
        <f t="shared" si="7"/>
        <v>39.78</v>
      </c>
      <c r="L141" s="64">
        <v>29.66</v>
      </c>
      <c r="M141" s="64">
        <v>18.68</v>
      </c>
      <c r="N141" s="64">
        <v>13.69</v>
      </c>
      <c r="O141" s="64">
        <v>10.96</v>
      </c>
      <c r="P141" s="64">
        <v>9.2899999999999991</v>
      </c>
      <c r="Q141" s="40">
        <f t="shared" si="6"/>
        <v>8.2899999999999991</v>
      </c>
      <c r="R141" s="64">
        <v>6.29</v>
      </c>
      <c r="S141" s="64">
        <v>5.15</v>
      </c>
      <c r="T141" s="64">
        <v>2.69</v>
      </c>
    </row>
    <row r="142" spans="2:22" x14ac:dyDescent="0.25">
      <c r="B142" s="19" t="str">
        <f t="shared" si="8"/>
        <v>RITAR 26 Ah 1,6</v>
      </c>
      <c r="C142" s="37" t="s">
        <v>29</v>
      </c>
      <c r="D142" s="37" t="s">
        <v>24</v>
      </c>
      <c r="E142" s="59">
        <v>1.6</v>
      </c>
      <c r="F142" s="64">
        <v>168.6</v>
      </c>
      <c r="G142" s="64">
        <v>110.2</v>
      </c>
      <c r="H142" s="64">
        <v>83.6</v>
      </c>
      <c r="I142" s="58">
        <f t="shared" si="5"/>
        <v>72.489999999999995</v>
      </c>
      <c r="J142" s="64">
        <v>50.27</v>
      </c>
      <c r="K142" s="40">
        <f t="shared" si="7"/>
        <v>40.085000000000001</v>
      </c>
      <c r="L142" s="64">
        <v>29.9</v>
      </c>
      <c r="M142" s="64">
        <v>18.82</v>
      </c>
      <c r="N142" s="64">
        <v>13.79</v>
      </c>
      <c r="O142" s="64">
        <v>11.04</v>
      </c>
      <c r="P142" s="64">
        <v>9.36</v>
      </c>
      <c r="Q142" s="40">
        <f t="shared" si="6"/>
        <v>8.35</v>
      </c>
      <c r="R142" s="64">
        <v>6.33</v>
      </c>
      <c r="S142" s="64">
        <v>5.19</v>
      </c>
      <c r="T142" s="64">
        <v>2.71</v>
      </c>
    </row>
    <row r="143" spans="2:22" x14ac:dyDescent="0.25">
      <c r="B143" s="19" t="str">
        <f t="shared" si="8"/>
        <v>RITAR 33 Ah 1,85</v>
      </c>
      <c r="C143" s="5" t="s">
        <v>29</v>
      </c>
      <c r="D143" s="5" t="s">
        <v>25</v>
      </c>
      <c r="E143" s="20">
        <v>1.85</v>
      </c>
      <c r="F143" s="23">
        <v>145.30000000000001</v>
      </c>
      <c r="G143" s="23">
        <v>110.2</v>
      </c>
      <c r="H143" s="23">
        <v>87.2</v>
      </c>
      <c r="I143" s="16">
        <f t="shared" si="5"/>
        <v>76</v>
      </c>
      <c r="J143" s="23">
        <v>53.6</v>
      </c>
      <c r="K143" s="13">
        <f t="shared" si="7"/>
        <v>43.45</v>
      </c>
      <c r="L143" s="23">
        <v>33.299999999999997</v>
      </c>
      <c r="M143" s="23">
        <v>20.9</v>
      </c>
      <c r="N143" s="23">
        <v>15.6</v>
      </c>
      <c r="O143" s="23">
        <v>12.8</v>
      </c>
      <c r="P143" s="23">
        <v>11</v>
      </c>
      <c r="Q143" s="13">
        <f t="shared" si="6"/>
        <v>9.83</v>
      </c>
      <c r="R143" s="23">
        <v>7.49</v>
      </c>
      <c r="S143" s="23">
        <v>6.42</v>
      </c>
      <c r="T143" s="23">
        <v>3.35</v>
      </c>
    </row>
    <row r="144" spans="2:22" x14ac:dyDescent="0.25">
      <c r="B144" s="19" t="str">
        <f t="shared" si="8"/>
        <v>RITAR 33 Ah 1,8</v>
      </c>
      <c r="C144" s="5" t="s">
        <v>29</v>
      </c>
      <c r="D144" s="5" t="s">
        <v>25</v>
      </c>
      <c r="E144" s="14">
        <v>1.8</v>
      </c>
      <c r="F144" s="23">
        <v>162.19999999999999</v>
      </c>
      <c r="G144" s="23">
        <v>120.2</v>
      </c>
      <c r="H144" s="23">
        <v>94.1</v>
      </c>
      <c r="I144" s="16">
        <f t="shared" si="5"/>
        <v>81.833333333333329</v>
      </c>
      <c r="J144" s="23">
        <v>57.3</v>
      </c>
      <c r="K144" s="13">
        <f t="shared" si="7"/>
        <v>46.25</v>
      </c>
      <c r="L144" s="23">
        <v>35.200000000000003</v>
      </c>
      <c r="M144" s="23">
        <v>21.9</v>
      </c>
      <c r="N144" s="23">
        <v>16.3</v>
      </c>
      <c r="O144" s="23">
        <v>13.3</v>
      </c>
      <c r="P144" s="23">
        <v>11.4</v>
      </c>
      <c r="Q144" s="13">
        <f t="shared" si="6"/>
        <v>10.176666666666668</v>
      </c>
      <c r="R144" s="23">
        <v>7.73</v>
      </c>
      <c r="S144" s="23">
        <v>6.62</v>
      </c>
      <c r="T144" s="23">
        <v>3.44</v>
      </c>
    </row>
    <row r="145" spans="2:22" x14ac:dyDescent="0.25">
      <c r="B145" s="19" t="str">
        <f t="shared" si="8"/>
        <v>RITAR 33 Ah 1,75</v>
      </c>
      <c r="C145" s="5" t="s">
        <v>29</v>
      </c>
      <c r="D145" s="5" t="s">
        <v>25</v>
      </c>
      <c r="E145" s="20">
        <v>1.75</v>
      </c>
      <c r="F145" s="23">
        <v>175</v>
      </c>
      <c r="G145" s="23">
        <v>127.5</v>
      </c>
      <c r="H145" s="23">
        <v>99.2</v>
      </c>
      <c r="I145" s="16">
        <f t="shared" si="5"/>
        <v>86.13333333333334</v>
      </c>
      <c r="J145" s="23">
        <v>60</v>
      </c>
      <c r="K145" s="13">
        <f t="shared" si="7"/>
        <v>48.35</v>
      </c>
      <c r="L145" s="23">
        <v>36.700000000000003</v>
      </c>
      <c r="M145" s="23">
        <v>22.6</v>
      </c>
      <c r="N145" s="23">
        <v>16.8</v>
      </c>
      <c r="O145" s="23">
        <v>13.7</v>
      </c>
      <c r="P145" s="23">
        <v>11.7</v>
      </c>
      <c r="Q145" s="13">
        <f t="shared" si="6"/>
        <v>10.436666666666666</v>
      </c>
      <c r="R145" s="23">
        <v>7.91</v>
      </c>
      <c r="S145" s="23">
        <v>6.77</v>
      </c>
      <c r="T145" s="23">
        <v>3.5</v>
      </c>
      <c r="V145" s="25"/>
    </row>
    <row r="146" spans="2:22" x14ac:dyDescent="0.25">
      <c r="B146" s="19" t="str">
        <f t="shared" si="8"/>
        <v>RITAR 33 Ah 1,7</v>
      </c>
      <c r="C146" s="5" t="s">
        <v>29</v>
      </c>
      <c r="D146" s="5" t="s">
        <v>25</v>
      </c>
      <c r="E146" s="14">
        <v>1.7</v>
      </c>
      <c r="F146" s="23">
        <v>184</v>
      </c>
      <c r="G146" s="23">
        <v>132.5</v>
      </c>
      <c r="H146" s="23">
        <v>102.7</v>
      </c>
      <c r="I146" s="16">
        <f t="shared" si="5"/>
        <v>89.066666666666663</v>
      </c>
      <c r="J146" s="23">
        <v>61.8</v>
      </c>
      <c r="K146" s="13">
        <f t="shared" si="7"/>
        <v>49.8</v>
      </c>
      <c r="L146" s="23">
        <v>37.799999999999997</v>
      </c>
      <c r="M146" s="23">
        <v>23.1</v>
      </c>
      <c r="N146" s="23">
        <v>17.100000000000001</v>
      </c>
      <c r="O146" s="23">
        <v>14</v>
      </c>
      <c r="P146" s="23">
        <v>11.9</v>
      </c>
      <c r="Q146" s="13">
        <f t="shared" si="6"/>
        <v>10.613333333333333</v>
      </c>
      <c r="R146" s="23">
        <v>8.0399999999999991</v>
      </c>
      <c r="S146" s="23">
        <v>6.88</v>
      </c>
      <c r="T146" s="23">
        <v>3.55</v>
      </c>
    </row>
    <row r="147" spans="2:22" x14ac:dyDescent="0.25">
      <c r="B147" s="19" t="str">
        <f t="shared" si="8"/>
        <v>RITAR 33 Ah 1,65</v>
      </c>
      <c r="C147" s="5" t="s">
        <v>29</v>
      </c>
      <c r="D147" s="5" t="s">
        <v>25</v>
      </c>
      <c r="E147" s="20">
        <v>1.65</v>
      </c>
      <c r="F147" s="23">
        <v>191.3</v>
      </c>
      <c r="G147" s="23">
        <v>136.5</v>
      </c>
      <c r="H147" s="23">
        <v>105.6</v>
      </c>
      <c r="I147" s="16">
        <f t="shared" si="5"/>
        <v>91.533333333333331</v>
      </c>
      <c r="J147" s="23">
        <v>63.4</v>
      </c>
      <c r="K147" s="13">
        <f t="shared" si="7"/>
        <v>51</v>
      </c>
      <c r="L147" s="23">
        <v>38.6</v>
      </c>
      <c r="M147" s="23">
        <v>23.5</v>
      </c>
      <c r="N147" s="23">
        <v>17.399999999999999</v>
      </c>
      <c r="O147" s="23">
        <v>14.2</v>
      </c>
      <c r="P147" s="23">
        <v>12</v>
      </c>
      <c r="Q147" s="13">
        <f t="shared" si="6"/>
        <v>10.713333333333333</v>
      </c>
      <c r="R147" s="23">
        <v>8.14</v>
      </c>
      <c r="S147" s="23">
        <v>6.97</v>
      </c>
      <c r="T147" s="23">
        <v>3.58</v>
      </c>
    </row>
    <row r="148" spans="2:22" x14ac:dyDescent="0.25">
      <c r="B148" s="19" t="str">
        <f t="shared" si="8"/>
        <v>RITAR 33 Ah 1,6</v>
      </c>
      <c r="C148" s="5" t="s">
        <v>29</v>
      </c>
      <c r="D148" s="5" t="s">
        <v>25</v>
      </c>
      <c r="E148" s="14">
        <v>1.6</v>
      </c>
      <c r="F148" s="23">
        <v>193.3</v>
      </c>
      <c r="G148" s="23">
        <v>137.1</v>
      </c>
      <c r="H148" s="23">
        <v>106.2</v>
      </c>
      <c r="I148" s="16">
        <f t="shared" si="5"/>
        <v>92.066666666666663</v>
      </c>
      <c r="J148" s="23">
        <v>63.8</v>
      </c>
      <c r="K148" s="13">
        <f t="shared" si="7"/>
        <v>51.4</v>
      </c>
      <c r="L148" s="23">
        <v>39</v>
      </c>
      <c r="M148" s="23">
        <v>23.7</v>
      </c>
      <c r="N148" s="23">
        <v>17.5</v>
      </c>
      <c r="O148" s="23">
        <v>14.3</v>
      </c>
      <c r="P148" s="23">
        <v>12.1</v>
      </c>
      <c r="Q148" s="13">
        <f t="shared" si="6"/>
        <v>10.799999999999999</v>
      </c>
      <c r="R148" s="23">
        <v>8.1999999999999993</v>
      </c>
      <c r="S148" s="23">
        <v>7.02</v>
      </c>
      <c r="T148" s="23">
        <v>3.61</v>
      </c>
    </row>
    <row r="149" spans="2:22" x14ac:dyDescent="0.25">
      <c r="B149" s="19" t="str">
        <f t="shared" si="8"/>
        <v>RITAR 45 Ah 1,85</v>
      </c>
      <c r="C149" s="37" t="s">
        <v>29</v>
      </c>
      <c r="D149" s="37" t="s">
        <v>26</v>
      </c>
      <c r="E149" s="62">
        <v>1.85</v>
      </c>
      <c r="F149" s="68">
        <v>204.2</v>
      </c>
      <c r="G149" s="68">
        <v>153.4</v>
      </c>
      <c r="H149" s="68">
        <v>120.1</v>
      </c>
      <c r="I149" s="58">
        <f t="shared" si="5"/>
        <v>104.69333333333333</v>
      </c>
      <c r="J149" s="68">
        <v>73.88</v>
      </c>
      <c r="K149" s="40">
        <f t="shared" si="7"/>
        <v>59.625</v>
      </c>
      <c r="L149" s="68">
        <v>45.37</v>
      </c>
      <c r="M149" s="68">
        <v>28.53</v>
      </c>
      <c r="N149" s="68">
        <v>21.31</v>
      </c>
      <c r="O149" s="68">
        <v>17.510000000000002</v>
      </c>
      <c r="P149" s="68">
        <v>14.96</v>
      </c>
      <c r="Q149" s="40">
        <f t="shared" si="6"/>
        <v>13.376666666666667</v>
      </c>
      <c r="R149" s="68">
        <v>10.210000000000001</v>
      </c>
      <c r="S149" s="68">
        <v>8.76</v>
      </c>
      <c r="T149" s="68">
        <v>4.57</v>
      </c>
    </row>
    <row r="150" spans="2:22" x14ac:dyDescent="0.25">
      <c r="B150" s="19" t="str">
        <f t="shared" si="8"/>
        <v>RITAR 45 Ah 1,8</v>
      </c>
      <c r="C150" s="37" t="s">
        <v>29</v>
      </c>
      <c r="D150" s="37" t="s">
        <v>26</v>
      </c>
      <c r="E150" s="59">
        <v>1.8</v>
      </c>
      <c r="F150" s="68">
        <v>228</v>
      </c>
      <c r="G150" s="68">
        <v>167.3</v>
      </c>
      <c r="H150" s="68">
        <v>129.69999999999999</v>
      </c>
      <c r="I150" s="58">
        <f t="shared" si="5"/>
        <v>112.76999999999998</v>
      </c>
      <c r="J150" s="68">
        <v>78.91</v>
      </c>
      <c r="K150" s="40">
        <f t="shared" si="7"/>
        <v>63.454999999999998</v>
      </c>
      <c r="L150" s="68">
        <v>48</v>
      </c>
      <c r="M150" s="68">
        <v>29.82</v>
      </c>
      <c r="N150" s="68">
        <v>22.2</v>
      </c>
      <c r="O150" s="68">
        <v>18.2</v>
      </c>
      <c r="P150" s="68">
        <v>15.51</v>
      </c>
      <c r="Q150" s="40">
        <f t="shared" si="6"/>
        <v>13.853333333333333</v>
      </c>
      <c r="R150" s="68">
        <v>10.54</v>
      </c>
      <c r="S150" s="68">
        <v>9.0299999999999994</v>
      </c>
      <c r="T150" s="68">
        <v>4.6900000000000004</v>
      </c>
    </row>
    <row r="151" spans="2:22" x14ac:dyDescent="0.25">
      <c r="B151" s="19" t="str">
        <f t="shared" si="8"/>
        <v>RITAR 45 Ah 1,75</v>
      </c>
      <c r="C151" s="37" t="s">
        <v>29</v>
      </c>
      <c r="D151" s="37" t="s">
        <v>26</v>
      </c>
      <c r="E151" s="62">
        <v>1.75</v>
      </c>
      <c r="F151" s="68">
        <v>246</v>
      </c>
      <c r="G151" s="68">
        <v>177.4</v>
      </c>
      <c r="H151" s="68">
        <v>136.69999999999999</v>
      </c>
      <c r="I151" s="58">
        <f t="shared" si="5"/>
        <v>118.66333333333333</v>
      </c>
      <c r="J151" s="68">
        <v>82.59</v>
      </c>
      <c r="K151" s="40">
        <f t="shared" si="7"/>
        <v>66.319999999999993</v>
      </c>
      <c r="L151" s="68">
        <v>50.05</v>
      </c>
      <c r="M151" s="68">
        <v>30.78</v>
      </c>
      <c r="N151" s="68">
        <v>22.86</v>
      </c>
      <c r="O151" s="68">
        <v>18.7</v>
      </c>
      <c r="P151" s="68">
        <v>15.9</v>
      </c>
      <c r="Q151" s="40">
        <f t="shared" si="6"/>
        <v>14.196666666666667</v>
      </c>
      <c r="R151" s="68">
        <v>10.79</v>
      </c>
      <c r="S151" s="68">
        <v>9.23</v>
      </c>
      <c r="T151" s="68">
        <v>4.7699999999999996</v>
      </c>
    </row>
    <row r="152" spans="2:22" x14ac:dyDescent="0.25">
      <c r="B152" s="19" t="str">
        <f t="shared" si="8"/>
        <v>RITAR 45 Ah 1,7</v>
      </c>
      <c r="C152" s="37" t="s">
        <v>29</v>
      </c>
      <c r="D152" s="37" t="s">
        <v>26</v>
      </c>
      <c r="E152" s="59">
        <v>1.7</v>
      </c>
      <c r="F152" s="68">
        <v>258.7</v>
      </c>
      <c r="G152" s="68">
        <v>184.3</v>
      </c>
      <c r="H152" s="68">
        <v>141.5</v>
      </c>
      <c r="I152" s="58">
        <f t="shared" si="5"/>
        <v>122.72</v>
      </c>
      <c r="J152" s="68">
        <v>85.16</v>
      </c>
      <c r="K152" s="40">
        <f t="shared" si="7"/>
        <v>68.349999999999994</v>
      </c>
      <c r="L152" s="68">
        <v>51.54</v>
      </c>
      <c r="M152" s="68">
        <v>31.48</v>
      </c>
      <c r="N152" s="68">
        <v>23.33</v>
      </c>
      <c r="O152" s="68">
        <v>19.059999999999999</v>
      </c>
      <c r="P152" s="68">
        <v>16.190000000000001</v>
      </c>
      <c r="Q152" s="40">
        <f t="shared" si="6"/>
        <v>14.450000000000001</v>
      </c>
      <c r="R152" s="68">
        <v>10.97</v>
      </c>
      <c r="S152" s="68">
        <v>9.3800000000000008</v>
      </c>
      <c r="T152" s="68">
        <v>4.84</v>
      </c>
    </row>
    <row r="153" spans="2:22" x14ac:dyDescent="0.25">
      <c r="B153" s="19" t="str">
        <f t="shared" si="8"/>
        <v>RITAR 45 Ah 1,65</v>
      </c>
      <c r="C153" s="37" t="s">
        <v>29</v>
      </c>
      <c r="D153" s="37" t="s">
        <v>26</v>
      </c>
      <c r="E153" s="62">
        <v>1.65</v>
      </c>
      <c r="F153" s="68">
        <v>268.89999999999998</v>
      </c>
      <c r="G153" s="68">
        <v>189.9</v>
      </c>
      <c r="H153" s="68">
        <v>145.4</v>
      </c>
      <c r="I153" s="58">
        <f t="shared" si="5"/>
        <v>126.02333333333334</v>
      </c>
      <c r="J153" s="68">
        <v>87.27</v>
      </c>
      <c r="K153" s="40">
        <f t="shared" si="7"/>
        <v>69.974999999999994</v>
      </c>
      <c r="L153" s="68">
        <v>52.68</v>
      </c>
      <c r="M153" s="68">
        <v>32.01</v>
      </c>
      <c r="N153" s="68">
        <v>23.69</v>
      </c>
      <c r="O153" s="68">
        <v>19.350000000000001</v>
      </c>
      <c r="P153" s="68">
        <v>16.41</v>
      </c>
      <c r="Q153" s="40">
        <f t="shared" si="6"/>
        <v>14.64</v>
      </c>
      <c r="R153" s="68">
        <v>11.1</v>
      </c>
      <c r="S153" s="68">
        <v>9.5</v>
      </c>
      <c r="T153" s="68">
        <v>4.8899999999999997</v>
      </c>
    </row>
    <row r="154" spans="2:22" x14ac:dyDescent="0.25">
      <c r="B154" s="19" t="str">
        <f t="shared" si="8"/>
        <v>RITAR 45 Ah 1,6</v>
      </c>
      <c r="C154" s="37" t="s">
        <v>29</v>
      </c>
      <c r="D154" s="37" t="s">
        <v>26</v>
      </c>
      <c r="E154" s="59">
        <v>1.6</v>
      </c>
      <c r="F154" s="68">
        <v>271.8</v>
      </c>
      <c r="G154" s="68">
        <v>190.7</v>
      </c>
      <c r="H154" s="68">
        <v>146.19999999999999</v>
      </c>
      <c r="I154" s="58">
        <f t="shared" si="5"/>
        <v>126.77333333333333</v>
      </c>
      <c r="J154" s="68">
        <v>87.92</v>
      </c>
      <c r="K154" s="40">
        <f t="shared" si="7"/>
        <v>70.515000000000001</v>
      </c>
      <c r="L154" s="68">
        <v>53.11</v>
      </c>
      <c r="M154" s="68">
        <v>32.25</v>
      </c>
      <c r="N154" s="68">
        <v>23.87</v>
      </c>
      <c r="O154" s="68">
        <v>19.489999999999998</v>
      </c>
      <c r="P154" s="68">
        <v>16.52</v>
      </c>
      <c r="Q154" s="40">
        <f t="shared" si="6"/>
        <v>14.74</v>
      </c>
      <c r="R154" s="68">
        <v>11.18</v>
      </c>
      <c r="S154" s="68">
        <v>9.57</v>
      </c>
      <c r="T154" s="68">
        <v>4.92</v>
      </c>
    </row>
    <row r="155" spans="2:22" x14ac:dyDescent="0.25">
      <c r="B155" s="19" t="str">
        <f t="shared" si="8"/>
        <v>RITAR 55 Ah 1,85</v>
      </c>
      <c r="C155" s="5" t="s">
        <v>29</v>
      </c>
      <c r="D155" s="5" t="s">
        <v>27</v>
      </c>
      <c r="E155" s="20">
        <v>1.85</v>
      </c>
      <c r="F155" s="26">
        <v>249.6</v>
      </c>
      <c r="G155" s="26">
        <v>187.5</v>
      </c>
      <c r="H155" s="26">
        <v>146.69999999999999</v>
      </c>
      <c r="I155" s="16">
        <f t="shared" si="5"/>
        <v>127.89999999999999</v>
      </c>
      <c r="J155" s="26">
        <v>90.3</v>
      </c>
      <c r="K155" s="13">
        <f t="shared" si="7"/>
        <v>72.88</v>
      </c>
      <c r="L155" s="26">
        <v>55.46</v>
      </c>
      <c r="M155" s="26">
        <v>34.869999999999997</v>
      </c>
      <c r="N155" s="26">
        <v>26.05</v>
      </c>
      <c r="O155" s="26">
        <v>21.41</v>
      </c>
      <c r="P155" s="26">
        <v>18.29</v>
      </c>
      <c r="Q155" s="13">
        <f t="shared" si="6"/>
        <v>16.353333333333332</v>
      </c>
      <c r="R155" s="26">
        <v>12.48</v>
      </c>
      <c r="S155" s="26">
        <v>10.71</v>
      </c>
      <c r="T155" s="26">
        <v>5.58</v>
      </c>
    </row>
    <row r="156" spans="2:22" x14ac:dyDescent="0.25">
      <c r="B156" s="19" t="str">
        <f t="shared" si="8"/>
        <v>RITAR 55 Ah 1,8</v>
      </c>
      <c r="C156" s="5" t="s">
        <v>29</v>
      </c>
      <c r="D156" s="5" t="s">
        <v>27</v>
      </c>
      <c r="E156" s="14">
        <v>1.8</v>
      </c>
      <c r="F156" s="26">
        <v>278.7</v>
      </c>
      <c r="G156" s="26">
        <v>204.5</v>
      </c>
      <c r="H156" s="26">
        <v>158.5</v>
      </c>
      <c r="I156" s="16">
        <f t="shared" si="5"/>
        <v>137.81666666666666</v>
      </c>
      <c r="J156" s="26">
        <v>96.45</v>
      </c>
      <c r="K156" s="13">
        <f t="shared" si="7"/>
        <v>77.56</v>
      </c>
      <c r="L156" s="26">
        <v>58.67</v>
      </c>
      <c r="M156" s="26">
        <v>36.450000000000003</v>
      </c>
      <c r="N156" s="26">
        <v>27.13</v>
      </c>
      <c r="O156" s="26">
        <v>22.24</v>
      </c>
      <c r="P156" s="26">
        <v>18.95</v>
      </c>
      <c r="Q156" s="13">
        <f t="shared" si="6"/>
        <v>16.93</v>
      </c>
      <c r="R156" s="26">
        <v>12.89</v>
      </c>
      <c r="S156" s="26">
        <v>11.04</v>
      </c>
      <c r="T156" s="26">
        <v>5.73</v>
      </c>
    </row>
    <row r="157" spans="2:22" x14ac:dyDescent="0.25">
      <c r="B157" s="19" t="str">
        <f t="shared" si="8"/>
        <v>RITAR 55 Ah 1,75</v>
      </c>
      <c r="C157" s="5" t="s">
        <v>29</v>
      </c>
      <c r="D157" s="5" t="s">
        <v>27</v>
      </c>
      <c r="E157" s="20">
        <v>1.75</v>
      </c>
      <c r="F157" s="26">
        <v>300.60000000000002</v>
      </c>
      <c r="G157" s="26">
        <v>216.9</v>
      </c>
      <c r="H157" s="26">
        <v>167</v>
      </c>
      <c r="I157" s="16">
        <f t="shared" si="5"/>
        <v>144.96666666666667</v>
      </c>
      <c r="J157" s="26">
        <v>100.9</v>
      </c>
      <c r="K157" s="13">
        <f t="shared" si="7"/>
        <v>81.040000000000006</v>
      </c>
      <c r="L157" s="26">
        <v>61.18</v>
      </c>
      <c r="M157" s="26">
        <v>37.619999999999997</v>
      </c>
      <c r="N157" s="26">
        <v>27.94</v>
      </c>
      <c r="O157" s="26">
        <v>22.86</v>
      </c>
      <c r="P157" s="26">
        <v>19.440000000000001</v>
      </c>
      <c r="Q157" s="13">
        <f t="shared" si="6"/>
        <v>17.353333333333335</v>
      </c>
      <c r="R157" s="26">
        <v>13.18</v>
      </c>
      <c r="S157" s="26">
        <v>11.29</v>
      </c>
      <c r="T157" s="26">
        <v>5.83</v>
      </c>
    </row>
    <row r="158" spans="2:22" x14ac:dyDescent="0.25">
      <c r="B158" s="19" t="str">
        <f t="shared" si="8"/>
        <v>RITAR 55 Ah 1,7</v>
      </c>
      <c r="C158" s="5" t="s">
        <v>29</v>
      </c>
      <c r="D158" s="5" t="s">
        <v>27</v>
      </c>
      <c r="E158" s="14">
        <v>1.7</v>
      </c>
      <c r="F158" s="26">
        <v>316.10000000000002</v>
      </c>
      <c r="G158" s="26">
        <v>225.3</v>
      </c>
      <c r="H158" s="26">
        <v>172.9</v>
      </c>
      <c r="I158" s="16">
        <f t="shared" si="5"/>
        <v>149.96666666666667</v>
      </c>
      <c r="J158" s="26">
        <v>104.1</v>
      </c>
      <c r="K158" s="13">
        <f t="shared" si="7"/>
        <v>83.55</v>
      </c>
      <c r="L158" s="26">
        <v>63</v>
      </c>
      <c r="M158" s="26">
        <v>38.47</v>
      </c>
      <c r="N158" s="26">
        <v>28.51</v>
      </c>
      <c r="O158" s="26">
        <v>23.3</v>
      </c>
      <c r="P158" s="26">
        <v>19.78</v>
      </c>
      <c r="Q158" s="13">
        <f t="shared" si="6"/>
        <v>17.653333333333336</v>
      </c>
      <c r="R158" s="26">
        <v>13.4</v>
      </c>
      <c r="S158" s="26">
        <v>11.47</v>
      </c>
      <c r="T158" s="26">
        <v>5.91</v>
      </c>
    </row>
    <row r="159" spans="2:22" x14ac:dyDescent="0.25">
      <c r="B159" s="19" t="str">
        <f t="shared" si="8"/>
        <v>RITAR 55 Ah 1,65</v>
      </c>
      <c r="C159" s="5" t="s">
        <v>29</v>
      </c>
      <c r="D159" s="5" t="s">
        <v>27</v>
      </c>
      <c r="E159" s="20">
        <v>1.65</v>
      </c>
      <c r="F159" s="26">
        <v>328.7</v>
      </c>
      <c r="G159" s="26">
        <v>232.1</v>
      </c>
      <c r="H159" s="26">
        <v>177.7</v>
      </c>
      <c r="I159" s="16">
        <f t="shared" si="5"/>
        <v>154.03333333333333</v>
      </c>
      <c r="J159" s="26">
        <v>106.7</v>
      </c>
      <c r="K159" s="13">
        <f t="shared" si="7"/>
        <v>85.545000000000002</v>
      </c>
      <c r="L159" s="26">
        <v>64.39</v>
      </c>
      <c r="M159" s="26">
        <v>39.130000000000003</v>
      </c>
      <c r="N159" s="26">
        <v>28.96</v>
      </c>
      <c r="O159" s="26">
        <v>23.64</v>
      </c>
      <c r="P159" s="26">
        <v>20.059999999999999</v>
      </c>
      <c r="Q159" s="13">
        <f t="shared" si="6"/>
        <v>17.896666666666665</v>
      </c>
      <c r="R159" s="26">
        <v>13.57</v>
      </c>
      <c r="S159" s="26">
        <v>11.61</v>
      </c>
      <c r="T159" s="26">
        <v>5.97</v>
      </c>
    </row>
    <row r="160" spans="2:22" x14ac:dyDescent="0.25">
      <c r="B160" s="19" t="str">
        <f t="shared" si="8"/>
        <v>RITAR 55 Ah 1,6</v>
      </c>
      <c r="C160" s="5" t="s">
        <v>29</v>
      </c>
      <c r="D160" s="5" t="s">
        <v>27</v>
      </c>
      <c r="E160" s="14">
        <v>1.6</v>
      </c>
      <c r="F160" s="26">
        <v>332.2</v>
      </c>
      <c r="G160" s="26">
        <v>233.1</v>
      </c>
      <c r="H160" s="26">
        <v>178.7</v>
      </c>
      <c r="I160" s="16">
        <f t="shared" si="5"/>
        <v>154.96666666666667</v>
      </c>
      <c r="J160" s="26">
        <v>107.5</v>
      </c>
      <c r="K160" s="13">
        <f t="shared" si="7"/>
        <v>86.210000000000008</v>
      </c>
      <c r="L160" s="26">
        <v>64.92</v>
      </c>
      <c r="M160" s="26">
        <v>39.42</v>
      </c>
      <c r="N160" s="26">
        <v>29.17</v>
      </c>
      <c r="O160" s="26">
        <v>23.82</v>
      </c>
      <c r="P160" s="26">
        <v>20.190000000000001</v>
      </c>
      <c r="Q160" s="13">
        <f t="shared" si="6"/>
        <v>18.016666666666666</v>
      </c>
      <c r="R160" s="26">
        <v>13.67</v>
      </c>
      <c r="S160" s="26">
        <v>11.7</v>
      </c>
      <c r="T160" s="26">
        <v>6.01</v>
      </c>
    </row>
    <row r="161" spans="2:20" x14ac:dyDescent="0.25">
      <c r="B161" s="11" t="str">
        <f t="shared" si="8"/>
        <v>CSB 7 Ah 1,85</v>
      </c>
      <c r="C161" s="37" t="s">
        <v>30</v>
      </c>
      <c r="D161" s="37" t="s">
        <v>20</v>
      </c>
      <c r="E161" s="38">
        <v>1.85</v>
      </c>
      <c r="F161" s="69">
        <v>46</v>
      </c>
      <c r="G161" s="69">
        <v>33.666666666666664</v>
      </c>
      <c r="H161" s="69">
        <v>26.333333333333332</v>
      </c>
      <c r="I161" s="58">
        <f t="shared" si="5"/>
        <v>23.055555555555554</v>
      </c>
      <c r="J161" s="69">
        <v>16.5</v>
      </c>
      <c r="K161" s="40">
        <f t="shared" si="7"/>
        <v>13.316666666666666</v>
      </c>
      <c r="L161" s="69">
        <v>10.133333333333333</v>
      </c>
      <c r="M161" s="69">
        <v>5.8999999999999995</v>
      </c>
      <c r="N161" s="69">
        <v>4.2</v>
      </c>
      <c r="O161" s="40">
        <f t="shared" ref="O161:O166" si="9">($P161-$N161)/(300-180)*(240-180)+N161</f>
        <v>3.4583333333333335</v>
      </c>
      <c r="P161" s="69">
        <v>2.7166666666666668</v>
      </c>
      <c r="Q161" s="40">
        <f t="shared" si="6"/>
        <v>2.4333333333333336</v>
      </c>
      <c r="R161" s="69">
        <v>1.8666666666666665</v>
      </c>
      <c r="S161" s="69">
        <v>1.5483333333333331</v>
      </c>
      <c r="T161" s="69">
        <v>0.83166666666666667</v>
      </c>
    </row>
    <row r="162" spans="2:20" x14ac:dyDescent="0.25">
      <c r="B162" s="11" t="str">
        <f t="shared" si="8"/>
        <v>CSB 7 Ah 1,8</v>
      </c>
      <c r="C162" s="37" t="s">
        <v>30</v>
      </c>
      <c r="D162" s="37" t="s">
        <v>20</v>
      </c>
      <c r="E162" s="40">
        <v>1.8</v>
      </c>
      <c r="F162" s="69">
        <v>49.166666666666664</v>
      </c>
      <c r="G162" s="69">
        <v>35.5</v>
      </c>
      <c r="H162" s="69">
        <v>27.5</v>
      </c>
      <c r="I162" s="58">
        <f t="shared" si="5"/>
        <v>23.944444444444443</v>
      </c>
      <c r="J162" s="69">
        <v>16.833333333333332</v>
      </c>
      <c r="K162" s="40">
        <f t="shared" si="7"/>
        <v>13.558333333333334</v>
      </c>
      <c r="L162" s="69">
        <v>10.283333333333333</v>
      </c>
      <c r="M162" s="69">
        <v>5.9833333333333334</v>
      </c>
      <c r="N162" s="69">
        <v>4.2666666666666666</v>
      </c>
      <c r="O162" s="40">
        <f t="shared" si="9"/>
        <v>3.5083333333333333</v>
      </c>
      <c r="P162" s="69">
        <v>2.75</v>
      </c>
      <c r="Q162" s="40">
        <f t="shared" si="6"/>
        <v>2.4611111111111112</v>
      </c>
      <c r="R162" s="69">
        <v>1.8833333333333335</v>
      </c>
      <c r="S162" s="69">
        <v>1.5666666666666667</v>
      </c>
      <c r="T162" s="69">
        <v>0.84500000000000008</v>
      </c>
    </row>
    <row r="163" spans="2:20" x14ac:dyDescent="0.25">
      <c r="B163" s="11" t="str">
        <f t="shared" si="8"/>
        <v>CSB 7 Ah 1,75</v>
      </c>
      <c r="C163" s="37" t="s">
        <v>30</v>
      </c>
      <c r="D163" s="37" t="s">
        <v>20</v>
      </c>
      <c r="E163" s="38">
        <v>1.75</v>
      </c>
      <c r="F163" s="69">
        <v>49.166666666666664</v>
      </c>
      <c r="G163" s="69">
        <v>35.5</v>
      </c>
      <c r="H163" s="69">
        <v>27.5</v>
      </c>
      <c r="I163" s="58">
        <f t="shared" si="5"/>
        <v>23.944444444444443</v>
      </c>
      <c r="J163" s="69">
        <v>16.833333333333332</v>
      </c>
      <c r="K163" s="40">
        <f t="shared" si="7"/>
        <v>13.558333333333334</v>
      </c>
      <c r="L163" s="69">
        <v>10.283333333333333</v>
      </c>
      <c r="M163" s="69">
        <v>5.9833333333333334</v>
      </c>
      <c r="N163" s="69">
        <v>4.2666666666666666</v>
      </c>
      <c r="O163" s="40">
        <f t="shared" si="9"/>
        <v>3.5083333333333333</v>
      </c>
      <c r="P163" s="69">
        <v>2.75</v>
      </c>
      <c r="Q163" s="40">
        <f t="shared" si="6"/>
        <v>2.4611111111111112</v>
      </c>
      <c r="R163" s="69">
        <v>1.8833333333333335</v>
      </c>
      <c r="S163" s="69">
        <v>1.5666666666666667</v>
      </c>
      <c r="T163" s="69">
        <v>0.84500000000000008</v>
      </c>
    </row>
    <row r="164" spans="2:20" x14ac:dyDescent="0.25">
      <c r="B164" s="11" t="str">
        <f t="shared" si="8"/>
        <v>CSB 7 Ah 1,7</v>
      </c>
      <c r="C164" s="37" t="s">
        <v>30</v>
      </c>
      <c r="D164" s="37" t="s">
        <v>20</v>
      </c>
      <c r="E164" s="40">
        <v>1.7</v>
      </c>
      <c r="F164" s="69">
        <v>55.166666666666664</v>
      </c>
      <c r="G164" s="69">
        <v>38.5</v>
      </c>
      <c r="H164" s="69">
        <v>29</v>
      </c>
      <c r="I164" s="58">
        <f t="shared" si="5"/>
        <v>25.166666666666668</v>
      </c>
      <c r="J164" s="69">
        <v>17.5</v>
      </c>
      <c r="K164" s="40">
        <f t="shared" si="7"/>
        <v>14.008333333333333</v>
      </c>
      <c r="L164" s="69">
        <v>10.516666666666667</v>
      </c>
      <c r="M164" s="69">
        <v>6.1499999999999995</v>
      </c>
      <c r="N164" s="69">
        <v>4.3666666666666663</v>
      </c>
      <c r="O164" s="40">
        <f t="shared" si="9"/>
        <v>3.5916666666666663</v>
      </c>
      <c r="P164" s="69">
        <v>2.8166666666666664</v>
      </c>
      <c r="Q164" s="40">
        <f t="shared" si="6"/>
        <v>2.5166666666666666</v>
      </c>
      <c r="R164" s="69">
        <v>1.9166666666666667</v>
      </c>
      <c r="S164" s="69">
        <v>1.5899999999999999</v>
      </c>
      <c r="T164" s="69">
        <v>0.8716666666666667</v>
      </c>
    </row>
    <row r="165" spans="2:20" x14ac:dyDescent="0.25">
      <c r="B165" s="11" t="str">
        <f t="shared" si="8"/>
        <v>CSB 7 Ah 1,67</v>
      </c>
      <c r="C165" s="37" t="s">
        <v>30</v>
      </c>
      <c r="D165" s="37" t="s">
        <v>20</v>
      </c>
      <c r="E165" s="38">
        <v>1.67</v>
      </c>
      <c r="F165" s="69">
        <v>56.666666666666664</v>
      </c>
      <c r="G165" s="69">
        <v>39.166666666666664</v>
      </c>
      <c r="H165" s="69">
        <v>29.5</v>
      </c>
      <c r="I165" s="58">
        <f t="shared" si="5"/>
        <v>25.555555555555557</v>
      </c>
      <c r="J165" s="69">
        <v>17.666666666666668</v>
      </c>
      <c r="K165" s="40">
        <f t="shared" si="7"/>
        <v>14.133333333333333</v>
      </c>
      <c r="L165" s="69">
        <v>10.6</v>
      </c>
      <c r="M165" s="69">
        <v>6.1833333333333336</v>
      </c>
      <c r="N165" s="69">
        <v>4.3833333333333337</v>
      </c>
      <c r="O165" s="40">
        <f t="shared" si="9"/>
        <v>3.6083333333333334</v>
      </c>
      <c r="P165" s="69">
        <v>2.8333333333333335</v>
      </c>
      <c r="Q165" s="40">
        <f t="shared" si="6"/>
        <v>2.5333333333333332</v>
      </c>
      <c r="R165" s="69">
        <v>1.9333333333333333</v>
      </c>
      <c r="S165" s="69">
        <v>1.6133333333333333</v>
      </c>
      <c r="T165" s="69">
        <v>0.8783333333333333</v>
      </c>
    </row>
    <row r="166" spans="2:20" x14ac:dyDescent="0.25">
      <c r="B166" s="11" t="str">
        <f t="shared" si="8"/>
        <v>CSB 7 Ah 1,6</v>
      </c>
      <c r="C166" s="37" t="s">
        <v>30</v>
      </c>
      <c r="D166" s="37" t="s">
        <v>20</v>
      </c>
      <c r="E166" s="40">
        <v>1.6</v>
      </c>
      <c r="F166" s="69">
        <v>60</v>
      </c>
      <c r="G166" s="69">
        <v>40.833333333333336</v>
      </c>
      <c r="H166" s="69">
        <v>30.5</v>
      </c>
      <c r="I166" s="58">
        <f t="shared" si="5"/>
        <v>26.333333333333332</v>
      </c>
      <c r="J166" s="69">
        <v>18</v>
      </c>
      <c r="K166" s="40">
        <f t="shared" si="7"/>
        <v>14.366666666666667</v>
      </c>
      <c r="L166" s="69">
        <v>10.733333333333334</v>
      </c>
      <c r="M166" s="69">
        <v>6.2833333333333341</v>
      </c>
      <c r="N166" s="69">
        <v>4.4333333333333336</v>
      </c>
      <c r="O166" s="40">
        <f t="shared" si="9"/>
        <v>3.6583333333333332</v>
      </c>
      <c r="P166" s="69">
        <v>2.8833333333333333</v>
      </c>
      <c r="Q166" s="40">
        <f t="shared" si="6"/>
        <v>2.5777777777777779</v>
      </c>
      <c r="R166" s="69">
        <v>1.9666666666666668</v>
      </c>
      <c r="S166" s="69">
        <v>1.6333333333333335</v>
      </c>
      <c r="T166" s="69">
        <v>0.89500000000000002</v>
      </c>
    </row>
    <row r="167" spans="2:20" x14ac:dyDescent="0.25">
      <c r="B167" s="11" t="str">
        <f t="shared" si="8"/>
        <v>CSB 9 Ah 1,85</v>
      </c>
      <c r="C167" s="5" t="s">
        <v>30</v>
      </c>
      <c r="D167" s="5" t="s">
        <v>21</v>
      </c>
      <c r="E167" s="6">
        <v>1.85</v>
      </c>
      <c r="F167" s="27">
        <v>59.166666666666664</v>
      </c>
      <c r="G167" s="27">
        <v>40</v>
      </c>
      <c r="H167" s="27">
        <v>30.833333333333332</v>
      </c>
      <c r="I167" s="27">
        <v>25</v>
      </c>
      <c r="J167" s="27">
        <v>18.5</v>
      </c>
      <c r="K167" s="27">
        <v>13.549999999999999</v>
      </c>
      <c r="L167" s="27">
        <v>10.866666666666667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</row>
    <row r="168" spans="2:20" x14ac:dyDescent="0.25">
      <c r="B168" s="11" t="str">
        <f t="shared" si="8"/>
        <v>CSB 9 Ah 1,8</v>
      </c>
      <c r="C168" s="5" t="s">
        <v>30</v>
      </c>
      <c r="D168" s="5" t="s">
        <v>21</v>
      </c>
      <c r="E168" s="8">
        <v>1.8</v>
      </c>
      <c r="F168" s="27">
        <v>64.666666666666671</v>
      </c>
      <c r="G168" s="27">
        <v>42.833333333333336</v>
      </c>
      <c r="H168" s="27">
        <v>32.666666666666664</v>
      </c>
      <c r="I168" s="27">
        <v>26.166666666666668</v>
      </c>
      <c r="J168" s="27">
        <v>19.333333333333332</v>
      </c>
      <c r="K168" s="27">
        <v>14.049999999999999</v>
      </c>
      <c r="L168" s="27">
        <v>11.233333333333334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</row>
    <row r="169" spans="2:20" x14ac:dyDescent="0.25">
      <c r="B169" s="11" t="str">
        <f t="shared" si="8"/>
        <v>CSB 9 Ah 1,75</v>
      </c>
      <c r="C169" s="5" t="s">
        <v>30</v>
      </c>
      <c r="D169" s="5" t="s">
        <v>21</v>
      </c>
      <c r="E169" s="6">
        <v>1.75</v>
      </c>
      <c r="F169" s="27">
        <v>68.833333333333329</v>
      </c>
      <c r="G169" s="27">
        <v>44.666666666666664</v>
      </c>
      <c r="H169" s="27">
        <v>33.666666666666664</v>
      </c>
      <c r="I169" s="27">
        <v>26.833333333333332</v>
      </c>
      <c r="J169" s="27">
        <v>19.5</v>
      </c>
      <c r="K169" s="27">
        <v>14.283333333333333</v>
      </c>
      <c r="L169" s="27">
        <v>11.4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</row>
    <row r="170" spans="2:20" x14ac:dyDescent="0.25">
      <c r="B170" s="11" t="str">
        <f t="shared" si="8"/>
        <v>CSB 9 Ah 1,7</v>
      </c>
      <c r="C170" s="5" t="s">
        <v>30</v>
      </c>
      <c r="D170" s="5" t="s">
        <v>21</v>
      </c>
      <c r="E170" s="8">
        <v>1.7</v>
      </c>
      <c r="F170" s="27">
        <v>71.833333333333329</v>
      </c>
      <c r="G170" s="27">
        <v>45.833333333333336</v>
      </c>
      <c r="H170" s="27">
        <v>34.166666666666664</v>
      </c>
      <c r="I170" s="27">
        <v>27.166666666666668</v>
      </c>
      <c r="J170" s="27">
        <v>19.666666666666668</v>
      </c>
      <c r="K170" s="27">
        <v>14.383333333333333</v>
      </c>
      <c r="L170" s="27">
        <v>11.466666666666667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</row>
    <row r="171" spans="2:20" x14ac:dyDescent="0.25">
      <c r="B171" s="11" t="str">
        <f t="shared" si="8"/>
        <v>CSB 9 Ah 1,67</v>
      </c>
      <c r="C171" s="5" t="s">
        <v>30</v>
      </c>
      <c r="D171" s="5" t="s">
        <v>21</v>
      </c>
      <c r="E171" s="6">
        <v>1.67</v>
      </c>
      <c r="F171" s="27">
        <v>73</v>
      </c>
      <c r="G171" s="27">
        <v>46.166666666666664</v>
      </c>
      <c r="H171" s="27">
        <v>34.333333333333336</v>
      </c>
      <c r="I171" s="27">
        <v>27.333333333333332</v>
      </c>
      <c r="J171" s="27">
        <v>19.833333333333332</v>
      </c>
      <c r="K171" s="27">
        <v>14.416666666666666</v>
      </c>
      <c r="L171" s="27">
        <v>11.483333333333334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</row>
    <row r="172" spans="2:20" x14ac:dyDescent="0.25">
      <c r="B172" s="11" t="str">
        <f t="shared" si="8"/>
        <v>CSB 9 Ah 1,6</v>
      </c>
      <c r="C172" s="5" t="s">
        <v>30</v>
      </c>
      <c r="D172" s="5" t="s">
        <v>21</v>
      </c>
      <c r="E172" s="8">
        <v>1.6</v>
      </c>
      <c r="F172" s="27">
        <v>75</v>
      </c>
      <c r="G172" s="27">
        <v>46.666666666666664</v>
      </c>
      <c r="H172" s="27">
        <v>34.5</v>
      </c>
      <c r="I172" s="27">
        <v>27.5</v>
      </c>
      <c r="J172" s="27">
        <v>20</v>
      </c>
      <c r="K172" s="27">
        <v>14.450000000000001</v>
      </c>
      <c r="L172" s="27">
        <v>11.5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</row>
    <row r="173" spans="2:20" x14ac:dyDescent="0.25">
      <c r="B173" s="11" t="str">
        <f t="shared" si="8"/>
        <v>CSB 12 Ah 1,85</v>
      </c>
      <c r="C173" s="37" t="s">
        <v>30</v>
      </c>
      <c r="D173" s="37" t="s">
        <v>22</v>
      </c>
      <c r="E173" s="38">
        <v>1.85</v>
      </c>
      <c r="F173" s="69">
        <v>63.333333333333336</v>
      </c>
      <c r="G173" s="69">
        <v>46.666666666666664</v>
      </c>
      <c r="H173" s="69">
        <v>36.166666666666664</v>
      </c>
      <c r="I173" s="40">
        <f>($J173-$H173)/(30-15)*(20-15)+H173</f>
        <v>31.611111111111107</v>
      </c>
      <c r="J173" s="69">
        <v>22.5</v>
      </c>
      <c r="K173" s="40">
        <f>($L173-$J173)/(60-30)*(45-30)+J173</f>
        <v>17.666666666666668</v>
      </c>
      <c r="L173" s="69">
        <v>12.833333333333334</v>
      </c>
      <c r="M173" s="69">
        <v>7.166666666666667</v>
      </c>
      <c r="N173" s="69">
        <v>5.1166666666666663</v>
      </c>
      <c r="O173" s="40">
        <f>($P173-$N173)/(300-180)*(240-180)+N173</f>
        <v>4.2583333333333329</v>
      </c>
      <c r="P173" s="69">
        <v>3.4</v>
      </c>
      <c r="Q173" s="40">
        <f>($R173-$P173)/(480-300)*(360-300)+P173</f>
        <v>3.0277777777777777</v>
      </c>
      <c r="R173" s="69">
        <v>2.2833333333333332</v>
      </c>
      <c r="S173" s="69">
        <v>1.8666666666666665</v>
      </c>
      <c r="T173" s="69">
        <v>0.97499999999999998</v>
      </c>
    </row>
    <row r="174" spans="2:20" x14ac:dyDescent="0.25">
      <c r="B174" s="11" t="str">
        <f t="shared" si="8"/>
        <v>CSB 12 Ah 1,8</v>
      </c>
      <c r="C174" s="37" t="s">
        <v>30</v>
      </c>
      <c r="D174" s="37" t="s">
        <v>22</v>
      </c>
      <c r="E174" s="40">
        <v>1.8</v>
      </c>
      <c r="F174" s="69">
        <v>69.333333333333329</v>
      </c>
      <c r="G174" s="69">
        <v>51</v>
      </c>
      <c r="H174" s="69">
        <v>39.166666666666664</v>
      </c>
      <c r="I174" s="40">
        <f t="shared" ref="I174:I208" si="10">($J174-$H174)/(30-15)*(20-15)+H174</f>
        <v>34.111111111111107</v>
      </c>
      <c r="J174" s="69">
        <v>24</v>
      </c>
      <c r="K174" s="40">
        <f t="shared" ref="K174:K208" si="11">($L174-$J174)/(60-30)*(45-30)+J174</f>
        <v>18.75</v>
      </c>
      <c r="L174" s="69">
        <v>13.5</v>
      </c>
      <c r="M174" s="69">
        <v>7.4833333333333334</v>
      </c>
      <c r="N174" s="69">
        <v>5.333333333333333</v>
      </c>
      <c r="O174" s="40">
        <f t="shared" ref="O174:O208" si="12">($P174-$N174)/(300-180)*(240-180)+N174</f>
        <v>4.4166666666666661</v>
      </c>
      <c r="P174" s="69">
        <v>3.5</v>
      </c>
      <c r="Q174" s="40">
        <f t="shared" ref="Q174:Q208" si="13">($R174-$P174)/(480-300)*(360-300)+P174</f>
        <v>3.1222222222222222</v>
      </c>
      <c r="R174" s="69">
        <v>2.3666666666666667</v>
      </c>
      <c r="S174" s="69">
        <v>1.9333333333333333</v>
      </c>
      <c r="T174" s="69">
        <v>1.0149999999999999</v>
      </c>
    </row>
    <row r="175" spans="2:20" x14ac:dyDescent="0.25">
      <c r="B175" s="11" t="str">
        <f t="shared" si="8"/>
        <v>CSB 12 Ah 1,75</v>
      </c>
      <c r="C175" s="37" t="s">
        <v>30</v>
      </c>
      <c r="D175" s="37" t="s">
        <v>22</v>
      </c>
      <c r="E175" s="38">
        <v>1.75</v>
      </c>
      <c r="F175" s="69">
        <v>73.833333333333329</v>
      </c>
      <c r="G175" s="69">
        <v>53.666666666666664</v>
      </c>
      <c r="H175" s="69">
        <v>41</v>
      </c>
      <c r="I175" s="40">
        <f t="shared" si="10"/>
        <v>35.611111111111114</v>
      </c>
      <c r="J175" s="69">
        <v>24.833333333333332</v>
      </c>
      <c r="K175" s="40">
        <f t="shared" si="11"/>
        <v>19.375</v>
      </c>
      <c r="L175" s="69">
        <v>13.916666666666666</v>
      </c>
      <c r="M175" s="69">
        <v>7.666666666666667</v>
      </c>
      <c r="N175" s="69">
        <v>5.4833333333333334</v>
      </c>
      <c r="O175" s="40">
        <f t="shared" si="12"/>
        <v>4.5250000000000004</v>
      </c>
      <c r="P175" s="69">
        <v>3.5666666666666664</v>
      </c>
      <c r="Q175" s="40">
        <f t="shared" si="13"/>
        <v>3.1777777777777776</v>
      </c>
      <c r="R175" s="69">
        <v>2.4</v>
      </c>
      <c r="S175" s="69">
        <v>1.9666666666666668</v>
      </c>
      <c r="T175" s="69">
        <v>1.0316666666666667</v>
      </c>
    </row>
    <row r="176" spans="2:20" x14ac:dyDescent="0.25">
      <c r="B176" s="11" t="str">
        <f t="shared" si="8"/>
        <v>CSB 12 Ah 1,7</v>
      </c>
      <c r="C176" s="37" t="s">
        <v>30</v>
      </c>
      <c r="D176" s="37" t="s">
        <v>22</v>
      </c>
      <c r="E176" s="40">
        <v>1.7</v>
      </c>
      <c r="F176" s="69">
        <v>77.666666666666671</v>
      </c>
      <c r="G176" s="69">
        <v>55.5</v>
      </c>
      <c r="H176" s="69">
        <v>42</v>
      </c>
      <c r="I176" s="40">
        <f t="shared" si="10"/>
        <v>36.333333333333336</v>
      </c>
      <c r="J176" s="69">
        <v>25</v>
      </c>
      <c r="K176" s="40">
        <f t="shared" si="11"/>
        <v>19.508333333333333</v>
      </c>
      <c r="L176" s="69">
        <v>14.016666666666666</v>
      </c>
      <c r="M176" s="69">
        <v>7.6833333333333336</v>
      </c>
      <c r="N176" s="69">
        <v>5.5166666666666666</v>
      </c>
      <c r="O176" s="40">
        <f t="shared" si="12"/>
        <v>4.55</v>
      </c>
      <c r="P176" s="69">
        <v>3.5833333333333335</v>
      </c>
      <c r="Q176" s="40">
        <f t="shared" si="13"/>
        <v>3.1944444444444446</v>
      </c>
      <c r="R176" s="69">
        <v>2.4166666666666665</v>
      </c>
      <c r="S176" s="69">
        <v>2</v>
      </c>
      <c r="T176" s="69">
        <v>1.0383333333333333</v>
      </c>
    </row>
    <row r="177" spans="2:22" x14ac:dyDescent="0.25">
      <c r="B177" s="11" t="str">
        <f t="shared" si="8"/>
        <v>CSB 12 Ah 1,67</v>
      </c>
      <c r="C177" s="37" t="s">
        <v>30</v>
      </c>
      <c r="D177" s="37" t="s">
        <v>22</v>
      </c>
      <c r="E177" s="38">
        <v>1.67</v>
      </c>
      <c r="F177" s="69">
        <v>79.166666666666671</v>
      </c>
      <c r="G177" s="69">
        <v>56.5</v>
      </c>
      <c r="H177" s="69">
        <v>42.5</v>
      </c>
      <c r="I177" s="40">
        <f t="shared" si="10"/>
        <v>36.722222222222221</v>
      </c>
      <c r="J177" s="69">
        <v>25.166666666666668</v>
      </c>
      <c r="K177" s="40">
        <f t="shared" si="11"/>
        <v>19.625</v>
      </c>
      <c r="L177" s="69">
        <v>14.083333333333334</v>
      </c>
      <c r="M177" s="69">
        <v>7.7666666666666666</v>
      </c>
      <c r="N177" s="69">
        <v>5.5333333333333341</v>
      </c>
      <c r="O177" s="40">
        <f t="shared" si="12"/>
        <v>4.5666666666666673</v>
      </c>
      <c r="P177" s="69">
        <v>3.6</v>
      </c>
      <c r="Q177" s="40">
        <f t="shared" si="13"/>
        <v>3.2111111111111112</v>
      </c>
      <c r="R177" s="69">
        <v>2.4333333333333331</v>
      </c>
      <c r="S177" s="69">
        <v>2.0166666666666666</v>
      </c>
      <c r="T177" s="69">
        <v>1.04</v>
      </c>
    </row>
    <row r="178" spans="2:22" x14ac:dyDescent="0.25">
      <c r="B178" s="11" t="str">
        <f t="shared" si="8"/>
        <v>CSB 12 Ah 1,6</v>
      </c>
      <c r="C178" s="37" t="s">
        <v>30</v>
      </c>
      <c r="D178" s="37" t="s">
        <v>22</v>
      </c>
      <c r="E178" s="40">
        <v>1.6</v>
      </c>
      <c r="F178" s="69">
        <v>81.166666666666671</v>
      </c>
      <c r="G178" s="69">
        <v>57.166666666666664</v>
      </c>
      <c r="H178" s="69">
        <v>43</v>
      </c>
      <c r="I178" s="40">
        <f t="shared" si="10"/>
        <v>37.111111111111114</v>
      </c>
      <c r="J178" s="69">
        <v>25.333333333333332</v>
      </c>
      <c r="K178" s="40">
        <f t="shared" si="11"/>
        <v>19.716666666666665</v>
      </c>
      <c r="L178" s="69">
        <v>14.1</v>
      </c>
      <c r="M178" s="69">
        <v>7.8166666666666664</v>
      </c>
      <c r="N178" s="69">
        <v>5.5666666666666664</v>
      </c>
      <c r="O178" s="40">
        <f t="shared" si="12"/>
        <v>4.5916666666666668</v>
      </c>
      <c r="P178" s="69">
        <v>3.6166666666666667</v>
      </c>
      <c r="Q178" s="40">
        <f t="shared" si="13"/>
        <v>3.2277777777777779</v>
      </c>
      <c r="R178" s="69">
        <v>2.4499999999999997</v>
      </c>
      <c r="S178" s="69">
        <v>2.0333333333333332</v>
      </c>
      <c r="T178" s="69">
        <v>1.05</v>
      </c>
    </row>
    <row r="179" spans="2:22" x14ac:dyDescent="0.25">
      <c r="B179" s="11" t="str">
        <f t="shared" si="8"/>
        <v>CSB 18 Ah 1,85</v>
      </c>
      <c r="C179" s="5" t="s">
        <v>30</v>
      </c>
      <c r="D179" s="5" t="s">
        <v>23</v>
      </c>
      <c r="E179" s="6">
        <v>1.85</v>
      </c>
      <c r="F179" s="27">
        <v>88.833333333333329</v>
      </c>
      <c r="G179" s="27">
        <v>71.166666666666671</v>
      </c>
      <c r="H179" s="27">
        <v>60.166666666666664</v>
      </c>
      <c r="I179" s="13">
        <f t="shared" si="10"/>
        <v>54.222222222222221</v>
      </c>
      <c r="J179" s="27">
        <v>42.333333333333336</v>
      </c>
      <c r="K179" s="13">
        <f t="shared" si="11"/>
        <v>34.333333333333336</v>
      </c>
      <c r="L179" s="27">
        <v>26.333333333333332</v>
      </c>
      <c r="M179" s="27">
        <v>15.633333333333333</v>
      </c>
      <c r="N179" s="27">
        <v>11.133333333333333</v>
      </c>
      <c r="O179" s="13">
        <f t="shared" si="12"/>
        <v>9.1416666666666657</v>
      </c>
      <c r="P179" s="27">
        <v>7.1499999999999995</v>
      </c>
      <c r="Q179" s="13">
        <f t="shared" si="13"/>
        <v>6.2833333333333332</v>
      </c>
      <c r="R179" s="27">
        <v>4.55</v>
      </c>
      <c r="S179" s="27">
        <v>3.6166666666666667</v>
      </c>
      <c r="T179" s="27">
        <v>1.6833333333333333</v>
      </c>
    </row>
    <row r="180" spans="2:22" x14ac:dyDescent="0.25">
      <c r="B180" s="11" t="str">
        <f t="shared" si="8"/>
        <v>CSB 18 Ah 1,8</v>
      </c>
      <c r="C180" s="5" t="s">
        <v>30</v>
      </c>
      <c r="D180" s="5" t="s">
        <v>23</v>
      </c>
      <c r="E180" s="8">
        <v>1.8</v>
      </c>
      <c r="F180" s="27">
        <v>100.83333333333333</v>
      </c>
      <c r="G180" s="27">
        <v>76.666666666666671</v>
      </c>
      <c r="H180" s="27">
        <v>62.833333333333336</v>
      </c>
      <c r="I180" s="13">
        <f t="shared" si="10"/>
        <v>56.388888888888893</v>
      </c>
      <c r="J180" s="27">
        <v>43.5</v>
      </c>
      <c r="K180" s="13">
        <f t="shared" si="11"/>
        <v>35.083333333333336</v>
      </c>
      <c r="L180" s="27">
        <v>26.666666666666668</v>
      </c>
      <c r="M180" s="27">
        <v>15.766666666666666</v>
      </c>
      <c r="N180" s="27">
        <v>11.216666666666667</v>
      </c>
      <c r="O180" s="13">
        <f t="shared" si="12"/>
        <v>9.1916666666666664</v>
      </c>
      <c r="P180" s="27">
        <v>7.166666666666667</v>
      </c>
      <c r="Q180" s="13">
        <f t="shared" si="13"/>
        <v>6.3111111111111118</v>
      </c>
      <c r="R180" s="27">
        <v>4.6000000000000005</v>
      </c>
      <c r="S180" s="27">
        <v>3.6666666666666665</v>
      </c>
      <c r="T180" s="27">
        <v>1.75</v>
      </c>
    </row>
    <row r="181" spans="2:22" x14ac:dyDescent="0.25">
      <c r="B181" s="11" t="str">
        <f t="shared" si="8"/>
        <v>CSB 18 Ah 1,75</v>
      </c>
      <c r="C181" s="5" t="s">
        <v>30</v>
      </c>
      <c r="D181" s="5" t="s">
        <v>23</v>
      </c>
      <c r="E181" s="6">
        <v>1.75</v>
      </c>
      <c r="F181" s="27">
        <v>112.83333333333333</v>
      </c>
      <c r="G181" s="27">
        <v>82.166666666666671</v>
      </c>
      <c r="H181" s="27">
        <v>65.833333333333329</v>
      </c>
      <c r="I181" s="13">
        <f t="shared" si="10"/>
        <v>58.722222222222221</v>
      </c>
      <c r="J181" s="27">
        <v>44.5</v>
      </c>
      <c r="K181" s="13">
        <f t="shared" si="11"/>
        <v>35.666666666666664</v>
      </c>
      <c r="L181" s="27">
        <v>26.833333333333332</v>
      </c>
      <c r="M181" s="27">
        <v>15.883333333333333</v>
      </c>
      <c r="N181" s="27">
        <v>11.316666666666668</v>
      </c>
      <c r="O181" s="13">
        <f t="shared" si="12"/>
        <v>9.2583333333333346</v>
      </c>
      <c r="P181" s="27">
        <v>7.2</v>
      </c>
      <c r="Q181" s="13">
        <f t="shared" si="13"/>
        <v>6.35</v>
      </c>
      <c r="R181" s="27">
        <v>4.6499999999999995</v>
      </c>
      <c r="S181" s="27">
        <v>3.7333333333333329</v>
      </c>
      <c r="T181" s="27">
        <v>1.8166666666666667</v>
      </c>
    </row>
    <row r="182" spans="2:22" x14ac:dyDescent="0.25">
      <c r="B182" s="11" t="str">
        <f t="shared" si="8"/>
        <v>CSB 18 Ah 1,7</v>
      </c>
      <c r="C182" s="5" t="s">
        <v>30</v>
      </c>
      <c r="D182" s="5" t="s">
        <v>23</v>
      </c>
      <c r="E182" s="8">
        <v>1.7</v>
      </c>
      <c r="F182" s="27">
        <v>124.66666666666667</v>
      </c>
      <c r="G182" s="27">
        <v>87.833333333333329</v>
      </c>
      <c r="H182" s="27">
        <v>68.833333333333329</v>
      </c>
      <c r="I182" s="13">
        <f t="shared" si="10"/>
        <v>61</v>
      </c>
      <c r="J182" s="27">
        <v>45.333333333333336</v>
      </c>
      <c r="K182" s="13">
        <f t="shared" si="11"/>
        <v>36.25</v>
      </c>
      <c r="L182" s="27">
        <v>27.166666666666668</v>
      </c>
      <c r="M182" s="27">
        <v>15.966666666666667</v>
      </c>
      <c r="N182" s="27">
        <v>11.4</v>
      </c>
      <c r="O182" s="13">
        <f t="shared" si="12"/>
        <v>9.3083333333333336</v>
      </c>
      <c r="P182" s="27">
        <v>7.2166666666666659</v>
      </c>
      <c r="Q182" s="13">
        <f t="shared" si="13"/>
        <v>6.3777777777777773</v>
      </c>
      <c r="R182" s="27">
        <v>4.7</v>
      </c>
      <c r="S182" s="27">
        <v>3.7833333333333332</v>
      </c>
      <c r="T182" s="27">
        <v>1.8833333333333335</v>
      </c>
    </row>
    <row r="183" spans="2:22" x14ac:dyDescent="0.25">
      <c r="B183" s="11" t="str">
        <f t="shared" si="8"/>
        <v>CSB 18 Ah 1,67</v>
      </c>
      <c r="C183" s="5" t="s">
        <v>30</v>
      </c>
      <c r="D183" s="5" t="s">
        <v>23</v>
      </c>
      <c r="E183" s="6">
        <v>1.67</v>
      </c>
      <c r="F183" s="27">
        <v>131.66666666666666</v>
      </c>
      <c r="G183" s="27">
        <v>90.666666666666671</v>
      </c>
      <c r="H183" s="27">
        <v>70.5</v>
      </c>
      <c r="I183" s="13">
        <f t="shared" si="10"/>
        <v>62.277777777777779</v>
      </c>
      <c r="J183" s="27">
        <v>45.833333333333336</v>
      </c>
      <c r="K183" s="13">
        <f t="shared" si="11"/>
        <v>36.583333333333336</v>
      </c>
      <c r="L183" s="27">
        <v>27.333333333333332</v>
      </c>
      <c r="M183" s="27">
        <v>16</v>
      </c>
      <c r="N183" s="27">
        <v>11.416666666666666</v>
      </c>
      <c r="O183" s="13">
        <f t="shared" si="12"/>
        <v>9.3249999999999993</v>
      </c>
      <c r="P183" s="27">
        <v>7.2333333333333334</v>
      </c>
      <c r="Q183" s="13">
        <f t="shared" si="13"/>
        <v>6.3944444444444448</v>
      </c>
      <c r="R183" s="27">
        <v>4.7166666666666668</v>
      </c>
      <c r="S183" s="27">
        <v>3.8000000000000003</v>
      </c>
      <c r="T183" s="27">
        <v>1.9166666666666667</v>
      </c>
    </row>
    <row r="184" spans="2:22" x14ac:dyDescent="0.25">
      <c r="B184" s="11" t="str">
        <f t="shared" si="8"/>
        <v>CSB 18 Ah 1,6</v>
      </c>
      <c r="C184" s="5" t="s">
        <v>30</v>
      </c>
      <c r="D184" s="5" t="s">
        <v>23</v>
      </c>
      <c r="E184" s="8">
        <v>1.6</v>
      </c>
      <c r="F184" s="27">
        <v>148.33333333333334</v>
      </c>
      <c r="G184" s="27">
        <v>97.166666666666671</v>
      </c>
      <c r="H184" s="27">
        <v>74.833333333333329</v>
      </c>
      <c r="I184" s="13">
        <f t="shared" si="10"/>
        <v>65.5</v>
      </c>
      <c r="J184" s="27">
        <v>46.833333333333336</v>
      </c>
      <c r="K184" s="13">
        <f t="shared" si="11"/>
        <v>37.25</v>
      </c>
      <c r="L184" s="27">
        <v>27.666666666666668</v>
      </c>
      <c r="M184" s="27">
        <v>16.066666666666666</v>
      </c>
      <c r="N184" s="27">
        <v>11.433333333333332</v>
      </c>
      <c r="O184" s="13">
        <f t="shared" si="12"/>
        <v>9.35</v>
      </c>
      <c r="P184" s="27">
        <v>7.2666666666666666</v>
      </c>
      <c r="Q184" s="13">
        <f t="shared" si="13"/>
        <v>6.4222222222222225</v>
      </c>
      <c r="R184" s="27">
        <v>4.7333333333333334</v>
      </c>
      <c r="S184" s="27">
        <v>3.85</v>
      </c>
      <c r="T184" s="27">
        <v>2</v>
      </c>
    </row>
    <row r="185" spans="2:22" x14ac:dyDescent="0.25">
      <c r="B185" s="11" t="str">
        <f t="shared" si="8"/>
        <v>CSB 26 Ah 1,85</v>
      </c>
      <c r="C185" s="37" t="s">
        <v>30</v>
      </c>
      <c r="D185" s="37" t="s">
        <v>24</v>
      </c>
      <c r="E185" s="38">
        <v>1.85</v>
      </c>
      <c r="F185" s="69">
        <v>130</v>
      </c>
      <c r="G185" s="69">
        <v>98</v>
      </c>
      <c r="H185" s="69">
        <v>76.833333333333329</v>
      </c>
      <c r="I185" s="40">
        <f t="shared" si="10"/>
        <v>68.388888888888886</v>
      </c>
      <c r="J185" s="69">
        <v>51.5</v>
      </c>
      <c r="K185" s="40">
        <f t="shared" si="11"/>
        <v>42.416666666666671</v>
      </c>
      <c r="L185" s="69">
        <v>33.333333333333336</v>
      </c>
      <c r="M185" s="69">
        <v>20.5</v>
      </c>
      <c r="N185" s="69">
        <v>14.366666666666667</v>
      </c>
      <c r="O185" s="40">
        <f t="shared" si="12"/>
        <v>11.866666666666667</v>
      </c>
      <c r="P185" s="69">
        <v>9.3666666666666671</v>
      </c>
      <c r="Q185" s="40">
        <f t="shared" si="13"/>
        <v>8.3222222222222229</v>
      </c>
      <c r="R185" s="69">
        <v>6.2333333333333334</v>
      </c>
      <c r="S185" s="69">
        <v>5.166666666666667</v>
      </c>
      <c r="T185" s="69">
        <v>2.8166666666666664</v>
      </c>
    </row>
    <row r="186" spans="2:22" x14ac:dyDescent="0.25">
      <c r="B186" s="11" t="str">
        <f t="shared" si="8"/>
        <v>CSB 26 Ah 1,8</v>
      </c>
      <c r="C186" s="37" t="s">
        <v>30</v>
      </c>
      <c r="D186" s="37" t="s">
        <v>24</v>
      </c>
      <c r="E186" s="40">
        <v>1.8</v>
      </c>
      <c r="F186" s="69">
        <v>148.66666666666666</v>
      </c>
      <c r="G186" s="69">
        <v>107.16666666666667</v>
      </c>
      <c r="H186" s="69">
        <v>82.666666666666671</v>
      </c>
      <c r="I186" s="40">
        <f t="shared" si="10"/>
        <v>73.055555555555557</v>
      </c>
      <c r="J186" s="69">
        <v>53.833333333333336</v>
      </c>
      <c r="K186" s="40">
        <f t="shared" si="11"/>
        <v>43.916666666666671</v>
      </c>
      <c r="L186" s="69">
        <v>34</v>
      </c>
      <c r="M186" s="69">
        <v>21.166666666666668</v>
      </c>
      <c r="N186" s="69">
        <v>15.183333333333332</v>
      </c>
      <c r="O186" s="40">
        <f t="shared" si="12"/>
        <v>12.583333333333332</v>
      </c>
      <c r="P186" s="69">
        <v>9.9833333333333325</v>
      </c>
      <c r="Q186" s="40">
        <f t="shared" si="13"/>
        <v>8.8444444444444432</v>
      </c>
      <c r="R186" s="69">
        <v>6.5666666666666664</v>
      </c>
      <c r="S186" s="69">
        <v>5.3666666666666671</v>
      </c>
      <c r="T186" s="69">
        <v>2.9</v>
      </c>
      <c r="V186" s="28"/>
    </row>
    <row r="187" spans="2:22" x14ac:dyDescent="0.25">
      <c r="B187" s="11" t="str">
        <f t="shared" si="8"/>
        <v>CSB 26 Ah 1,75</v>
      </c>
      <c r="C187" s="37" t="s">
        <v>30</v>
      </c>
      <c r="D187" s="37" t="s">
        <v>24</v>
      </c>
      <c r="E187" s="38">
        <v>1.75</v>
      </c>
      <c r="F187" s="69">
        <v>160.83333333333334</v>
      </c>
      <c r="G187" s="69">
        <v>115.83333333333333</v>
      </c>
      <c r="H187" s="69">
        <v>87.833333333333329</v>
      </c>
      <c r="I187" s="40">
        <f t="shared" si="10"/>
        <v>77.333333333333329</v>
      </c>
      <c r="J187" s="69">
        <v>56.333333333333336</v>
      </c>
      <c r="K187" s="40">
        <f t="shared" si="11"/>
        <v>45.666666666666671</v>
      </c>
      <c r="L187" s="69">
        <v>35</v>
      </c>
      <c r="M187" s="69">
        <v>21.5</v>
      </c>
      <c r="N187" s="69">
        <v>15.366666666666667</v>
      </c>
      <c r="O187" s="40">
        <f t="shared" si="12"/>
        <v>12.733333333333334</v>
      </c>
      <c r="P187" s="69">
        <v>10.1</v>
      </c>
      <c r="Q187" s="40">
        <f t="shared" si="13"/>
        <v>8.9833333333333325</v>
      </c>
      <c r="R187" s="69">
        <v>6.75</v>
      </c>
      <c r="S187" s="69">
        <v>5.5666666666666664</v>
      </c>
      <c r="T187" s="69">
        <v>2.9166666666666665</v>
      </c>
    </row>
    <row r="188" spans="2:22" x14ac:dyDescent="0.25">
      <c r="B188" s="11" t="str">
        <f t="shared" si="8"/>
        <v>CSB 26 Ah 1,7</v>
      </c>
      <c r="C188" s="37" t="s">
        <v>30</v>
      </c>
      <c r="D188" s="37" t="s">
        <v>24</v>
      </c>
      <c r="E188" s="40">
        <v>1.7</v>
      </c>
      <c r="F188" s="69">
        <v>165.33333333333334</v>
      </c>
      <c r="G188" s="69">
        <v>119</v>
      </c>
      <c r="H188" s="69">
        <v>92.666666666666671</v>
      </c>
      <c r="I188" s="40">
        <f t="shared" si="10"/>
        <v>81.222222222222229</v>
      </c>
      <c r="J188" s="69">
        <v>58.333333333333336</v>
      </c>
      <c r="K188" s="40">
        <f t="shared" si="11"/>
        <v>46.916666666666671</v>
      </c>
      <c r="L188" s="69">
        <v>35.5</v>
      </c>
      <c r="M188" s="69">
        <v>21.666666666666668</v>
      </c>
      <c r="N188" s="69">
        <v>15.716666666666667</v>
      </c>
      <c r="O188" s="40">
        <f t="shared" si="12"/>
        <v>12.983333333333334</v>
      </c>
      <c r="P188" s="69">
        <v>10.25</v>
      </c>
      <c r="Q188" s="40">
        <f t="shared" si="13"/>
        <v>9.1111111111111107</v>
      </c>
      <c r="R188" s="69">
        <v>6.833333333333333</v>
      </c>
      <c r="S188" s="69">
        <v>5.583333333333333</v>
      </c>
      <c r="T188" s="69">
        <v>2.9333333333333336</v>
      </c>
    </row>
    <row r="189" spans="2:22" x14ac:dyDescent="0.25">
      <c r="B189" s="11" t="str">
        <f t="shared" si="8"/>
        <v>CSB 26 Ah 1,67</v>
      </c>
      <c r="C189" s="37" t="s">
        <v>30</v>
      </c>
      <c r="D189" s="37" t="s">
        <v>24</v>
      </c>
      <c r="E189" s="38">
        <v>1.67</v>
      </c>
      <c r="F189" s="69">
        <v>172.33333333333334</v>
      </c>
      <c r="G189" s="69">
        <v>122.66666666666667</v>
      </c>
      <c r="H189" s="69">
        <v>96.166666666666671</v>
      </c>
      <c r="I189" s="40">
        <f t="shared" si="10"/>
        <v>83.833333333333343</v>
      </c>
      <c r="J189" s="69">
        <v>59.166666666666664</v>
      </c>
      <c r="K189" s="40">
        <f t="shared" si="11"/>
        <v>47.416666666666664</v>
      </c>
      <c r="L189" s="69">
        <v>35.666666666666664</v>
      </c>
      <c r="M189" s="69">
        <v>21.833333333333332</v>
      </c>
      <c r="N189" s="69">
        <v>15.766666666666666</v>
      </c>
      <c r="O189" s="40">
        <f t="shared" si="12"/>
        <v>13.016666666666666</v>
      </c>
      <c r="P189" s="69">
        <v>10.266666666666667</v>
      </c>
      <c r="Q189" s="40">
        <f t="shared" si="13"/>
        <v>9.15</v>
      </c>
      <c r="R189" s="69">
        <v>6.916666666666667</v>
      </c>
      <c r="S189" s="69">
        <v>5.6000000000000005</v>
      </c>
      <c r="T189" s="69">
        <v>2.9499999999999997</v>
      </c>
    </row>
    <row r="190" spans="2:22" x14ac:dyDescent="0.25">
      <c r="B190" s="11" t="str">
        <f t="shared" si="8"/>
        <v>CSB 26 Ah 1,6</v>
      </c>
      <c r="C190" s="37" t="s">
        <v>30</v>
      </c>
      <c r="D190" s="37" t="s">
        <v>24</v>
      </c>
      <c r="E190" s="40">
        <v>1.6</v>
      </c>
      <c r="F190" s="69">
        <v>181.66666666666666</v>
      </c>
      <c r="G190" s="69">
        <v>131.16666666666666</v>
      </c>
      <c r="H190" s="69">
        <v>98.833333333333329</v>
      </c>
      <c r="I190" s="40">
        <f t="shared" si="10"/>
        <v>85.888888888888886</v>
      </c>
      <c r="J190" s="69">
        <v>60</v>
      </c>
      <c r="K190" s="40">
        <f t="shared" si="11"/>
        <v>48.25</v>
      </c>
      <c r="L190" s="69">
        <v>36.5</v>
      </c>
      <c r="M190" s="69">
        <v>22.166666666666668</v>
      </c>
      <c r="N190" s="69">
        <v>15.9</v>
      </c>
      <c r="O190" s="40">
        <f t="shared" si="12"/>
        <v>13.116666666666667</v>
      </c>
      <c r="P190" s="69">
        <v>10.333333333333334</v>
      </c>
      <c r="Q190" s="40">
        <f t="shared" si="13"/>
        <v>9.2111111111111121</v>
      </c>
      <c r="R190" s="69">
        <v>6.9666666666666659</v>
      </c>
      <c r="S190" s="69">
        <v>5.6333333333333329</v>
      </c>
      <c r="T190" s="69">
        <v>2.9666666666666668</v>
      </c>
    </row>
    <row r="191" spans="2:22" x14ac:dyDescent="0.25">
      <c r="B191" s="11" t="str">
        <f t="shared" si="8"/>
        <v>CSB 33 Ah 1,85</v>
      </c>
      <c r="C191" s="5" t="s">
        <v>30</v>
      </c>
      <c r="D191" s="5" t="s">
        <v>25</v>
      </c>
      <c r="E191" s="6">
        <v>1.85</v>
      </c>
      <c r="F191" s="27">
        <v>172.66666666666666</v>
      </c>
      <c r="G191" s="27">
        <v>134</v>
      </c>
      <c r="H191" s="27">
        <v>111.5</v>
      </c>
      <c r="I191" s="13">
        <f t="shared" si="10"/>
        <v>99.777777777777771</v>
      </c>
      <c r="J191" s="27">
        <v>76.333333333333329</v>
      </c>
      <c r="K191" s="13">
        <f t="shared" si="11"/>
        <v>61.75</v>
      </c>
      <c r="L191" s="27">
        <v>47.166666666666664</v>
      </c>
      <c r="M191" s="27">
        <v>28.166666666666668</v>
      </c>
      <c r="N191" s="27">
        <v>19.833333333333332</v>
      </c>
      <c r="O191" s="13">
        <f t="shared" ref="O191:O202" si="14">(($P191-$N191)/(300-180)*(240-180)+N191)/6</f>
        <v>2.7250000000000001</v>
      </c>
      <c r="P191" s="27">
        <v>12.866666666666667</v>
      </c>
      <c r="Q191" s="13">
        <f t="shared" ref="Q191:Q202" si="15">(($R191-$P191)/(480-300)*(360-300)+P191)/6</f>
        <v>1.8842592592592593</v>
      </c>
      <c r="R191" s="27">
        <v>8.1833333333333336</v>
      </c>
      <c r="S191" s="27">
        <v>6.5</v>
      </c>
      <c r="T191" s="27">
        <v>3.0333333333333332</v>
      </c>
      <c r="V191" s="29"/>
    </row>
    <row r="192" spans="2:22" x14ac:dyDescent="0.25">
      <c r="B192" s="11" t="str">
        <f t="shared" si="8"/>
        <v>CSB 33 Ah 1,8</v>
      </c>
      <c r="C192" s="5" t="s">
        <v>30</v>
      </c>
      <c r="D192" s="5" t="s">
        <v>25</v>
      </c>
      <c r="E192" s="8">
        <v>1.8</v>
      </c>
      <c r="F192" s="27">
        <v>196</v>
      </c>
      <c r="G192" s="27">
        <v>144.5</v>
      </c>
      <c r="H192" s="27">
        <v>117.5</v>
      </c>
      <c r="I192" s="13">
        <f t="shared" si="10"/>
        <v>104.44444444444444</v>
      </c>
      <c r="J192" s="27">
        <v>78.333333333333329</v>
      </c>
      <c r="K192" s="13">
        <f t="shared" si="11"/>
        <v>63.166666666666664</v>
      </c>
      <c r="L192" s="27">
        <v>48</v>
      </c>
      <c r="M192" s="27">
        <v>28.333333333333332</v>
      </c>
      <c r="N192" s="27">
        <v>20</v>
      </c>
      <c r="O192" s="13">
        <f t="shared" si="14"/>
        <v>2.7416666666666667</v>
      </c>
      <c r="P192" s="27">
        <v>12.9</v>
      </c>
      <c r="Q192" s="13">
        <f t="shared" si="15"/>
        <v>1.8925925925925926</v>
      </c>
      <c r="R192" s="27">
        <v>8.2666666666666675</v>
      </c>
      <c r="S192" s="27">
        <v>6.6000000000000005</v>
      </c>
      <c r="T192" s="27">
        <v>3.15</v>
      </c>
    </row>
    <row r="193" spans="2:20" x14ac:dyDescent="0.25">
      <c r="B193" s="11" t="str">
        <f t="shared" si="8"/>
        <v>CSB 33 Ah 1,75</v>
      </c>
      <c r="C193" s="5" t="s">
        <v>30</v>
      </c>
      <c r="D193" s="5" t="s">
        <v>25</v>
      </c>
      <c r="E193" s="6">
        <v>1.75</v>
      </c>
      <c r="F193" s="27">
        <v>219.33333333333334</v>
      </c>
      <c r="G193" s="27">
        <v>155.16666666666666</v>
      </c>
      <c r="H193" s="27">
        <v>123.16666666666667</v>
      </c>
      <c r="I193" s="13">
        <f t="shared" si="10"/>
        <v>108.83333333333334</v>
      </c>
      <c r="J193" s="27">
        <v>80.166666666666671</v>
      </c>
      <c r="K193" s="13">
        <f t="shared" si="11"/>
        <v>64.416666666666671</v>
      </c>
      <c r="L193" s="27">
        <v>48.666666666666664</v>
      </c>
      <c r="M193" s="27">
        <v>28.5</v>
      </c>
      <c r="N193" s="27">
        <v>20.166666666666668</v>
      </c>
      <c r="O193" s="13">
        <f t="shared" si="14"/>
        <v>2.7597222222222224</v>
      </c>
      <c r="P193" s="27">
        <v>12.950000000000001</v>
      </c>
      <c r="Q193" s="13">
        <f t="shared" si="15"/>
        <v>1.9037037037037037</v>
      </c>
      <c r="R193" s="27">
        <v>8.3666666666666671</v>
      </c>
      <c r="S193" s="27">
        <v>6.7166666666666659</v>
      </c>
      <c r="T193" s="27">
        <v>3.2666666666666671</v>
      </c>
    </row>
    <row r="194" spans="2:20" x14ac:dyDescent="0.25">
      <c r="B194" s="11" t="str">
        <f t="shared" si="8"/>
        <v>CSB 33 Ah 1,7</v>
      </c>
      <c r="C194" s="5" t="s">
        <v>30</v>
      </c>
      <c r="D194" s="5" t="s">
        <v>25</v>
      </c>
      <c r="E194" s="8">
        <v>1.7</v>
      </c>
      <c r="F194" s="27">
        <v>242.66666666666666</v>
      </c>
      <c r="G194" s="27">
        <v>165.66666666666666</v>
      </c>
      <c r="H194" s="27">
        <v>128.5</v>
      </c>
      <c r="I194" s="13">
        <f t="shared" si="10"/>
        <v>112.88888888888889</v>
      </c>
      <c r="J194" s="27">
        <v>81.666666666666671</v>
      </c>
      <c r="K194" s="13">
        <f t="shared" si="11"/>
        <v>65.416666666666671</v>
      </c>
      <c r="L194" s="27">
        <v>49.166666666666664</v>
      </c>
      <c r="M194" s="27">
        <v>28.666666666666668</v>
      </c>
      <c r="N194" s="27">
        <v>20.333333333333332</v>
      </c>
      <c r="O194" s="13">
        <f t="shared" si="14"/>
        <v>2.7763888888888886</v>
      </c>
      <c r="P194" s="27">
        <v>12.983333333333334</v>
      </c>
      <c r="Q194" s="13">
        <f t="shared" si="15"/>
        <v>1.9120370370370372</v>
      </c>
      <c r="R194" s="27">
        <v>8.4500000000000011</v>
      </c>
      <c r="S194" s="27">
        <v>6.8166666666666664</v>
      </c>
      <c r="T194" s="27">
        <v>3.3833333333333333</v>
      </c>
    </row>
    <row r="195" spans="2:20" x14ac:dyDescent="0.25">
      <c r="B195" s="11" t="str">
        <f t="shared" si="8"/>
        <v>CSB 33 Ah 1,67</v>
      </c>
      <c r="C195" s="5" t="s">
        <v>30</v>
      </c>
      <c r="D195" s="5" t="s">
        <v>25</v>
      </c>
      <c r="E195" s="6">
        <v>1.67</v>
      </c>
      <c r="F195" s="27">
        <v>256.5</v>
      </c>
      <c r="G195" s="27">
        <v>171</v>
      </c>
      <c r="H195" s="27">
        <v>131.33333333333334</v>
      </c>
      <c r="I195" s="13">
        <f t="shared" si="10"/>
        <v>115.05555555555557</v>
      </c>
      <c r="J195" s="27">
        <v>82.5</v>
      </c>
      <c r="K195" s="13">
        <f t="shared" si="11"/>
        <v>66</v>
      </c>
      <c r="L195" s="27">
        <v>49.5</v>
      </c>
      <c r="M195" s="27">
        <v>28.833333333333332</v>
      </c>
      <c r="N195" s="27">
        <v>20.5</v>
      </c>
      <c r="O195" s="13">
        <f t="shared" si="14"/>
        <v>2.7930555555555556</v>
      </c>
      <c r="P195" s="27">
        <v>13.016666666666666</v>
      </c>
      <c r="Q195" s="13">
        <f t="shared" si="15"/>
        <v>1.9166666666666667</v>
      </c>
      <c r="R195" s="27">
        <v>8.4666666666666668</v>
      </c>
      <c r="S195" s="27">
        <v>6.8500000000000005</v>
      </c>
      <c r="T195" s="27">
        <v>3.4499999999999997</v>
      </c>
    </row>
    <row r="196" spans="2:20" x14ac:dyDescent="0.25">
      <c r="B196" s="11" t="str">
        <f t="shared" si="8"/>
        <v>CSB 33 Ah 1,6</v>
      </c>
      <c r="C196" s="5" t="s">
        <v>30</v>
      </c>
      <c r="D196" s="5" t="s">
        <v>25</v>
      </c>
      <c r="E196" s="8">
        <v>1.6</v>
      </c>
      <c r="F196" s="27">
        <v>288.66666666666669</v>
      </c>
      <c r="G196" s="27">
        <v>183.33333333333334</v>
      </c>
      <c r="H196" s="27">
        <v>138.66666666666666</v>
      </c>
      <c r="I196" s="13">
        <f t="shared" si="10"/>
        <v>120.5</v>
      </c>
      <c r="J196" s="27">
        <v>84.166666666666671</v>
      </c>
      <c r="K196" s="13">
        <f t="shared" si="11"/>
        <v>67.083333333333343</v>
      </c>
      <c r="L196" s="27">
        <v>50</v>
      </c>
      <c r="M196" s="27">
        <v>29</v>
      </c>
      <c r="N196" s="27">
        <v>20.666666666666668</v>
      </c>
      <c r="O196" s="13">
        <f t="shared" si="14"/>
        <v>2.8138888888888887</v>
      </c>
      <c r="P196" s="27">
        <v>13.1</v>
      </c>
      <c r="Q196" s="13">
        <f t="shared" si="15"/>
        <v>1.9287037037037038</v>
      </c>
      <c r="R196" s="27">
        <v>8.5166666666666675</v>
      </c>
      <c r="S196" s="27">
        <v>6.95</v>
      </c>
      <c r="T196" s="27">
        <v>3.6</v>
      </c>
    </row>
    <row r="197" spans="2:20" x14ac:dyDescent="0.25">
      <c r="B197" s="11" t="str">
        <f t="shared" si="8"/>
        <v>CSB 45 Ah 1,85</v>
      </c>
      <c r="C197" s="37" t="s">
        <v>30</v>
      </c>
      <c r="D197" s="37" t="s">
        <v>26</v>
      </c>
      <c r="E197" s="38">
        <v>1.85</v>
      </c>
      <c r="F197" s="69">
        <v>196.33333333333334</v>
      </c>
      <c r="G197" s="69">
        <v>150.33333333333334</v>
      </c>
      <c r="H197" s="69">
        <v>124.83333333333333</v>
      </c>
      <c r="I197" s="40">
        <f t="shared" si="10"/>
        <v>111.55555555555556</v>
      </c>
      <c r="J197" s="69">
        <v>85</v>
      </c>
      <c r="K197" s="40">
        <f t="shared" si="11"/>
        <v>69.5</v>
      </c>
      <c r="L197" s="69">
        <v>54</v>
      </c>
      <c r="M197" s="69">
        <v>31.666666666666668</v>
      </c>
      <c r="N197" s="69">
        <v>22.333333333333332</v>
      </c>
      <c r="O197" s="40">
        <f t="shared" si="14"/>
        <v>3.0652777777777778</v>
      </c>
      <c r="P197" s="69">
        <v>14.450000000000001</v>
      </c>
      <c r="Q197" s="40">
        <f t="shared" si="15"/>
        <v>2.1129629629629632</v>
      </c>
      <c r="R197" s="69">
        <v>9.1333333333333329</v>
      </c>
      <c r="S197" s="69">
        <v>7.2833333333333341</v>
      </c>
      <c r="T197" s="69">
        <v>3.4333333333333336</v>
      </c>
    </row>
    <row r="198" spans="2:20" x14ac:dyDescent="0.25">
      <c r="B198" s="11" t="str">
        <f t="shared" si="8"/>
        <v>CSB 45 Ah 1,8</v>
      </c>
      <c r="C198" s="37" t="s">
        <v>30</v>
      </c>
      <c r="D198" s="37" t="s">
        <v>26</v>
      </c>
      <c r="E198" s="40">
        <v>1.8</v>
      </c>
      <c r="F198" s="69">
        <v>222.33333333333334</v>
      </c>
      <c r="G198" s="69">
        <v>162.5</v>
      </c>
      <c r="H198" s="69">
        <v>131.83333333333334</v>
      </c>
      <c r="I198" s="40">
        <f t="shared" si="10"/>
        <v>117.05555555555556</v>
      </c>
      <c r="J198" s="69">
        <v>87.5</v>
      </c>
      <c r="K198" s="40">
        <f t="shared" si="11"/>
        <v>71.083333333333329</v>
      </c>
      <c r="L198" s="69">
        <v>54.666666666666664</v>
      </c>
      <c r="M198" s="69">
        <v>31.833333333333332</v>
      </c>
      <c r="N198" s="69">
        <v>22.5</v>
      </c>
      <c r="O198" s="40">
        <f t="shared" si="14"/>
        <v>3.0861111111111108</v>
      </c>
      <c r="P198" s="69">
        <v>14.533333333333333</v>
      </c>
      <c r="Q198" s="40">
        <f t="shared" si="15"/>
        <v>2.1296296296296298</v>
      </c>
      <c r="R198" s="69">
        <v>9.2666666666666675</v>
      </c>
      <c r="S198" s="69">
        <v>7.3999999999999995</v>
      </c>
      <c r="T198" s="69">
        <v>3.5500000000000003</v>
      </c>
    </row>
    <row r="199" spans="2:20" x14ac:dyDescent="0.25">
      <c r="B199" s="11" t="str">
        <f t="shared" si="8"/>
        <v>CSB 45 Ah 1,75</v>
      </c>
      <c r="C199" s="37" t="s">
        <v>30</v>
      </c>
      <c r="D199" s="37" t="s">
        <v>26</v>
      </c>
      <c r="E199" s="38">
        <v>1.75</v>
      </c>
      <c r="F199" s="69">
        <v>248.33333333333334</v>
      </c>
      <c r="G199" s="69">
        <v>174.83333333333334</v>
      </c>
      <c r="H199" s="69">
        <v>138.33333333333334</v>
      </c>
      <c r="I199" s="40">
        <f t="shared" si="10"/>
        <v>122.16666666666667</v>
      </c>
      <c r="J199" s="69">
        <v>89.833333333333329</v>
      </c>
      <c r="K199" s="40">
        <f t="shared" si="11"/>
        <v>72.5</v>
      </c>
      <c r="L199" s="69">
        <v>55.166666666666664</v>
      </c>
      <c r="M199" s="69">
        <v>32</v>
      </c>
      <c r="N199" s="69">
        <v>22.666666666666668</v>
      </c>
      <c r="O199" s="40">
        <f t="shared" si="14"/>
        <v>3.1041666666666665</v>
      </c>
      <c r="P199" s="69">
        <v>14.583333333333334</v>
      </c>
      <c r="Q199" s="40">
        <f t="shared" si="15"/>
        <v>2.1416666666666666</v>
      </c>
      <c r="R199" s="69">
        <v>9.3833333333333329</v>
      </c>
      <c r="S199" s="69">
        <v>7.5333333333333341</v>
      </c>
      <c r="T199" s="69">
        <v>3.6833333333333336</v>
      </c>
    </row>
    <row r="200" spans="2:20" x14ac:dyDescent="0.25">
      <c r="B200" s="11" t="str">
        <f t="shared" si="8"/>
        <v>CSB 45 Ah 1,7</v>
      </c>
      <c r="C200" s="37" t="s">
        <v>30</v>
      </c>
      <c r="D200" s="37" t="s">
        <v>26</v>
      </c>
      <c r="E200" s="40">
        <v>1.7</v>
      </c>
      <c r="F200" s="69">
        <v>274.5</v>
      </c>
      <c r="G200" s="69">
        <v>186.16666666666666</v>
      </c>
      <c r="H200" s="69">
        <v>144.83333333333334</v>
      </c>
      <c r="I200" s="40">
        <f t="shared" si="10"/>
        <v>127.22222222222223</v>
      </c>
      <c r="J200" s="69">
        <v>92</v>
      </c>
      <c r="K200" s="40">
        <f t="shared" si="11"/>
        <v>73.833333333333329</v>
      </c>
      <c r="L200" s="69">
        <v>55.666666666666664</v>
      </c>
      <c r="M200" s="69">
        <v>32.166666666666664</v>
      </c>
      <c r="N200" s="69">
        <v>22.833333333333332</v>
      </c>
      <c r="O200" s="40">
        <f t="shared" si="14"/>
        <v>3.1236111111111113</v>
      </c>
      <c r="P200" s="69">
        <v>14.65</v>
      </c>
      <c r="Q200" s="40">
        <f t="shared" si="15"/>
        <v>2.1555555555555554</v>
      </c>
      <c r="R200" s="69">
        <v>9.5</v>
      </c>
      <c r="S200" s="69">
        <v>7.666666666666667</v>
      </c>
      <c r="T200" s="69">
        <v>3.8166666666666664</v>
      </c>
    </row>
    <row r="201" spans="2:20" x14ac:dyDescent="0.25">
      <c r="B201" s="11" t="str">
        <f t="shared" ref="B201:B216" si="16">CONCATENATE(C201&amp;" "&amp;D201&amp;" "&amp;E201)</f>
        <v>CSB 45 Ah 1,67</v>
      </c>
      <c r="C201" s="37" t="s">
        <v>30</v>
      </c>
      <c r="D201" s="37" t="s">
        <v>26</v>
      </c>
      <c r="E201" s="38">
        <v>1.67</v>
      </c>
      <c r="F201" s="69">
        <v>289.16666666666669</v>
      </c>
      <c r="G201" s="69">
        <v>193</v>
      </c>
      <c r="H201" s="69">
        <v>149.16666666666666</v>
      </c>
      <c r="I201" s="40">
        <f t="shared" si="10"/>
        <v>130.44444444444443</v>
      </c>
      <c r="J201" s="69">
        <v>93</v>
      </c>
      <c r="K201" s="40">
        <f t="shared" si="11"/>
        <v>74.416666666666671</v>
      </c>
      <c r="L201" s="69">
        <v>55.833333333333336</v>
      </c>
      <c r="M201" s="69">
        <v>32.333333333333336</v>
      </c>
      <c r="N201" s="69">
        <v>23</v>
      </c>
      <c r="O201" s="40">
        <f t="shared" si="14"/>
        <v>3.1402777777777775</v>
      </c>
      <c r="P201" s="69">
        <v>14.683333333333332</v>
      </c>
      <c r="Q201" s="40">
        <f t="shared" si="15"/>
        <v>2.1620370370370368</v>
      </c>
      <c r="R201" s="69">
        <v>9.5499999999999989</v>
      </c>
      <c r="S201" s="69">
        <v>7.7333333333333334</v>
      </c>
      <c r="T201" s="69">
        <v>3.8833333333333333</v>
      </c>
    </row>
    <row r="202" spans="2:20" x14ac:dyDescent="0.25">
      <c r="B202" s="11" t="str">
        <f t="shared" si="16"/>
        <v>CSB 45 Ah 1,6</v>
      </c>
      <c r="C202" s="37" t="s">
        <v>30</v>
      </c>
      <c r="D202" s="37" t="s">
        <v>26</v>
      </c>
      <c r="E202" s="40">
        <v>1.6</v>
      </c>
      <c r="F202" s="69">
        <v>323.5</v>
      </c>
      <c r="G202" s="69">
        <v>207</v>
      </c>
      <c r="H202" s="69">
        <v>156.33333333333334</v>
      </c>
      <c r="I202" s="40">
        <f t="shared" si="10"/>
        <v>136</v>
      </c>
      <c r="J202" s="69">
        <v>95.333333333333329</v>
      </c>
      <c r="K202" s="40">
        <f t="shared" si="11"/>
        <v>75.833333333333329</v>
      </c>
      <c r="L202" s="69">
        <v>56.333333333333336</v>
      </c>
      <c r="M202" s="69">
        <v>32.5</v>
      </c>
      <c r="N202" s="69">
        <v>23.166666666666668</v>
      </c>
      <c r="O202" s="40">
        <f t="shared" si="14"/>
        <v>3.1583333333333337</v>
      </c>
      <c r="P202" s="69">
        <v>14.733333333333334</v>
      </c>
      <c r="Q202" s="40">
        <f t="shared" si="15"/>
        <v>2.174074074074074</v>
      </c>
      <c r="R202" s="69">
        <v>9.6666666666666661</v>
      </c>
      <c r="S202" s="69">
        <v>7.8666666666666671</v>
      </c>
      <c r="T202" s="69">
        <v>4.0666666666666664</v>
      </c>
    </row>
    <row r="203" spans="2:20" x14ac:dyDescent="0.25">
      <c r="B203" s="11" t="str">
        <f t="shared" si="16"/>
        <v>CSB 55 Ah 1,85</v>
      </c>
      <c r="C203" s="5" t="s">
        <v>30</v>
      </c>
      <c r="D203" s="5" t="s">
        <v>27</v>
      </c>
      <c r="E203" s="6">
        <v>1.85</v>
      </c>
      <c r="F203" s="7">
        <v>264</v>
      </c>
      <c r="G203" s="27">
        <v>209.66666666666666</v>
      </c>
      <c r="H203" s="27">
        <v>171.83333333333334</v>
      </c>
      <c r="I203" s="13">
        <f t="shared" si="10"/>
        <v>150.61111111111111</v>
      </c>
      <c r="J203" s="27">
        <v>108.16666666666667</v>
      </c>
      <c r="K203" s="13">
        <f t="shared" si="11"/>
        <v>87</v>
      </c>
      <c r="L203" s="27">
        <v>65.833333333333329</v>
      </c>
      <c r="M203" s="27">
        <v>37.166666666666664</v>
      </c>
      <c r="N203" s="27">
        <v>26.833333333333332</v>
      </c>
      <c r="O203" s="13">
        <f t="shared" si="12"/>
        <v>22.166666666666664</v>
      </c>
      <c r="P203" s="7">
        <v>17.5</v>
      </c>
      <c r="Q203" s="13">
        <f t="shared" si="13"/>
        <v>34.86666666666666</v>
      </c>
      <c r="R203" s="7">
        <v>69.599999999999994</v>
      </c>
      <c r="S203" s="7">
        <v>56.7</v>
      </c>
      <c r="T203" s="7">
        <v>29.4</v>
      </c>
    </row>
    <row r="204" spans="2:20" x14ac:dyDescent="0.25">
      <c r="B204" s="11" t="str">
        <f t="shared" si="16"/>
        <v>CSB 55 Ah 1,8</v>
      </c>
      <c r="C204" s="5" t="s">
        <v>30</v>
      </c>
      <c r="D204" s="5" t="s">
        <v>27</v>
      </c>
      <c r="E204" s="8">
        <v>1.8</v>
      </c>
      <c r="F204" s="27">
        <v>291.16666666666669</v>
      </c>
      <c r="G204" s="7">
        <v>226.5</v>
      </c>
      <c r="H204" s="27">
        <v>182.16666666666666</v>
      </c>
      <c r="I204" s="13">
        <f t="shared" si="10"/>
        <v>159.38888888888889</v>
      </c>
      <c r="J204" s="27">
        <v>113.83333333333333</v>
      </c>
      <c r="K204" s="13">
        <f t="shared" si="11"/>
        <v>91.833333333333329</v>
      </c>
      <c r="L204" s="27">
        <v>69.833333333333329</v>
      </c>
      <c r="M204" s="27">
        <v>39.166666666666664</v>
      </c>
      <c r="N204" s="27">
        <v>28.166666666666668</v>
      </c>
      <c r="O204" s="13">
        <f t="shared" si="12"/>
        <v>23.25</v>
      </c>
      <c r="P204" s="27">
        <v>18.333333333333332</v>
      </c>
      <c r="Q204" s="13">
        <f t="shared" si="13"/>
        <v>36.355555555555554</v>
      </c>
      <c r="R204" s="7">
        <v>72.400000000000006</v>
      </c>
      <c r="S204" s="7">
        <v>59.5</v>
      </c>
      <c r="T204" s="7">
        <v>30.7</v>
      </c>
    </row>
    <row r="205" spans="2:20" x14ac:dyDescent="0.25">
      <c r="B205" s="11" t="str">
        <f t="shared" si="16"/>
        <v>CSB 55 Ah 1,75</v>
      </c>
      <c r="C205" s="5" t="s">
        <v>30</v>
      </c>
      <c r="D205" s="5" t="s">
        <v>27</v>
      </c>
      <c r="E205" s="6">
        <v>1.75</v>
      </c>
      <c r="F205" s="7">
        <v>319</v>
      </c>
      <c r="G205" s="7">
        <v>241.5</v>
      </c>
      <c r="H205" s="27">
        <v>193.33333333333334</v>
      </c>
      <c r="I205" s="13">
        <f t="shared" si="10"/>
        <v>168.33333333333334</v>
      </c>
      <c r="J205" s="27">
        <v>118.33333333333333</v>
      </c>
      <c r="K205" s="13">
        <f t="shared" si="11"/>
        <v>95.333333333333329</v>
      </c>
      <c r="L205" s="27">
        <v>72.333333333333329</v>
      </c>
      <c r="M205" s="27">
        <v>40.333333333333336</v>
      </c>
      <c r="N205" s="7">
        <v>28.5</v>
      </c>
      <c r="O205" s="13">
        <f t="shared" si="12"/>
        <v>23.5</v>
      </c>
      <c r="P205" s="7">
        <v>18.5</v>
      </c>
      <c r="Q205" s="13">
        <f t="shared" si="13"/>
        <v>36.966666666666669</v>
      </c>
      <c r="R205" s="7">
        <v>73.900000000000006</v>
      </c>
      <c r="S205" s="7">
        <v>60.3</v>
      </c>
      <c r="T205" s="7">
        <v>31.4</v>
      </c>
    </row>
    <row r="206" spans="2:20" x14ac:dyDescent="0.25">
      <c r="B206" s="11" t="str">
        <f t="shared" si="16"/>
        <v>CSB 55 Ah 1,7</v>
      </c>
      <c r="C206" s="5" t="s">
        <v>30</v>
      </c>
      <c r="D206" s="5" t="s">
        <v>27</v>
      </c>
      <c r="E206" s="8">
        <v>1.7</v>
      </c>
      <c r="F206" s="27">
        <v>346.83333333333331</v>
      </c>
      <c r="G206" s="27">
        <v>256.66666666666669</v>
      </c>
      <c r="H206" s="27">
        <v>201.33333333333334</v>
      </c>
      <c r="I206" s="13">
        <f t="shared" si="10"/>
        <v>175.16666666666669</v>
      </c>
      <c r="J206" s="27">
        <v>122.83333333333333</v>
      </c>
      <c r="K206" s="13">
        <f t="shared" si="11"/>
        <v>98.333333333333329</v>
      </c>
      <c r="L206" s="27">
        <v>73.833333333333329</v>
      </c>
      <c r="M206" s="7">
        <v>41</v>
      </c>
      <c r="N206" s="7">
        <v>29</v>
      </c>
      <c r="O206" s="13">
        <f t="shared" si="12"/>
        <v>23.833333333333336</v>
      </c>
      <c r="P206" s="27">
        <v>18.666666666666668</v>
      </c>
      <c r="Q206" s="13">
        <f t="shared" si="13"/>
        <v>37.177777777777777</v>
      </c>
      <c r="R206" s="7">
        <v>74.2</v>
      </c>
      <c r="S206" s="7">
        <v>60.7</v>
      </c>
      <c r="T206" s="7">
        <v>31.4</v>
      </c>
    </row>
    <row r="207" spans="2:20" x14ac:dyDescent="0.25">
      <c r="B207" s="11" t="str">
        <f t="shared" si="16"/>
        <v>CSB 55 Ah 1,67</v>
      </c>
      <c r="C207" s="5" t="s">
        <v>30</v>
      </c>
      <c r="D207" s="5" t="s">
        <v>27</v>
      </c>
      <c r="E207" s="6">
        <v>1.67</v>
      </c>
      <c r="F207" s="27">
        <v>362.66666666666669</v>
      </c>
      <c r="G207" s="27">
        <v>264.83333333333331</v>
      </c>
      <c r="H207" s="27">
        <v>205.83333333333334</v>
      </c>
      <c r="I207" s="13">
        <f t="shared" si="10"/>
        <v>178.77777777777777</v>
      </c>
      <c r="J207" s="27">
        <v>124.66666666666667</v>
      </c>
      <c r="K207" s="13">
        <f t="shared" si="11"/>
        <v>99.416666666666671</v>
      </c>
      <c r="L207" s="27">
        <v>74.166666666666671</v>
      </c>
      <c r="M207" s="27">
        <v>41.166666666666664</v>
      </c>
      <c r="N207" s="27">
        <v>29.166666666666668</v>
      </c>
      <c r="O207" s="13">
        <f t="shared" si="12"/>
        <v>24</v>
      </c>
      <c r="P207" s="27">
        <v>18.833333333333332</v>
      </c>
      <c r="Q207" s="13">
        <f t="shared" si="13"/>
        <v>37.355555555555554</v>
      </c>
      <c r="R207" s="7">
        <v>74.400000000000006</v>
      </c>
      <c r="S207" s="7">
        <v>61.2</v>
      </c>
      <c r="T207" s="7">
        <v>31.7</v>
      </c>
    </row>
    <row r="208" spans="2:20" x14ac:dyDescent="0.25">
      <c r="B208" s="11" t="str">
        <f t="shared" si="16"/>
        <v>CSB 55 Ah 1,6</v>
      </c>
      <c r="C208" s="5" t="s">
        <v>30</v>
      </c>
      <c r="D208" s="5" t="s">
        <v>27</v>
      </c>
      <c r="E208" s="8">
        <v>1.6</v>
      </c>
      <c r="F208" s="27">
        <v>398.66666666666669</v>
      </c>
      <c r="G208" s="27">
        <v>280.66666666666669</v>
      </c>
      <c r="H208" s="7">
        <v>215</v>
      </c>
      <c r="I208" s="13">
        <f t="shared" si="10"/>
        <v>186.11111111111111</v>
      </c>
      <c r="J208" s="27">
        <v>128.33333333333334</v>
      </c>
      <c r="K208" s="13">
        <f t="shared" si="11"/>
        <v>101.41666666666667</v>
      </c>
      <c r="L208" s="7">
        <v>74.5</v>
      </c>
      <c r="M208" s="27">
        <v>41.666666666666664</v>
      </c>
      <c r="N208" s="27">
        <v>29.333333333333332</v>
      </c>
      <c r="O208" s="13">
        <f t="shared" si="12"/>
        <v>24.166666666666664</v>
      </c>
      <c r="P208" s="7">
        <v>19</v>
      </c>
      <c r="Q208" s="13">
        <f t="shared" si="13"/>
        <v>37.566666666666663</v>
      </c>
      <c r="R208" s="7">
        <v>74.7</v>
      </c>
      <c r="S208" s="7">
        <v>61.6</v>
      </c>
      <c r="T208" s="7">
        <v>31.7</v>
      </c>
    </row>
    <row r="209" spans="2:20" x14ac:dyDescent="0.25">
      <c r="B209" s="30" t="str">
        <f t="shared" si="16"/>
        <v>UNIPOWER 7 Ah 1,8</v>
      </c>
      <c r="C209" s="37" t="s">
        <v>39</v>
      </c>
      <c r="D209" s="37" t="s">
        <v>20</v>
      </c>
      <c r="E209" s="40">
        <v>1.8</v>
      </c>
      <c r="F209" s="70">
        <v>40.799999999999997</v>
      </c>
      <c r="G209" s="71">
        <v>27.6</v>
      </c>
      <c r="H209" s="72">
        <v>22</v>
      </c>
      <c r="I209" s="73"/>
      <c r="J209" s="74">
        <v>12.6</v>
      </c>
      <c r="K209" s="40"/>
      <c r="L209" s="59">
        <v>7.43</v>
      </c>
      <c r="M209" s="40">
        <v>4.4400000000000004</v>
      </c>
      <c r="N209" s="59">
        <v>3.11</v>
      </c>
      <c r="O209" s="40"/>
      <c r="P209" s="59">
        <v>2.08</v>
      </c>
      <c r="Q209" s="40"/>
      <c r="R209" s="40"/>
      <c r="S209" s="59"/>
      <c r="T209" s="59"/>
    </row>
    <row r="210" spans="2:20" x14ac:dyDescent="0.25">
      <c r="B210" s="30" t="str">
        <f t="shared" si="16"/>
        <v>UNIPOWER 7 Ah 1,75</v>
      </c>
      <c r="C210" s="37" t="s">
        <v>39</v>
      </c>
      <c r="D210" s="37" t="s">
        <v>20</v>
      </c>
      <c r="E210" s="40">
        <v>1.75</v>
      </c>
      <c r="F210" s="75">
        <v>43.5</v>
      </c>
      <c r="G210" s="76">
        <v>29.4</v>
      </c>
      <c r="H210" s="77">
        <v>23.1</v>
      </c>
      <c r="I210" s="73"/>
      <c r="J210" s="73">
        <v>13.2</v>
      </c>
      <c r="K210" s="40"/>
      <c r="L210" s="40">
        <v>7.78</v>
      </c>
      <c r="M210" s="40">
        <v>4.59</v>
      </c>
      <c r="N210" s="40">
        <v>3.22</v>
      </c>
      <c r="O210" s="40"/>
      <c r="P210" s="40">
        <v>2.14</v>
      </c>
      <c r="Q210" s="40"/>
      <c r="R210" s="40"/>
      <c r="S210" s="40"/>
      <c r="T210" s="40"/>
    </row>
    <row r="211" spans="2:20" x14ac:dyDescent="0.25">
      <c r="B211" s="30" t="str">
        <f t="shared" si="16"/>
        <v>UNIPOWER 7 Ah 1,7</v>
      </c>
      <c r="C211" s="37" t="s">
        <v>39</v>
      </c>
      <c r="D211" s="37" t="s">
        <v>20</v>
      </c>
      <c r="E211" s="40">
        <v>1.7</v>
      </c>
      <c r="F211" s="70">
        <v>46.1</v>
      </c>
      <c r="G211" s="71">
        <v>31.1</v>
      </c>
      <c r="H211" s="72">
        <v>24.1</v>
      </c>
      <c r="I211" s="73"/>
      <c r="J211" s="78">
        <v>13.8</v>
      </c>
      <c r="K211" s="40"/>
      <c r="L211" s="40">
        <v>8.0299999999999994</v>
      </c>
      <c r="M211" s="40">
        <v>4.74</v>
      </c>
      <c r="N211" s="40">
        <v>3.32</v>
      </c>
      <c r="O211" s="40"/>
      <c r="P211" s="40">
        <v>2.19</v>
      </c>
      <c r="Q211" s="40"/>
      <c r="R211" s="40"/>
      <c r="S211" s="40"/>
      <c r="T211" s="40"/>
    </row>
    <row r="212" spans="2:20" x14ac:dyDescent="0.25">
      <c r="B212" s="30" t="str">
        <f t="shared" si="16"/>
        <v>UNIPOWER 7 Ah 1,65</v>
      </c>
      <c r="C212" s="37" t="s">
        <v>39</v>
      </c>
      <c r="D212" s="37" t="s">
        <v>20</v>
      </c>
      <c r="E212" s="40">
        <v>1.65</v>
      </c>
      <c r="F212" s="70">
        <v>48.6</v>
      </c>
      <c r="G212" s="71">
        <v>32.799999999999997</v>
      </c>
      <c r="H212" s="72">
        <v>25</v>
      </c>
      <c r="I212" s="73"/>
      <c r="J212" s="71">
        <v>14.4</v>
      </c>
      <c r="K212" s="40"/>
      <c r="L212" s="40">
        <v>8.3699999999999992</v>
      </c>
      <c r="M212" s="40">
        <v>4.87</v>
      </c>
      <c r="N212" s="40">
        <v>3.41</v>
      </c>
      <c r="O212" s="40"/>
      <c r="P212" s="40">
        <v>2.23</v>
      </c>
      <c r="Q212" s="40"/>
      <c r="R212" s="40"/>
      <c r="S212" s="40"/>
      <c r="T212" s="40"/>
    </row>
    <row r="213" spans="2:20" x14ac:dyDescent="0.25">
      <c r="B213" s="30" t="str">
        <f t="shared" si="16"/>
        <v>UNIPOWER 7 Ah 1,6</v>
      </c>
      <c r="C213" s="37" t="s">
        <v>39</v>
      </c>
      <c r="D213" s="37" t="s">
        <v>20</v>
      </c>
      <c r="E213" s="40">
        <v>1.6</v>
      </c>
      <c r="F213" s="70">
        <v>51</v>
      </c>
      <c r="G213" s="71">
        <v>34.5</v>
      </c>
      <c r="H213" s="72">
        <v>25.8</v>
      </c>
      <c r="I213" s="73"/>
      <c r="J213" s="79">
        <v>14.9</v>
      </c>
      <c r="K213" s="40"/>
      <c r="L213" s="40">
        <v>8.6999999999999993</v>
      </c>
      <c r="M213" s="40">
        <v>4.9800000000000004</v>
      </c>
      <c r="N213" s="40">
        <v>3.5</v>
      </c>
      <c r="O213" s="40"/>
      <c r="P213" s="40">
        <v>2.2599999999999998</v>
      </c>
      <c r="Q213" s="40"/>
      <c r="R213" s="40"/>
      <c r="S213" s="40"/>
      <c r="T213" s="40"/>
    </row>
    <row r="214" spans="2:20" x14ac:dyDescent="0.25">
      <c r="B214" s="30" t="str">
        <f t="shared" si="16"/>
        <v>UNIPOWER 9 Ah 1,8</v>
      </c>
      <c r="C214" s="5" t="s">
        <v>39</v>
      </c>
      <c r="D214" s="34" t="s">
        <v>21</v>
      </c>
      <c r="E214" s="8">
        <v>1.8</v>
      </c>
      <c r="F214" s="13">
        <v>59.7</v>
      </c>
      <c r="G214" s="13">
        <v>40.5</v>
      </c>
      <c r="H214" s="13">
        <v>30.7</v>
      </c>
      <c r="I214" s="13"/>
      <c r="J214" s="13">
        <v>18.399999999999999</v>
      </c>
      <c r="K214" s="13"/>
      <c r="L214" s="13">
        <v>10.5</v>
      </c>
      <c r="M214" s="13">
        <v>6.32</v>
      </c>
      <c r="N214" s="13">
        <v>4.6399999999999997</v>
      </c>
      <c r="O214" s="13"/>
      <c r="P214" s="13">
        <v>3.15</v>
      </c>
      <c r="Q214" s="13"/>
      <c r="R214" s="13"/>
      <c r="S214" s="13"/>
      <c r="T214" s="13"/>
    </row>
    <row r="215" spans="2:20" x14ac:dyDescent="0.25">
      <c r="B215" s="30" t="str">
        <f t="shared" si="16"/>
        <v>UNIPOWER 9 Ah 1,75</v>
      </c>
      <c r="C215" s="5" t="s">
        <v>39</v>
      </c>
      <c r="D215" s="5" t="s">
        <v>21</v>
      </c>
      <c r="E215" s="8">
        <v>1.75</v>
      </c>
      <c r="F215" s="27">
        <v>63.3</v>
      </c>
      <c r="G215" s="27">
        <v>42.2</v>
      </c>
      <c r="H215" s="27">
        <v>31.8</v>
      </c>
      <c r="I215" s="13"/>
      <c r="J215" s="27">
        <v>19.2</v>
      </c>
      <c r="K215" s="13"/>
      <c r="L215" s="27">
        <v>11</v>
      </c>
      <c r="M215" s="27">
        <v>6.46</v>
      </c>
      <c r="N215" s="27">
        <v>4.6900000000000004</v>
      </c>
      <c r="O215" s="27"/>
      <c r="P215" s="27">
        <v>3.18</v>
      </c>
      <c r="Q215" s="13"/>
      <c r="R215" s="27"/>
      <c r="S215" s="27"/>
      <c r="T215" s="27"/>
    </row>
    <row r="216" spans="2:20" x14ac:dyDescent="0.25">
      <c r="B216" s="30" t="str">
        <f t="shared" si="16"/>
        <v>UNIPOWER 9 Ah 1,7</v>
      </c>
      <c r="C216" s="5" t="s">
        <v>39</v>
      </c>
      <c r="D216" s="5" t="s">
        <v>21</v>
      </c>
      <c r="E216" s="8">
        <v>1.7</v>
      </c>
      <c r="F216" s="27">
        <v>66.900000000000006</v>
      </c>
      <c r="G216" s="27">
        <v>43.9</v>
      </c>
      <c r="H216" s="27">
        <v>32.9</v>
      </c>
      <c r="I216" s="13"/>
      <c r="J216" s="27">
        <v>20</v>
      </c>
      <c r="K216" s="13"/>
      <c r="L216" s="27">
        <v>11.5</v>
      </c>
      <c r="M216" s="27">
        <v>6.59</v>
      </c>
      <c r="N216" s="27">
        <v>4.74</v>
      </c>
      <c r="O216" s="27"/>
      <c r="P216" s="27">
        <v>3.21</v>
      </c>
      <c r="Q216" s="13"/>
      <c r="R216" s="27"/>
      <c r="S216" s="27"/>
      <c r="T216" s="27"/>
    </row>
    <row r="217" spans="2:20" x14ac:dyDescent="0.25">
      <c r="B217" s="30" t="str">
        <f>CONCATENATE(C217&amp;" "&amp;D217&amp;" "&amp;E217)</f>
        <v>UNIPOWER 9 Ah 1,65</v>
      </c>
      <c r="C217" s="5" t="s">
        <v>39</v>
      </c>
      <c r="D217" s="5" t="s">
        <v>21</v>
      </c>
      <c r="E217" s="8">
        <v>1.65</v>
      </c>
      <c r="F217" s="27">
        <v>70.5</v>
      </c>
      <c r="G217" s="27">
        <v>45.6</v>
      </c>
      <c r="H217" s="27">
        <v>34</v>
      </c>
      <c r="I217" s="13"/>
      <c r="J217" s="27">
        <v>20.8</v>
      </c>
      <c r="K217" s="13"/>
      <c r="L217" s="27">
        <v>12</v>
      </c>
      <c r="M217" s="27">
        <v>6.72</v>
      </c>
      <c r="N217" s="27">
        <v>4.79</v>
      </c>
      <c r="O217" s="27"/>
      <c r="P217" s="27">
        <v>3.24</v>
      </c>
      <c r="Q217" s="13"/>
      <c r="R217" s="27"/>
      <c r="S217" s="27"/>
      <c r="T217" s="27"/>
    </row>
    <row r="218" spans="2:20" x14ac:dyDescent="0.25">
      <c r="B218" s="30" t="str">
        <f t="shared" ref="B218:B245" si="17">CONCATENATE(C218&amp;" "&amp;D218&amp;" "&amp;E218)</f>
        <v>UNIPOWER 9 Ah 1,6</v>
      </c>
      <c r="C218" s="5" t="s">
        <v>39</v>
      </c>
      <c r="D218" s="5" t="s">
        <v>21</v>
      </c>
      <c r="E218" s="8">
        <v>1.6</v>
      </c>
      <c r="F218" s="27">
        <v>74.099999999999994</v>
      </c>
      <c r="G218" s="27">
        <v>47.2</v>
      </c>
      <c r="H218" s="27">
        <v>35.1</v>
      </c>
      <c r="I218" s="13"/>
      <c r="J218" s="27">
        <v>21.5</v>
      </c>
      <c r="K218" s="13"/>
      <c r="L218" s="27">
        <v>12.4</v>
      </c>
      <c r="M218" s="27">
        <v>6.85</v>
      </c>
      <c r="N218" s="27">
        <v>4.84</v>
      </c>
      <c r="O218" s="27"/>
      <c r="P218" s="27">
        <v>3.27</v>
      </c>
      <c r="Q218" s="13"/>
      <c r="R218" s="27"/>
      <c r="S218" s="27"/>
      <c r="T218" s="27"/>
    </row>
    <row r="219" spans="2:20" x14ac:dyDescent="0.25">
      <c r="B219" s="30" t="str">
        <f t="shared" si="17"/>
        <v>UNIPOWER 12 Ah 1,8</v>
      </c>
      <c r="C219" s="37" t="s">
        <v>39</v>
      </c>
      <c r="D219" s="80" t="s">
        <v>22</v>
      </c>
      <c r="E219" s="40">
        <v>1.8</v>
      </c>
      <c r="F219" s="39">
        <v>77.599999999999994</v>
      </c>
      <c r="G219" s="39">
        <v>54.6</v>
      </c>
      <c r="H219" s="39">
        <v>43.9</v>
      </c>
      <c r="I219" s="40"/>
      <c r="J219" s="39">
        <v>25.4</v>
      </c>
      <c r="K219" s="40"/>
      <c r="L219" s="39">
        <v>15.5</v>
      </c>
      <c r="M219" s="39">
        <v>8.16</v>
      </c>
      <c r="N219" s="39">
        <v>6.24</v>
      </c>
      <c r="O219" s="39"/>
      <c r="P219" s="39">
        <v>4.08</v>
      </c>
      <c r="Q219" s="40"/>
      <c r="R219" s="39"/>
      <c r="S219" s="39"/>
      <c r="T219" s="39"/>
    </row>
    <row r="220" spans="2:20" x14ac:dyDescent="0.25">
      <c r="B220" s="30" t="str">
        <f t="shared" si="17"/>
        <v>UNIPOWER 12 Ah 1,75</v>
      </c>
      <c r="C220" s="37" t="s">
        <v>39</v>
      </c>
      <c r="D220" s="37" t="s">
        <v>22</v>
      </c>
      <c r="E220" s="40">
        <v>1.75</v>
      </c>
      <c r="F220" s="40">
        <v>79.8</v>
      </c>
      <c r="G220" s="40">
        <v>55.6</v>
      </c>
      <c r="H220" s="40">
        <v>44.6</v>
      </c>
      <c r="I220" s="40"/>
      <c r="J220" s="40">
        <v>25.8</v>
      </c>
      <c r="K220" s="40"/>
      <c r="L220" s="40">
        <v>15.7</v>
      </c>
      <c r="M220" s="40">
        <v>8.25</v>
      </c>
      <c r="N220" s="40">
        <v>6.31</v>
      </c>
      <c r="O220" s="40"/>
      <c r="P220" s="40">
        <v>4.1100000000000003</v>
      </c>
      <c r="Q220" s="40"/>
      <c r="R220" s="40"/>
      <c r="S220" s="40"/>
      <c r="T220" s="40"/>
    </row>
    <row r="221" spans="2:20" x14ac:dyDescent="0.25">
      <c r="B221" s="30" t="str">
        <f t="shared" si="17"/>
        <v>UNIPOWER 12 Ah 1,7</v>
      </c>
      <c r="C221" s="37" t="s">
        <v>39</v>
      </c>
      <c r="D221" s="37" t="s">
        <v>22</v>
      </c>
      <c r="E221" s="40">
        <v>1.7</v>
      </c>
      <c r="F221" s="40">
        <v>81.900000000000006</v>
      </c>
      <c r="G221" s="40">
        <v>56.6</v>
      </c>
      <c r="H221" s="40">
        <v>45.3</v>
      </c>
      <c r="I221" s="40"/>
      <c r="J221" s="40">
        <v>26.2</v>
      </c>
      <c r="K221" s="40"/>
      <c r="L221" s="40">
        <v>15.8</v>
      </c>
      <c r="M221" s="40">
        <v>8.33</v>
      </c>
      <c r="N221" s="40">
        <v>6.37</v>
      </c>
      <c r="O221" s="40"/>
      <c r="P221" s="40">
        <v>4.1399999999999997</v>
      </c>
      <c r="Q221" s="40"/>
      <c r="R221" s="40"/>
      <c r="S221" s="40"/>
      <c r="T221" s="40"/>
    </row>
    <row r="222" spans="2:20" x14ac:dyDescent="0.25">
      <c r="B222" s="30" t="str">
        <f t="shared" si="17"/>
        <v>UNIPOWER 12 Ah 1,65</v>
      </c>
      <c r="C222" s="37" t="s">
        <v>39</v>
      </c>
      <c r="D222" s="37" t="s">
        <v>22</v>
      </c>
      <c r="E222" s="40">
        <v>1.65</v>
      </c>
      <c r="F222" s="40">
        <v>84.1</v>
      </c>
      <c r="G222" s="40">
        <v>57.7</v>
      </c>
      <c r="H222" s="40">
        <v>46</v>
      </c>
      <c r="I222" s="40"/>
      <c r="J222" s="40">
        <v>26.6</v>
      </c>
      <c r="K222" s="40"/>
      <c r="L222" s="40">
        <v>16</v>
      </c>
      <c r="M222" s="40">
        <v>8.42</v>
      </c>
      <c r="N222" s="40">
        <v>6.44</v>
      </c>
      <c r="O222" s="40"/>
      <c r="P222" s="40">
        <v>4.17</v>
      </c>
      <c r="Q222" s="40"/>
      <c r="R222" s="40"/>
      <c r="S222" s="40"/>
      <c r="T222" s="40"/>
    </row>
    <row r="223" spans="2:20" x14ac:dyDescent="0.25">
      <c r="B223" s="30" t="str">
        <f t="shared" si="17"/>
        <v>UNIPOWER 12 Ah 1,6</v>
      </c>
      <c r="C223" s="37" t="s">
        <v>39</v>
      </c>
      <c r="D223" s="37" t="s">
        <v>22</v>
      </c>
      <c r="E223" s="40">
        <v>1.6</v>
      </c>
      <c r="F223" s="40">
        <v>86.2</v>
      </c>
      <c r="G223" s="40">
        <v>58.7</v>
      </c>
      <c r="H223" s="40">
        <v>46.7</v>
      </c>
      <c r="I223" s="40"/>
      <c r="J223" s="40">
        <v>27</v>
      </c>
      <c r="K223" s="40"/>
      <c r="L223" s="40">
        <v>16.100000000000001</v>
      </c>
      <c r="M223" s="40">
        <v>8.5</v>
      </c>
      <c r="N223" s="40">
        <v>6.5</v>
      </c>
      <c r="O223" s="40"/>
      <c r="P223" s="40">
        <v>4.2</v>
      </c>
      <c r="Q223" s="40"/>
      <c r="R223" s="40"/>
      <c r="S223" s="40"/>
      <c r="T223" s="40"/>
    </row>
    <row r="224" spans="2:20" x14ac:dyDescent="0.25">
      <c r="B224" s="30" t="str">
        <f t="shared" si="17"/>
        <v>UNIPOWER 18 Ah 1,8</v>
      </c>
      <c r="C224" s="5" t="s">
        <v>39</v>
      </c>
      <c r="D224" s="34" t="s">
        <v>23</v>
      </c>
      <c r="E224" s="8">
        <v>1.8</v>
      </c>
      <c r="F224" s="13">
        <v>94</v>
      </c>
      <c r="G224" s="13">
        <v>72.8</v>
      </c>
      <c r="H224" s="13">
        <v>56.5</v>
      </c>
      <c r="I224" s="13"/>
      <c r="J224" s="13">
        <v>33.1</v>
      </c>
      <c r="K224" s="13"/>
      <c r="L224" s="13">
        <v>21.5</v>
      </c>
      <c r="M224" s="13">
        <v>12.5</v>
      </c>
      <c r="N224" s="13">
        <v>8.74</v>
      </c>
      <c r="O224" s="13"/>
      <c r="P224" s="13">
        <v>5.88</v>
      </c>
      <c r="Q224" s="13"/>
      <c r="R224" s="13"/>
      <c r="S224" s="13"/>
      <c r="T224" s="13"/>
    </row>
    <row r="225" spans="2:20" x14ac:dyDescent="0.25">
      <c r="B225" s="30" t="str">
        <f t="shared" si="17"/>
        <v>UNIPOWER 18 Ah 1,75</v>
      </c>
      <c r="C225" s="5" t="s">
        <v>39</v>
      </c>
      <c r="D225" s="5" t="s">
        <v>23</v>
      </c>
      <c r="E225" s="8">
        <v>1.75</v>
      </c>
      <c r="F225" s="13">
        <v>98</v>
      </c>
      <c r="G225" s="13">
        <v>74.3</v>
      </c>
      <c r="H225" s="13">
        <v>57.8</v>
      </c>
      <c r="I225" s="13"/>
      <c r="J225" s="13">
        <v>33.700000000000003</v>
      </c>
      <c r="K225" s="13"/>
      <c r="L225" s="13">
        <v>21.7</v>
      </c>
      <c r="M225" s="13">
        <v>12.7</v>
      </c>
      <c r="N225" s="13">
        <v>8.83</v>
      </c>
      <c r="O225" s="13"/>
      <c r="P225" s="13">
        <v>5.95</v>
      </c>
      <c r="Q225" s="13"/>
      <c r="R225" s="13"/>
      <c r="S225" s="13"/>
      <c r="T225" s="13"/>
    </row>
    <row r="226" spans="2:20" x14ac:dyDescent="0.25">
      <c r="B226" s="30" t="str">
        <f t="shared" si="17"/>
        <v>UNIPOWER 18 Ah 1,7</v>
      </c>
      <c r="C226" s="5" t="s">
        <v>39</v>
      </c>
      <c r="D226" s="5" t="s">
        <v>23</v>
      </c>
      <c r="E226" s="8">
        <v>1.7</v>
      </c>
      <c r="F226" s="13">
        <v>103</v>
      </c>
      <c r="G226" s="13">
        <v>75.8</v>
      </c>
      <c r="H226" s="13">
        <v>59</v>
      </c>
      <c r="I226" s="13"/>
      <c r="J226" s="13">
        <v>34.299999999999997</v>
      </c>
      <c r="K226" s="13"/>
      <c r="L226" s="13">
        <v>22</v>
      </c>
      <c r="M226" s="13">
        <v>12.8</v>
      </c>
      <c r="N226" s="13">
        <v>8.92</v>
      </c>
      <c r="O226" s="13"/>
      <c r="P226" s="13">
        <v>6.01</v>
      </c>
      <c r="Q226" s="13"/>
      <c r="R226" s="13"/>
      <c r="S226" s="13"/>
      <c r="T226" s="13"/>
    </row>
    <row r="227" spans="2:20" x14ac:dyDescent="0.25">
      <c r="B227" s="30" t="str">
        <f t="shared" si="17"/>
        <v>UNIPOWER 18 Ah 1,65</v>
      </c>
      <c r="C227" s="5" t="s">
        <v>39</v>
      </c>
      <c r="D227" s="5" t="s">
        <v>23</v>
      </c>
      <c r="E227" s="8">
        <v>1.65</v>
      </c>
      <c r="F227" s="13">
        <v>107</v>
      </c>
      <c r="G227" s="13">
        <v>77.2</v>
      </c>
      <c r="H227" s="13">
        <v>60.2</v>
      </c>
      <c r="I227" s="13"/>
      <c r="J227" s="13">
        <v>34.799999999999997</v>
      </c>
      <c r="K227" s="13"/>
      <c r="L227" s="13">
        <v>22.2</v>
      </c>
      <c r="M227" s="13">
        <v>12.9</v>
      </c>
      <c r="N227" s="13">
        <v>9.01</v>
      </c>
      <c r="O227" s="13"/>
      <c r="P227" s="13">
        <v>6.07</v>
      </c>
      <c r="Q227" s="13"/>
      <c r="R227" s="13"/>
      <c r="S227" s="13"/>
      <c r="T227" s="13"/>
    </row>
    <row r="228" spans="2:20" x14ac:dyDescent="0.25">
      <c r="B228" s="30" t="str">
        <f t="shared" si="17"/>
        <v>UNIPOWER 18 Ah 1,6</v>
      </c>
      <c r="C228" s="5" t="s">
        <v>39</v>
      </c>
      <c r="D228" s="5" t="s">
        <v>23</v>
      </c>
      <c r="E228" s="8">
        <v>1.6</v>
      </c>
      <c r="F228" s="13">
        <v>111</v>
      </c>
      <c r="G228" s="13">
        <v>78.599999999999994</v>
      </c>
      <c r="H228" s="13">
        <v>61.3</v>
      </c>
      <c r="I228" s="13"/>
      <c r="J228" s="13">
        <v>35.299999999999997</v>
      </c>
      <c r="K228" s="13"/>
      <c r="L228" s="13">
        <v>22.4</v>
      </c>
      <c r="M228" s="13">
        <v>13</v>
      </c>
      <c r="N228" s="13">
        <v>9.09</v>
      </c>
      <c r="O228" s="13"/>
      <c r="P228" s="13">
        <v>6.13</v>
      </c>
      <c r="Q228" s="13"/>
      <c r="R228" s="13"/>
      <c r="S228" s="13"/>
      <c r="T228" s="13"/>
    </row>
    <row r="229" spans="2:20" x14ac:dyDescent="0.25">
      <c r="B229" s="30" t="str">
        <f t="shared" si="17"/>
        <v>UNIPOWER 26 Ah 1,8</v>
      </c>
      <c r="C229" s="37" t="s">
        <v>39</v>
      </c>
      <c r="D229" s="80" t="s">
        <v>24</v>
      </c>
      <c r="E229" s="40">
        <v>1.8</v>
      </c>
      <c r="F229" s="40">
        <v>140.80000000000001</v>
      </c>
      <c r="G229" s="40">
        <v>102.4</v>
      </c>
      <c r="H229" s="40">
        <v>77.400000000000006</v>
      </c>
      <c r="I229" s="40"/>
      <c r="J229" s="40">
        <v>49.2</v>
      </c>
      <c r="K229" s="40"/>
      <c r="L229" s="40">
        <v>28.8</v>
      </c>
      <c r="M229" s="40">
        <v>17</v>
      </c>
      <c r="N229" s="40">
        <v>12.3</v>
      </c>
      <c r="O229" s="40"/>
      <c r="P229" s="40">
        <v>8.5</v>
      </c>
      <c r="Q229" s="40"/>
      <c r="R229" s="40"/>
      <c r="S229" s="40"/>
      <c r="T229" s="40"/>
    </row>
    <row r="230" spans="2:20" x14ac:dyDescent="0.25">
      <c r="B230" s="30" t="str">
        <f t="shared" si="17"/>
        <v>UNIPOWER 26 Ah 1,75</v>
      </c>
      <c r="C230" s="37" t="s">
        <v>39</v>
      </c>
      <c r="D230" s="37" t="s">
        <v>24</v>
      </c>
      <c r="E230" s="40">
        <v>1.75</v>
      </c>
      <c r="F230" s="40">
        <v>146.69999999999999</v>
      </c>
      <c r="G230" s="40">
        <v>105.7</v>
      </c>
      <c r="H230" s="40">
        <v>79.5</v>
      </c>
      <c r="I230" s="40"/>
      <c r="J230" s="40">
        <v>50.3</v>
      </c>
      <c r="K230" s="40"/>
      <c r="L230" s="40">
        <v>29.2</v>
      </c>
      <c r="M230" s="40">
        <v>17.3</v>
      </c>
      <c r="N230" s="40">
        <v>12.5</v>
      </c>
      <c r="O230" s="40"/>
      <c r="P230" s="40">
        <v>8.6</v>
      </c>
      <c r="Q230" s="40"/>
      <c r="R230" s="40"/>
      <c r="S230" s="40"/>
      <c r="T230" s="40"/>
    </row>
    <row r="231" spans="2:20" x14ac:dyDescent="0.25">
      <c r="B231" s="30" t="str">
        <f t="shared" si="17"/>
        <v>UNIPOWER 26 Ah 1,7</v>
      </c>
      <c r="C231" s="37" t="s">
        <v>39</v>
      </c>
      <c r="D231" s="37" t="s">
        <v>24</v>
      </c>
      <c r="E231" s="40">
        <v>1.7</v>
      </c>
      <c r="F231" s="40">
        <v>152.1</v>
      </c>
      <c r="G231" s="40">
        <v>109.2</v>
      </c>
      <c r="H231" s="40">
        <v>81.7</v>
      </c>
      <c r="I231" s="40"/>
      <c r="J231" s="40">
        <v>51.3</v>
      </c>
      <c r="K231" s="40"/>
      <c r="L231" s="40">
        <v>29.7</v>
      </c>
      <c r="M231" s="40">
        <v>17.5</v>
      </c>
      <c r="N231" s="40">
        <v>12.6</v>
      </c>
      <c r="O231" s="40"/>
      <c r="P231" s="40">
        <v>8.6999999999999993</v>
      </c>
      <c r="Q231" s="40"/>
      <c r="R231" s="40"/>
      <c r="S231" s="40"/>
      <c r="T231" s="40"/>
    </row>
    <row r="232" spans="2:20" x14ac:dyDescent="0.25">
      <c r="B232" s="30" t="str">
        <f t="shared" si="17"/>
        <v>UNIPOWER 26 Ah 1,65</v>
      </c>
      <c r="C232" s="37" t="s">
        <v>39</v>
      </c>
      <c r="D232" s="37" t="s">
        <v>24</v>
      </c>
      <c r="E232" s="40">
        <v>1.65</v>
      </c>
      <c r="F232" s="40">
        <v>156.1</v>
      </c>
      <c r="G232" s="40">
        <v>111.7</v>
      </c>
      <c r="H232" s="40">
        <v>83.4</v>
      </c>
      <c r="I232" s="40"/>
      <c r="J232" s="40">
        <v>52.1</v>
      </c>
      <c r="K232" s="40"/>
      <c r="L232" s="40">
        <v>30.1</v>
      </c>
      <c r="M232" s="40">
        <v>17.7</v>
      </c>
      <c r="N232" s="40">
        <v>12.8</v>
      </c>
      <c r="O232" s="40"/>
      <c r="P232" s="40">
        <v>8.76</v>
      </c>
      <c r="Q232" s="40"/>
      <c r="R232" s="40"/>
      <c r="S232" s="40"/>
      <c r="T232" s="40"/>
    </row>
    <row r="233" spans="2:20" x14ac:dyDescent="0.25">
      <c r="B233" s="81" t="str">
        <f t="shared" si="17"/>
        <v>UNIPOWER 26 Ah 1,6</v>
      </c>
      <c r="C233" s="37" t="s">
        <v>39</v>
      </c>
      <c r="D233" s="82" t="s">
        <v>24</v>
      </c>
      <c r="E233" s="40">
        <v>1.6</v>
      </c>
      <c r="F233" s="83">
        <v>162.4</v>
      </c>
      <c r="G233" s="83">
        <v>114.9</v>
      </c>
      <c r="H233" s="83">
        <v>85.7</v>
      </c>
      <c r="I233" s="83"/>
      <c r="J233" s="83">
        <v>53.2</v>
      </c>
      <c r="K233" s="83"/>
      <c r="L233" s="83">
        <v>30.6</v>
      </c>
      <c r="M233" s="83">
        <v>18</v>
      </c>
      <c r="N233" s="83">
        <v>13</v>
      </c>
      <c r="O233" s="83"/>
      <c r="P233" s="83">
        <v>8.8800000000000008</v>
      </c>
      <c r="Q233" s="83"/>
      <c r="R233" s="83"/>
      <c r="S233" s="83"/>
      <c r="T233" s="83"/>
    </row>
    <row r="234" spans="2:20" x14ac:dyDescent="0.25">
      <c r="B234" s="30" t="str">
        <f t="shared" si="17"/>
        <v>UNIPOWER 33 Ah 1,8</v>
      </c>
      <c r="C234" s="5" t="s">
        <v>39</v>
      </c>
      <c r="D234" s="34" t="s">
        <v>25</v>
      </c>
      <c r="E234" s="8">
        <v>1.8</v>
      </c>
      <c r="F234" s="84">
        <v>155</v>
      </c>
      <c r="G234" s="84">
        <v>116</v>
      </c>
      <c r="H234" s="84">
        <v>97.9</v>
      </c>
      <c r="I234" s="84"/>
      <c r="J234" s="84">
        <v>61</v>
      </c>
      <c r="K234" s="84"/>
      <c r="L234" s="84">
        <v>48.8</v>
      </c>
      <c r="M234" s="84">
        <v>21</v>
      </c>
      <c r="N234" s="84">
        <v>15.2</v>
      </c>
      <c r="O234" s="84"/>
      <c r="P234" s="84">
        <v>11</v>
      </c>
      <c r="Q234" s="84"/>
      <c r="R234" s="84"/>
      <c r="S234" s="84"/>
      <c r="T234" s="84"/>
    </row>
    <row r="235" spans="2:20" x14ac:dyDescent="0.25">
      <c r="B235" s="30" t="str">
        <f t="shared" si="17"/>
        <v>UNIPOWER 33 Ah 1,75</v>
      </c>
      <c r="C235" s="5" t="s">
        <v>39</v>
      </c>
      <c r="D235" s="5" t="s">
        <v>25</v>
      </c>
      <c r="E235" s="8">
        <v>1.75</v>
      </c>
      <c r="F235" s="21">
        <v>170</v>
      </c>
      <c r="G235" s="21">
        <v>132</v>
      </c>
      <c r="H235" s="21">
        <v>103</v>
      </c>
      <c r="I235" s="13"/>
      <c r="J235" s="21">
        <v>62.7</v>
      </c>
      <c r="K235" s="13"/>
      <c r="L235" s="21">
        <v>49.1</v>
      </c>
      <c r="M235" s="21">
        <v>21.8</v>
      </c>
      <c r="N235" s="21">
        <v>16</v>
      </c>
      <c r="O235" s="21"/>
      <c r="P235" s="21">
        <v>11.3</v>
      </c>
      <c r="Q235" s="13"/>
      <c r="R235" s="21"/>
      <c r="S235" s="21"/>
      <c r="T235" s="21"/>
    </row>
    <row r="236" spans="2:20" x14ac:dyDescent="0.25">
      <c r="B236" s="30" t="str">
        <f t="shared" si="17"/>
        <v>UNIPOWER 33 Ah 1,7</v>
      </c>
      <c r="C236" s="5" t="s">
        <v>39</v>
      </c>
      <c r="D236" s="5" t="s">
        <v>25</v>
      </c>
      <c r="E236" s="8">
        <v>1.7</v>
      </c>
      <c r="F236" s="21">
        <v>185</v>
      </c>
      <c r="G236" s="21">
        <v>136</v>
      </c>
      <c r="H236" s="21">
        <v>107</v>
      </c>
      <c r="I236" s="13"/>
      <c r="J236" s="21">
        <v>64.5</v>
      </c>
      <c r="K236" s="13"/>
      <c r="L236" s="21">
        <v>51.2</v>
      </c>
      <c r="M236" s="21">
        <v>22.6</v>
      </c>
      <c r="N236" s="21">
        <v>16.8</v>
      </c>
      <c r="O236" s="21"/>
      <c r="P236" s="21">
        <v>11.5</v>
      </c>
      <c r="Q236" s="13"/>
      <c r="R236" s="21"/>
      <c r="S236" s="21"/>
      <c r="T236" s="21"/>
    </row>
    <row r="237" spans="2:20" x14ac:dyDescent="0.25">
      <c r="B237" s="30" t="str">
        <f t="shared" si="17"/>
        <v>UNIPOWER 33 Ah 1,65</v>
      </c>
      <c r="C237" s="5" t="s">
        <v>39</v>
      </c>
      <c r="D237" s="5" t="s">
        <v>25</v>
      </c>
      <c r="E237" s="8">
        <v>1.65</v>
      </c>
      <c r="F237" s="21">
        <v>207</v>
      </c>
      <c r="G237" s="21">
        <v>145</v>
      </c>
      <c r="H237" s="21">
        <v>110</v>
      </c>
      <c r="I237" s="13"/>
      <c r="J237" s="21">
        <v>69.3</v>
      </c>
      <c r="K237" s="13"/>
      <c r="L237" s="21">
        <v>53.2</v>
      </c>
      <c r="M237" s="21">
        <v>23.1</v>
      </c>
      <c r="N237" s="21">
        <v>17.3</v>
      </c>
      <c r="O237" s="21"/>
      <c r="P237" s="21">
        <v>11.9</v>
      </c>
      <c r="Q237" s="13"/>
      <c r="R237" s="21"/>
      <c r="S237" s="21"/>
      <c r="T237" s="21"/>
    </row>
    <row r="238" spans="2:20" x14ac:dyDescent="0.25">
      <c r="B238" s="30" t="str">
        <f t="shared" si="17"/>
        <v>UNIPOWER 33 Ah 1,6</v>
      </c>
      <c r="C238" s="5" t="s">
        <v>39</v>
      </c>
      <c r="D238" s="5" t="s">
        <v>25</v>
      </c>
      <c r="E238" s="8">
        <v>1.6</v>
      </c>
      <c r="F238" s="21">
        <v>215</v>
      </c>
      <c r="G238" s="21">
        <v>150</v>
      </c>
      <c r="H238" s="21">
        <v>117</v>
      </c>
      <c r="I238" s="13"/>
      <c r="J238" s="21">
        <v>72.400000000000006</v>
      </c>
      <c r="K238" s="13"/>
      <c r="L238" s="21">
        <v>53.8</v>
      </c>
      <c r="M238" s="21">
        <v>23.3</v>
      </c>
      <c r="N238" s="21">
        <v>17.399999999999999</v>
      </c>
      <c r="O238" s="21"/>
      <c r="P238" s="21">
        <v>12.2</v>
      </c>
      <c r="Q238" s="13"/>
      <c r="R238" s="21"/>
      <c r="S238" s="21"/>
      <c r="T238" s="21"/>
    </row>
    <row r="239" spans="2:20" x14ac:dyDescent="0.25">
      <c r="B239" s="30" t="str">
        <f t="shared" si="17"/>
        <v>UNIPOWER 45 Ah 1,8</v>
      </c>
      <c r="C239" s="37" t="s">
        <v>39</v>
      </c>
      <c r="D239" s="80" t="s">
        <v>26</v>
      </c>
      <c r="E239" s="40">
        <v>1.8</v>
      </c>
      <c r="F239" s="59">
        <v>203</v>
      </c>
      <c r="G239" s="59">
        <v>153</v>
      </c>
      <c r="H239" s="59">
        <v>103</v>
      </c>
      <c r="I239" s="40"/>
      <c r="J239" s="59">
        <v>80</v>
      </c>
      <c r="K239" s="40"/>
      <c r="L239" s="59">
        <v>52.3</v>
      </c>
      <c r="M239" s="59">
        <v>29.6</v>
      </c>
      <c r="N239" s="59">
        <v>22</v>
      </c>
      <c r="O239" s="59"/>
      <c r="P239" s="59">
        <v>14.2</v>
      </c>
      <c r="Q239" s="40"/>
      <c r="R239" s="59"/>
      <c r="S239" s="59"/>
      <c r="T239" s="59"/>
    </row>
    <row r="240" spans="2:20" x14ac:dyDescent="0.25">
      <c r="B240" s="30" t="str">
        <f t="shared" si="17"/>
        <v>UNIPOWER 45 Ah 1,75</v>
      </c>
      <c r="C240" s="37" t="s">
        <v>39</v>
      </c>
      <c r="D240" s="37" t="s">
        <v>26</v>
      </c>
      <c r="E240" s="40">
        <v>1.75</v>
      </c>
      <c r="F240" s="40">
        <v>212</v>
      </c>
      <c r="G240" s="59">
        <v>156</v>
      </c>
      <c r="H240" s="59">
        <v>127</v>
      </c>
      <c r="I240" s="40"/>
      <c r="J240" s="59">
        <v>81.8</v>
      </c>
      <c r="K240" s="40"/>
      <c r="L240" s="59">
        <v>53.1</v>
      </c>
      <c r="M240" s="59">
        <v>30</v>
      </c>
      <c r="N240" s="59">
        <v>22.3</v>
      </c>
      <c r="O240" s="40"/>
      <c r="P240" s="59">
        <v>14.5</v>
      </c>
      <c r="Q240" s="40"/>
      <c r="R240" s="59"/>
      <c r="S240" s="59"/>
      <c r="T240" s="59"/>
    </row>
    <row r="241" spans="2:20" x14ac:dyDescent="0.25">
      <c r="B241" s="30" t="str">
        <f t="shared" si="17"/>
        <v>UNIPOWER 45 Ah 1,7</v>
      </c>
      <c r="C241" s="37" t="s">
        <v>39</v>
      </c>
      <c r="D241" s="37" t="s">
        <v>26</v>
      </c>
      <c r="E241" s="40">
        <v>1.7</v>
      </c>
      <c r="F241" s="40">
        <v>232</v>
      </c>
      <c r="G241" s="59">
        <v>166</v>
      </c>
      <c r="H241" s="59">
        <v>135</v>
      </c>
      <c r="I241" s="40"/>
      <c r="J241" s="59">
        <v>83.8</v>
      </c>
      <c r="K241" s="40"/>
      <c r="L241" s="59">
        <v>54</v>
      </c>
      <c r="M241" s="59">
        <v>30.4</v>
      </c>
      <c r="N241" s="59">
        <v>22.5</v>
      </c>
      <c r="O241" s="40"/>
      <c r="P241" s="59">
        <v>14.7</v>
      </c>
      <c r="Q241" s="40"/>
      <c r="R241" s="59"/>
      <c r="S241" s="59"/>
      <c r="T241" s="59"/>
    </row>
    <row r="242" spans="2:20" x14ac:dyDescent="0.25">
      <c r="B242" s="30" t="str">
        <f t="shared" si="17"/>
        <v>UNIPOWER 45 Ah 1,65</v>
      </c>
      <c r="C242" s="37" t="s">
        <v>39</v>
      </c>
      <c r="D242" s="37" t="s">
        <v>26</v>
      </c>
      <c r="E242" s="40">
        <v>1.65</v>
      </c>
      <c r="F242" s="40">
        <v>246</v>
      </c>
      <c r="G242" s="59">
        <v>174</v>
      </c>
      <c r="H242" s="59">
        <v>140</v>
      </c>
      <c r="I242" s="40"/>
      <c r="J242" s="59">
        <v>86.9</v>
      </c>
      <c r="K242" s="40"/>
      <c r="L242" s="59">
        <v>54.8</v>
      </c>
      <c r="M242" s="59">
        <v>30.8</v>
      </c>
      <c r="N242" s="59">
        <v>22.8</v>
      </c>
      <c r="O242" s="40"/>
      <c r="P242" s="59">
        <v>14.8</v>
      </c>
      <c r="Q242" s="40"/>
      <c r="R242" s="59"/>
      <c r="S242" s="59"/>
      <c r="T242" s="59"/>
    </row>
    <row r="243" spans="2:20" x14ac:dyDescent="0.25">
      <c r="B243" s="30" t="str">
        <f t="shared" si="17"/>
        <v>UNIPOWER 45 Ah 1,6</v>
      </c>
      <c r="C243" s="37" t="s">
        <v>39</v>
      </c>
      <c r="D243" s="37" t="s">
        <v>26</v>
      </c>
      <c r="E243" s="40">
        <v>1.6</v>
      </c>
      <c r="F243" s="40">
        <v>263</v>
      </c>
      <c r="G243" s="59">
        <v>187</v>
      </c>
      <c r="H243" s="59">
        <v>147</v>
      </c>
      <c r="I243" s="40"/>
      <c r="J243" s="59">
        <v>98.6</v>
      </c>
      <c r="K243" s="40"/>
      <c r="L243" s="59">
        <v>59.2</v>
      </c>
      <c r="M243" s="59">
        <v>33.200000000000003</v>
      </c>
      <c r="N243" s="59">
        <v>24.5</v>
      </c>
      <c r="O243" s="40"/>
      <c r="P243" s="59">
        <v>15.8</v>
      </c>
      <c r="Q243" s="40"/>
      <c r="R243" s="59"/>
      <c r="S243" s="59"/>
      <c r="T243" s="59"/>
    </row>
    <row r="244" spans="2:20" x14ac:dyDescent="0.25">
      <c r="B244" s="30" t="str">
        <f t="shared" si="17"/>
        <v>UNIPOWER 55 Ah 1,8</v>
      </c>
      <c r="C244" s="5" t="s">
        <v>39</v>
      </c>
      <c r="D244" s="34" t="s">
        <v>27</v>
      </c>
      <c r="E244" s="8">
        <v>1.8</v>
      </c>
      <c r="F244" s="21"/>
      <c r="G244" s="21">
        <v>186</v>
      </c>
      <c r="H244" s="21">
        <v>154</v>
      </c>
      <c r="I244" s="33"/>
      <c r="J244" s="21">
        <v>104</v>
      </c>
      <c r="K244" s="33"/>
      <c r="L244" s="21">
        <v>64</v>
      </c>
      <c r="M244" s="21">
        <v>36</v>
      </c>
      <c r="N244" s="21">
        <v>26.7</v>
      </c>
      <c r="O244" s="13"/>
      <c r="P244" s="21">
        <v>17.899999999999999</v>
      </c>
      <c r="Q244" s="13"/>
      <c r="R244" s="21"/>
      <c r="S244" s="21"/>
      <c r="T244" s="21"/>
    </row>
    <row r="245" spans="2:20" x14ac:dyDescent="0.25">
      <c r="B245" s="30" t="str">
        <f t="shared" si="17"/>
        <v>UNIPOWER 55 Ah 1,75</v>
      </c>
      <c r="C245" s="5" t="s">
        <v>39</v>
      </c>
      <c r="D245" s="34" t="s">
        <v>27</v>
      </c>
      <c r="E245" s="8">
        <v>1.75</v>
      </c>
      <c r="F245" s="21"/>
      <c r="G245" s="21">
        <v>200</v>
      </c>
      <c r="H245" s="21">
        <v>162</v>
      </c>
      <c r="I245" s="33"/>
      <c r="J245" s="21">
        <v>105</v>
      </c>
      <c r="K245" s="33"/>
      <c r="L245" s="21">
        <v>64.3</v>
      </c>
      <c r="M245" s="13">
        <v>36.6</v>
      </c>
      <c r="N245" s="21">
        <v>27.3</v>
      </c>
      <c r="O245" s="13"/>
      <c r="P245" s="21">
        <v>18</v>
      </c>
      <c r="Q245" s="13"/>
      <c r="R245" s="13"/>
      <c r="S245" s="21"/>
      <c r="T245" s="21"/>
    </row>
    <row r="246" spans="2:20" x14ac:dyDescent="0.25">
      <c r="B246" s="30" t="str">
        <f>CONCATENATE(C246&amp;" "&amp;D246&amp;" "&amp;E246)</f>
        <v>UNIPOWER 55 Ah 1,7</v>
      </c>
      <c r="C246" s="5" t="s">
        <v>39</v>
      </c>
      <c r="D246" s="34" t="s">
        <v>27</v>
      </c>
      <c r="E246" s="8">
        <v>1.7</v>
      </c>
      <c r="F246" s="21"/>
      <c r="G246" s="21">
        <v>213</v>
      </c>
      <c r="H246" s="21">
        <v>169</v>
      </c>
      <c r="I246" s="33"/>
      <c r="J246" s="21">
        <v>107</v>
      </c>
      <c r="K246" s="33"/>
      <c r="L246" s="21">
        <v>65.8</v>
      </c>
      <c r="M246" s="13">
        <v>37.4</v>
      </c>
      <c r="N246" s="21">
        <v>27.9</v>
      </c>
      <c r="O246" s="13"/>
      <c r="P246" s="21">
        <v>18.2</v>
      </c>
      <c r="Q246" s="13"/>
      <c r="R246" s="13"/>
      <c r="S246" s="21"/>
      <c r="T246" s="21"/>
    </row>
    <row r="247" spans="2:20" x14ac:dyDescent="0.25">
      <c r="B247" s="30" t="str">
        <f>CONCATENATE(C247&amp;" "&amp;D247&amp;" "&amp;E247)</f>
        <v>UNIPOWER 55 Ah 1,65</v>
      </c>
      <c r="C247" s="5" t="s">
        <v>39</v>
      </c>
      <c r="D247" s="34" t="s">
        <v>27</v>
      </c>
      <c r="E247" s="8">
        <v>1.65</v>
      </c>
      <c r="F247" s="21"/>
      <c r="G247" s="21">
        <v>225</v>
      </c>
      <c r="H247" s="21">
        <v>177</v>
      </c>
      <c r="I247" s="33"/>
      <c r="J247" s="21">
        <v>109</v>
      </c>
      <c r="K247" s="33"/>
      <c r="L247" s="21">
        <v>67.3</v>
      </c>
      <c r="M247" s="13">
        <v>38.200000000000003</v>
      </c>
      <c r="N247" s="21">
        <v>28.5</v>
      </c>
      <c r="O247" s="13"/>
      <c r="P247" s="21">
        <v>18.600000000000001</v>
      </c>
      <c r="Q247" s="13"/>
      <c r="R247" s="13"/>
      <c r="S247" s="21"/>
      <c r="T247" s="21"/>
    </row>
    <row r="248" spans="2:20" x14ac:dyDescent="0.25">
      <c r="B248" s="30" t="str">
        <f>CONCATENATE(C248&amp;" "&amp;D248&amp;" "&amp;E248)</f>
        <v>UNIPOWER 55 Ah 1,6</v>
      </c>
      <c r="C248" s="5" t="s">
        <v>39</v>
      </c>
      <c r="D248" s="34" t="s">
        <v>27</v>
      </c>
      <c r="E248" s="8">
        <v>1.6</v>
      </c>
      <c r="F248" s="21"/>
      <c r="G248" s="21">
        <v>229</v>
      </c>
      <c r="H248" s="21">
        <v>182</v>
      </c>
      <c r="I248" s="33"/>
      <c r="J248" s="21">
        <v>111</v>
      </c>
      <c r="K248" s="33"/>
      <c r="L248" s="21">
        <v>68.900000000000006</v>
      </c>
      <c r="M248" s="13">
        <v>39.1</v>
      </c>
      <c r="N248" s="21">
        <v>29.1</v>
      </c>
      <c r="O248" s="13"/>
      <c r="P248" s="21">
        <v>18.8</v>
      </c>
      <c r="Q248" s="13"/>
      <c r="R248" s="13"/>
      <c r="S248" s="21"/>
      <c r="T248" s="21"/>
    </row>
    <row r="249" spans="2:20" x14ac:dyDescent="0.25">
      <c r="B249" s="31" t="str">
        <f t="shared" ref="B249:B256" si="18">CONCATENATE(C249&amp;" "&amp;D249&amp;" "&amp;E249)</f>
        <v>SECPOWER 7 Ah 1,8</v>
      </c>
      <c r="C249" s="37" t="s">
        <v>31</v>
      </c>
      <c r="D249" s="37" t="s">
        <v>20</v>
      </c>
      <c r="E249" s="40">
        <v>1.8</v>
      </c>
      <c r="F249" s="40">
        <f>205.94/6</f>
        <v>34.323333333333331</v>
      </c>
      <c r="G249" s="40">
        <f>170.02/6</f>
        <v>28.33666666666667</v>
      </c>
      <c r="H249" s="40">
        <f>140.24/6</f>
        <v>23.373333333333335</v>
      </c>
      <c r="I249" s="40"/>
      <c r="J249" s="40">
        <f>87.78/6</f>
        <v>14.63</v>
      </c>
      <c r="K249" s="40"/>
      <c r="L249" s="40">
        <f>54.61/6</f>
        <v>9.1016666666666666</v>
      </c>
      <c r="M249" s="40">
        <f>27.7/6</f>
        <v>4.6166666666666663</v>
      </c>
      <c r="N249" s="40">
        <f>20.3/6</f>
        <v>3.3833333333333333</v>
      </c>
      <c r="O249" s="40"/>
      <c r="P249" s="40">
        <f>13.9/6</f>
        <v>2.3166666666666669</v>
      </c>
      <c r="Q249" s="40"/>
      <c r="R249" s="40"/>
      <c r="S249" s="40">
        <f>7.71/6</f>
        <v>1.2849999999999999</v>
      </c>
      <c r="T249" s="40">
        <f>4.15/6</f>
        <v>0.69166666666666676</v>
      </c>
    </row>
    <row r="250" spans="2:20" x14ac:dyDescent="0.25">
      <c r="B250" s="31" t="str">
        <f t="shared" si="18"/>
        <v>SECPOWER 7 Ah 1,75</v>
      </c>
      <c r="C250" s="37" t="s">
        <v>31</v>
      </c>
      <c r="D250" s="37" t="s">
        <v>20</v>
      </c>
      <c r="E250" s="40">
        <v>1.75</v>
      </c>
      <c r="F250" s="40">
        <f>230.45/6</f>
        <v>38.408333333333331</v>
      </c>
      <c r="G250" s="40">
        <f>182.21/6</f>
        <v>30.368333333333336</v>
      </c>
      <c r="H250" s="40">
        <f>146.02/6</f>
        <v>24.33666666666667</v>
      </c>
      <c r="I250" s="40"/>
      <c r="J250" s="40">
        <f>89.75/6</f>
        <v>14.958333333333334</v>
      </c>
      <c r="K250" s="40"/>
      <c r="L250" s="40">
        <f>54.95/6</f>
        <v>9.1583333333333332</v>
      </c>
      <c r="M250" s="40">
        <f>28.4/6</f>
        <v>4.7333333333333334</v>
      </c>
      <c r="N250" s="40">
        <f>20.9/6</f>
        <v>3.4833333333333329</v>
      </c>
      <c r="O250" s="40"/>
      <c r="P250" s="40">
        <f>14.3/6</f>
        <v>2.3833333333333333</v>
      </c>
      <c r="Q250" s="40"/>
      <c r="R250" s="40"/>
      <c r="S250" s="40">
        <f>7.87/6</f>
        <v>1.3116666666666668</v>
      </c>
      <c r="T250" s="40">
        <f>4.23/6</f>
        <v>0.70500000000000007</v>
      </c>
    </row>
    <row r="251" spans="2:20" x14ac:dyDescent="0.25">
      <c r="B251" s="31" t="str">
        <f t="shared" si="18"/>
        <v>SECPOWER 7 Ah 1,7</v>
      </c>
      <c r="C251" s="37" t="s">
        <v>31</v>
      </c>
      <c r="D251" s="37" t="s">
        <v>20</v>
      </c>
      <c r="E251" s="40">
        <v>1.7</v>
      </c>
      <c r="F251" s="40">
        <f>254.62/6</f>
        <v>42.436666666666667</v>
      </c>
      <c r="G251" s="40">
        <f>193.59/6</f>
        <v>32.265000000000001</v>
      </c>
      <c r="H251" s="40">
        <f>152.29/6</f>
        <v>25.381666666666664</v>
      </c>
      <c r="I251" s="40"/>
      <c r="J251" s="40">
        <f>91.3/6</f>
        <v>15.216666666666667</v>
      </c>
      <c r="K251" s="40"/>
      <c r="L251" s="40">
        <f>55.63/6</f>
        <v>9.2716666666666665</v>
      </c>
      <c r="M251" s="40">
        <f>28.9/6</f>
        <v>4.8166666666666664</v>
      </c>
      <c r="N251" s="40">
        <f>21.1/6</f>
        <v>3.5166666666666671</v>
      </c>
      <c r="O251" s="40"/>
      <c r="P251" s="40">
        <f>14.4/6</f>
        <v>2.4</v>
      </c>
      <c r="Q251" s="40"/>
      <c r="R251" s="40"/>
      <c r="S251" s="40">
        <f>7.92/6</f>
        <v>1.32</v>
      </c>
      <c r="T251" s="40">
        <f>4.26/6</f>
        <v>0.71</v>
      </c>
    </row>
    <row r="252" spans="2:20" x14ac:dyDescent="0.25">
      <c r="B252" s="31" t="str">
        <f t="shared" si="18"/>
        <v>SECPOWER 7 Ah 1,65</v>
      </c>
      <c r="C252" s="37" t="s">
        <v>31</v>
      </c>
      <c r="D252" s="37" t="s">
        <v>20</v>
      </c>
      <c r="E252" s="40">
        <v>1.65</v>
      </c>
      <c r="F252" s="40">
        <f>268.91/6</f>
        <v>44.818333333333335</v>
      </c>
      <c r="G252" s="40">
        <f>200.65/6</f>
        <v>33.44166666666667</v>
      </c>
      <c r="H252" s="40">
        <f>156.02/6</f>
        <v>26.003333333333334</v>
      </c>
      <c r="I252" s="40"/>
      <c r="J252" s="40">
        <f>92.1/6</f>
        <v>15.35</v>
      </c>
      <c r="K252" s="40"/>
      <c r="L252" s="40">
        <f>55.97/6</f>
        <v>9.3283333333333331</v>
      </c>
      <c r="M252" s="40">
        <f>29.1/6</f>
        <v>4.8500000000000005</v>
      </c>
      <c r="N252" s="40">
        <f>21.2/6</f>
        <v>3.5333333333333332</v>
      </c>
      <c r="O252" s="40"/>
      <c r="P252" s="40">
        <f>14.5/6</f>
        <v>2.4166666666666665</v>
      </c>
      <c r="Q252" s="40"/>
      <c r="R252" s="40"/>
      <c r="S252" s="40">
        <f>7.95/6</f>
        <v>1.325</v>
      </c>
      <c r="T252" s="40">
        <f>4.28/6</f>
        <v>0.71333333333333337</v>
      </c>
    </row>
    <row r="253" spans="2:20" x14ac:dyDescent="0.25">
      <c r="B253" s="31" t="str">
        <f t="shared" si="18"/>
        <v>SECPOWER 7 Ah 1,6</v>
      </c>
      <c r="C253" s="37" t="s">
        <v>31</v>
      </c>
      <c r="D253" s="37" t="s">
        <v>20</v>
      </c>
      <c r="E253" s="40">
        <v>1.6</v>
      </c>
      <c r="F253" s="40">
        <f>302.96/6</f>
        <v>50.493333333333332</v>
      </c>
      <c r="G253" s="40">
        <f>215.03/6</f>
        <v>35.838333333333331</v>
      </c>
      <c r="H253" s="40">
        <f>164.44/6</f>
        <v>27.406666666666666</v>
      </c>
      <c r="I253" s="40"/>
      <c r="J253" s="40">
        <f>94.06/6</f>
        <v>15.676666666666668</v>
      </c>
      <c r="K253" s="40"/>
      <c r="L253" s="40">
        <f>56.38/6</f>
        <v>9.3966666666666665</v>
      </c>
      <c r="M253" s="40">
        <f>29.3/6</f>
        <v>4.8833333333333337</v>
      </c>
      <c r="N253" s="40">
        <f>21.4/6</f>
        <v>3.5666666666666664</v>
      </c>
      <c r="O253" s="40"/>
      <c r="P253" s="40">
        <f>14.6/6</f>
        <v>2.4333333333333331</v>
      </c>
      <c r="Q253" s="40"/>
      <c r="R253" s="40"/>
      <c r="S253" s="40">
        <f>7.99/6</f>
        <v>1.3316666666666668</v>
      </c>
      <c r="T253" s="40">
        <f>4.29/6</f>
        <v>0.71499999999999997</v>
      </c>
    </row>
    <row r="254" spans="2:20" x14ac:dyDescent="0.25">
      <c r="B254" s="31" t="str">
        <f t="shared" si="18"/>
        <v>SECPOWER 9 Ah 1,8</v>
      </c>
      <c r="C254" s="5" t="s">
        <v>31</v>
      </c>
      <c r="D254" s="5" t="s">
        <v>21</v>
      </c>
      <c r="E254" s="13">
        <v>1.8</v>
      </c>
      <c r="F254" s="13">
        <f>264.93/6</f>
        <v>44.155000000000001</v>
      </c>
      <c r="G254" s="13">
        <f>204.74/6</f>
        <v>34.123333333333335</v>
      </c>
      <c r="H254" s="13">
        <f>168.88/6</f>
        <v>28.146666666666665</v>
      </c>
      <c r="I254" s="84"/>
      <c r="J254" s="13">
        <f>107.08/6</f>
        <v>17.846666666666668</v>
      </c>
      <c r="K254" s="13"/>
      <c r="L254" s="13">
        <f>61.45/6</f>
        <v>10.241666666666667</v>
      </c>
      <c r="M254" s="13">
        <f>35.4/6</f>
        <v>5.8999999999999995</v>
      </c>
      <c r="N254" s="13">
        <f>26/6</f>
        <v>4.333333333333333</v>
      </c>
      <c r="O254" s="13"/>
      <c r="P254" s="13">
        <f>17.7/6</f>
        <v>2.9499999999999997</v>
      </c>
      <c r="Q254" s="13"/>
      <c r="R254" s="13">
        <f>11.5/6</f>
        <v>1.9166666666666667</v>
      </c>
      <c r="S254" s="13">
        <f>9.84/6</f>
        <v>1.64</v>
      </c>
      <c r="T254" s="13">
        <f>5.3/6</f>
        <v>0.8833333333333333</v>
      </c>
    </row>
    <row r="255" spans="2:20" x14ac:dyDescent="0.25">
      <c r="B255" s="31" t="str">
        <f t="shared" si="18"/>
        <v>SECPOWER 9 Ah 1,75</v>
      </c>
      <c r="C255" s="5" t="s">
        <v>31</v>
      </c>
      <c r="D255" s="5" t="s">
        <v>21</v>
      </c>
      <c r="E255" s="13">
        <v>1.75</v>
      </c>
      <c r="F255" s="13">
        <f>296.46/6</f>
        <v>49.41</v>
      </c>
      <c r="G255" s="13">
        <f>219.43/6</f>
        <v>36.571666666666665</v>
      </c>
      <c r="H255" s="13">
        <f>175.84/6</f>
        <v>29.306666666666668</v>
      </c>
      <c r="I255" s="85"/>
      <c r="J255" s="13">
        <f>109.48/6</f>
        <v>18.246666666666666</v>
      </c>
      <c r="K255" s="13"/>
      <c r="L255" s="13">
        <f>61.84/6</f>
        <v>10.306666666666667</v>
      </c>
      <c r="M255" s="13">
        <f>36.3/6</f>
        <v>6.05</v>
      </c>
      <c r="N255" s="13">
        <f>26.7/6</f>
        <v>4.45</v>
      </c>
      <c r="O255" s="36"/>
      <c r="P255" s="13">
        <f>18.3/6</f>
        <v>3.0500000000000003</v>
      </c>
      <c r="Q255" s="36"/>
      <c r="R255" s="13">
        <f>11.8/6</f>
        <v>1.9666666666666668</v>
      </c>
      <c r="S255" s="13">
        <f>10/6</f>
        <v>1.6666666666666667</v>
      </c>
      <c r="T255" s="13">
        <f>5.4/6</f>
        <v>0.9</v>
      </c>
    </row>
    <row r="256" spans="2:20" x14ac:dyDescent="0.25">
      <c r="B256" s="31" t="str">
        <f t="shared" si="18"/>
        <v>SECPOWER 9 Ah 1,7</v>
      </c>
      <c r="C256" s="5" t="s">
        <v>31</v>
      </c>
      <c r="D256" s="5" t="s">
        <v>21</v>
      </c>
      <c r="E256" s="13">
        <v>1.7</v>
      </c>
      <c r="F256" s="13">
        <f>327.55/6</f>
        <v>54.591666666666669</v>
      </c>
      <c r="G256" s="13">
        <f>233.12/6</f>
        <v>38.853333333333332</v>
      </c>
      <c r="H256" s="13">
        <f>183.38/6</f>
        <v>30.563333333333333</v>
      </c>
      <c r="I256" s="33"/>
      <c r="J256" s="13">
        <f>111.37/6</f>
        <v>18.561666666666667</v>
      </c>
      <c r="K256" s="13"/>
      <c r="L256" s="13">
        <f>62.6/6</f>
        <v>10.433333333333334</v>
      </c>
      <c r="M256" s="13">
        <f>36.9/6</f>
        <v>6.1499999999999995</v>
      </c>
      <c r="N256" s="13">
        <f>26.9/6</f>
        <v>4.4833333333333334</v>
      </c>
      <c r="O256" s="33"/>
      <c r="P256" s="13">
        <f>18.4/6</f>
        <v>3.0666666666666664</v>
      </c>
      <c r="Q256" s="33"/>
      <c r="R256" s="13">
        <f>12/6</f>
        <v>2</v>
      </c>
      <c r="S256" s="13">
        <f>10.1/6</f>
        <v>1.6833333333333333</v>
      </c>
      <c r="T256" s="13">
        <f>5.43/6</f>
        <v>0.90499999999999992</v>
      </c>
    </row>
    <row r="257" spans="2:20" x14ac:dyDescent="0.25">
      <c r="B257" s="31" t="str">
        <f>CONCATENATE(C257&amp;" "&amp;D257&amp;" "&amp;E257)</f>
        <v>SECPOWER 9 Ah 1,65</v>
      </c>
      <c r="C257" s="5" t="s">
        <v>31</v>
      </c>
      <c r="D257" s="5" t="s">
        <v>21</v>
      </c>
      <c r="E257" s="13">
        <v>1.65</v>
      </c>
      <c r="F257" s="13">
        <f>345.95/6</f>
        <v>57.658333333333331</v>
      </c>
      <c r="G257" s="13">
        <f>241.62/6</f>
        <v>40.270000000000003</v>
      </c>
      <c r="H257" s="13">
        <f>187.88/6</f>
        <v>31.313333333333333</v>
      </c>
      <c r="I257" s="34"/>
      <c r="J257" s="13">
        <f>112.34/6</f>
        <v>18.723333333333333</v>
      </c>
      <c r="K257" s="13"/>
      <c r="L257" s="13">
        <f>62.99/6</f>
        <v>10.498333333333333</v>
      </c>
      <c r="M257" s="13">
        <f>37.2/6</f>
        <v>6.2</v>
      </c>
      <c r="N257" s="13">
        <f>27.1/6</f>
        <v>4.5166666666666666</v>
      </c>
      <c r="O257" s="35"/>
      <c r="P257" s="13">
        <f>18.6/6</f>
        <v>3.1</v>
      </c>
      <c r="Q257" s="35"/>
      <c r="R257" s="13">
        <f>12.1/6</f>
        <v>2.0166666666666666</v>
      </c>
      <c r="S257" s="13">
        <f>10.2/6</f>
        <v>1.7</v>
      </c>
      <c r="T257" s="13">
        <f>5.46/6</f>
        <v>0.91</v>
      </c>
    </row>
    <row r="258" spans="2:20" x14ac:dyDescent="0.25">
      <c r="B258" s="31" t="str">
        <f t="shared" ref="B258:B288" si="19">CONCATENATE(C258&amp;" "&amp;D258&amp;" "&amp;E258)</f>
        <v>SECPOWER 9 Ah 1,6</v>
      </c>
      <c r="C258" s="5" t="s">
        <v>31</v>
      </c>
      <c r="D258" s="5" t="s">
        <v>21</v>
      </c>
      <c r="E258" s="13">
        <v>1.6</v>
      </c>
      <c r="F258" s="13">
        <f>389.74/6</f>
        <v>64.956666666666663</v>
      </c>
      <c r="G258" s="13">
        <f>258.94/6</f>
        <v>43.156666666666666</v>
      </c>
      <c r="H258" s="13">
        <f>198.02/6</f>
        <v>33.003333333333337</v>
      </c>
      <c r="I258" s="86"/>
      <c r="J258" s="13">
        <f>114.74/6</f>
        <v>19.123333333333331</v>
      </c>
      <c r="K258" s="13"/>
      <c r="L258" s="13">
        <f>63.44/6</f>
        <v>10.573333333333332</v>
      </c>
      <c r="M258" s="13">
        <f>37.5/6</f>
        <v>6.25</v>
      </c>
      <c r="N258" s="13">
        <f>27.3/6</f>
        <v>4.55</v>
      </c>
      <c r="O258" s="13"/>
      <c r="P258" s="13">
        <f>18.6/6</f>
        <v>3.1</v>
      </c>
      <c r="Q258" s="13"/>
      <c r="R258" s="13">
        <f>12.1/6</f>
        <v>2.0166666666666666</v>
      </c>
      <c r="S258" s="13">
        <f>10.2/6</f>
        <v>1.7</v>
      </c>
      <c r="T258" s="13">
        <f>5.49/6</f>
        <v>0.91500000000000004</v>
      </c>
    </row>
    <row r="259" spans="2:20" x14ac:dyDescent="0.25">
      <c r="B259" s="31" t="str">
        <f t="shared" si="19"/>
        <v>SECPOWER 12 Ah 1,8</v>
      </c>
      <c r="C259" s="37" t="s">
        <v>31</v>
      </c>
      <c r="D259" s="37" t="s">
        <v>22</v>
      </c>
      <c r="E259" s="40">
        <v>1.8</v>
      </c>
      <c r="F259" s="40">
        <f>329.66/6</f>
        <v>54.943333333333335</v>
      </c>
      <c r="G259" s="40">
        <f>257.42/6</f>
        <v>42.903333333333336</v>
      </c>
      <c r="H259" s="40">
        <f>212.34/6</f>
        <v>35.39</v>
      </c>
      <c r="I259" s="87"/>
      <c r="J259" s="40">
        <f>142.77/6</f>
        <v>23.795000000000002</v>
      </c>
      <c r="K259" s="40"/>
      <c r="L259" s="40">
        <f>86.38/6</f>
        <v>14.396666666666667</v>
      </c>
      <c r="M259" s="40">
        <f>39.3/6</f>
        <v>6.55</v>
      </c>
      <c r="N259" s="40">
        <f>28.8/6</f>
        <v>4.8</v>
      </c>
      <c r="O259" s="40"/>
      <c r="P259" s="40">
        <f>19.7/6</f>
        <v>3.2833333333333332</v>
      </c>
      <c r="Q259" s="40"/>
      <c r="R259" s="40">
        <f>12.8/6</f>
        <v>2.1333333333333333</v>
      </c>
      <c r="S259" s="40">
        <f>10.9/6</f>
        <v>1.8166666666666667</v>
      </c>
      <c r="T259" s="40">
        <f>5.88/6</f>
        <v>0.98</v>
      </c>
    </row>
    <row r="260" spans="2:20" x14ac:dyDescent="0.25">
      <c r="B260" s="31" t="str">
        <f t="shared" si="19"/>
        <v>SECPOWER 12 Ah 1,75</v>
      </c>
      <c r="C260" s="37" t="s">
        <v>31</v>
      </c>
      <c r="D260" s="37" t="s">
        <v>22</v>
      </c>
      <c r="E260" s="40">
        <v>1.75</v>
      </c>
      <c r="F260" s="40">
        <f>368.89/6</f>
        <v>61.481666666666662</v>
      </c>
      <c r="G260" s="40">
        <f>275.89/6</f>
        <v>45.981666666666662</v>
      </c>
      <c r="H260" s="40">
        <f>221.09/6</f>
        <v>36.848333333333336</v>
      </c>
      <c r="I260" s="40"/>
      <c r="J260" s="40">
        <f>145.98/6</f>
        <v>24.33</v>
      </c>
      <c r="K260" s="40"/>
      <c r="L260" s="40">
        <f>86.92/6</f>
        <v>14.486666666666666</v>
      </c>
      <c r="M260" s="40">
        <f>40.3/6</f>
        <v>6.7166666666666659</v>
      </c>
      <c r="N260" s="40">
        <f>29.7/6</f>
        <v>4.95</v>
      </c>
      <c r="O260" s="40"/>
      <c r="P260" s="40">
        <f>20.3/6</f>
        <v>3.3833333333333333</v>
      </c>
      <c r="Q260" s="40"/>
      <c r="R260" s="40">
        <f>13.2/6</f>
        <v>2.1999999999999997</v>
      </c>
      <c r="S260" s="40">
        <f>11.2/6</f>
        <v>1.8666666666666665</v>
      </c>
      <c r="T260" s="40">
        <f>6/6</f>
        <v>1</v>
      </c>
    </row>
    <row r="261" spans="2:20" x14ac:dyDescent="0.25">
      <c r="B261" s="31" t="str">
        <f t="shared" si="19"/>
        <v>SECPOWER 12 Ah 1,7</v>
      </c>
      <c r="C261" s="37" t="s">
        <v>31</v>
      </c>
      <c r="D261" s="37" t="s">
        <v>22</v>
      </c>
      <c r="E261" s="40">
        <v>1.7</v>
      </c>
      <c r="F261" s="40">
        <f>407.57/6</f>
        <v>67.928333333333327</v>
      </c>
      <c r="G261" s="40">
        <f>293.11/6</f>
        <v>48.851666666666667</v>
      </c>
      <c r="H261" s="40">
        <f>230.57/6</f>
        <v>38.428333333333335</v>
      </c>
      <c r="I261" s="40"/>
      <c r="J261" s="40">
        <f>148.49/6</f>
        <v>24.748333333333335</v>
      </c>
      <c r="K261" s="40"/>
      <c r="L261" s="40">
        <f>88/6</f>
        <v>14.666666666666666</v>
      </c>
      <c r="M261" s="40">
        <f>41/6</f>
        <v>6.833333333333333</v>
      </c>
      <c r="N261" s="40">
        <f>29.9/6</f>
        <v>4.9833333333333334</v>
      </c>
      <c r="O261" s="40"/>
      <c r="P261" s="40">
        <f>20.4/6</f>
        <v>3.4</v>
      </c>
      <c r="Q261" s="40"/>
      <c r="R261" s="40">
        <f>13.3/6</f>
        <v>2.2166666666666668</v>
      </c>
      <c r="S261" s="40">
        <f>11.2/6</f>
        <v>1.8666666666666665</v>
      </c>
      <c r="T261" s="40">
        <f>6.04/6</f>
        <v>1.0066666666666666</v>
      </c>
    </row>
    <row r="262" spans="2:20" x14ac:dyDescent="0.25">
      <c r="B262" s="31" t="str">
        <f t="shared" si="19"/>
        <v>SECPOWER 12 Ah 1,65</v>
      </c>
      <c r="C262" s="37" t="s">
        <v>31</v>
      </c>
      <c r="D262" s="37" t="s">
        <v>22</v>
      </c>
      <c r="E262" s="40">
        <v>1.65</v>
      </c>
      <c r="F262" s="40">
        <f>430.46/6</f>
        <v>71.743333333333325</v>
      </c>
      <c r="G262" s="40">
        <f>303.79/6</f>
        <v>50.631666666666668</v>
      </c>
      <c r="H262" s="40">
        <f>236.22/6</f>
        <v>39.369999999999997</v>
      </c>
      <c r="I262" s="40"/>
      <c r="J262" s="40">
        <f>149.79/6</f>
        <v>24.965</v>
      </c>
      <c r="K262" s="40"/>
      <c r="L262" s="40">
        <f>88.54/6</f>
        <v>14.756666666666668</v>
      </c>
      <c r="M262" s="40">
        <f>41.3/6</f>
        <v>6.8833333333333329</v>
      </c>
      <c r="N262" s="40">
        <f>30.1/6</f>
        <v>5.0166666666666666</v>
      </c>
      <c r="O262" s="40"/>
      <c r="P262" s="40">
        <f>20.6/6</f>
        <v>3.4333333333333336</v>
      </c>
      <c r="Q262" s="40"/>
      <c r="R262" s="40">
        <f>13.4/6</f>
        <v>2.2333333333333334</v>
      </c>
      <c r="S262" s="40">
        <f>11.3/6</f>
        <v>1.8833333333333335</v>
      </c>
      <c r="T262" s="40">
        <f>6.07/6</f>
        <v>1.0116666666666667</v>
      </c>
    </row>
    <row r="263" spans="2:20" x14ac:dyDescent="0.25">
      <c r="B263" s="31" t="str">
        <f t="shared" si="19"/>
        <v>SECPOWER 12 Ah 1,6</v>
      </c>
      <c r="C263" s="37" t="s">
        <v>31</v>
      </c>
      <c r="D263" s="37" t="s">
        <v>22</v>
      </c>
      <c r="E263" s="40">
        <v>1.6</v>
      </c>
      <c r="F263" s="40">
        <f>484.95/6</f>
        <v>80.825000000000003</v>
      </c>
      <c r="G263" s="40">
        <f>325.57/6</f>
        <v>54.261666666666663</v>
      </c>
      <c r="H263" s="40">
        <f>248.97/6</f>
        <v>41.494999999999997</v>
      </c>
      <c r="I263" s="40"/>
      <c r="J263" s="40">
        <f>152.99/6</f>
        <v>25.498333333333335</v>
      </c>
      <c r="K263" s="40"/>
      <c r="L263" s="40">
        <f>89.18/6</f>
        <v>14.863333333333335</v>
      </c>
      <c r="M263" s="40">
        <f>41.6/6</f>
        <v>6.9333333333333336</v>
      </c>
      <c r="N263" s="40">
        <f>30.3/6</f>
        <v>5.05</v>
      </c>
      <c r="O263" s="40"/>
      <c r="P263" s="40">
        <f>20.7/6</f>
        <v>3.4499999999999997</v>
      </c>
      <c r="Q263" s="40"/>
      <c r="R263" s="40">
        <f>13.5/6</f>
        <v>2.25</v>
      </c>
      <c r="S263" s="40">
        <f>11.3/6</f>
        <v>1.8833333333333335</v>
      </c>
      <c r="T263" s="40">
        <f>6.09/6</f>
        <v>1.0149999999999999</v>
      </c>
    </row>
    <row r="264" spans="2:20" x14ac:dyDescent="0.25">
      <c r="B264" s="31" t="str">
        <f t="shared" si="19"/>
        <v>SECPOWER 18 Ah 1,8</v>
      </c>
      <c r="C264" s="5" t="s">
        <v>31</v>
      </c>
      <c r="D264" s="5" t="s">
        <v>23</v>
      </c>
      <c r="E264" s="13">
        <v>1.8</v>
      </c>
      <c r="F264" s="13">
        <f>476/6</f>
        <v>79.333333333333329</v>
      </c>
      <c r="G264" s="13">
        <f>402.29/6</f>
        <v>67.048333333333332</v>
      </c>
      <c r="H264" s="13">
        <f>331.84/6</f>
        <v>55.306666666666665</v>
      </c>
      <c r="I264" s="13"/>
      <c r="J264" s="13">
        <f>208.58/6</f>
        <v>34.763333333333335</v>
      </c>
      <c r="K264" s="13"/>
      <c r="L264" s="13">
        <f>136.23/6</f>
        <v>22.704999999999998</v>
      </c>
      <c r="M264" s="13">
        <f>70.8/6</f>
        <v>11.799999999999999</v>
      </c>
      <c r="N264" s="13">
        <f>51.9/6</f>
        <v>8.65</v>
      </c>
      <c r="O264" s="13"/>
      <c r="P264" s="13">
        <f>35.4/6</f>
        <v>5.8999999999999995</v>
      </c>
      <c r="Q264" s="13"/>
      <c r="R264" s="13">
        <f>23/6</f>
        <v>3.8333333333333335</v>
      </c>
      <c r="S264" s="13">
        <f>19.7/6</f>
        <v>3.2833333333333332</v>
      </c>
      <c r="T264" s="13">
        <f>10.6/6</f>
        <v>1.7666666666666666</v>
      </c>
    </row>
    <row r="265" spans="2:20" x14ac:dyDescent="0.25">
      <c r="B265" s="31" t="str">
        <f t="shared" si="19"/>
        <v>SECPOWER 18 Ah 1,75</v>
      </c>
      <c r="C265" s="5" t="s">
        <v>31</v>
      </c>
      <c r="D265" s="5" t="s">
        <v>23</v>
      </c>
      <c r="E265" s="13">
        <v>1.75</v>
      </c>
      <c r="F265" s="13">
        <f>532.65/6</f>
        <v>88.774999999999991</v>
      </c>
      <c r="G265" s="13">
        <f>431.16/6</f>
        <v>71.86</v>
      </c>
      <c r="H265" s="13">
        <f>345.52/6</f>
        <v>57.586666666666666</v>
      </c>
      <c r="I265" s="13"/>
      <c r="J265" s="13">
        <f>213.26/6</f>
        <v>35.543333333333329</v>
      </c>
      <c r="K265" s="13"/>
      <c r="L265" s="13">
        <f>137.08/6</f>
        <v>22.846666666666668</v>
      </c>
      <c r="M265" s="13">
        <f>72.6/6</f>
        <v>12.1</v>
      </c>
      <c r="N265" s="13">
        <f>53.5/6</f>
        <v>8.9166666666666661</v>
      </c>
      <c r="O265" s="13"/>
      <c r="P265" s="13">
        <f>36.5/6</f>
        <v>6.083333333333333</v>
      </c>
      <c r="Q265" s="13"/>
      <c r="R265" s="13">
        <f>23.8/6</f>
        <v>3.9666666666666668</v>
      </c>
      <c r="S265" s="13">
        <f>20.1/6</f>
        <v>3.35</v>
      </c>
      <c r="T265" s="13">
        <f>10.8/6</f>
        <v>1.8</v>
      </c>
    </row>
    <row r="266" spans="2:20" x14ac:dyDescent="0.25">
      <c r="B266" s="31" t="str">
        <f t="shared" si="19"/>
        <v>SECPOWER 18 Ah 1,7</v>
      </c>
      <c r="C266" s="5" t="s">
        <v>31</v>
      </c>
      <c r="D266" s="5" t="s">
        <v>23</v>
      </c>
      <c r="E266" s="13">
        <v>1.7</v>
      </c>
      <c r="F266" s="13">
        <f>588.52/6</f>
        <v>98.086666666666659</v>
      </c>
      <c r="G266" s="13">
        <f>458.06/6</f>
        <v>76.343333333333334</v>
      </c>
      <c r="H266" s="13">
        <f>360.34/6</f>
        <v>60.056666666666665</v>
      </c>
      <c r="I266" s="13"/>
      <c r="J266" s="13">
        <f>216.93/6</f>
        <v>36.155000000000001</v>
      </c>
      <c r="K266" s="13"/>
      <c r="L266" s="13">
        <f>138.79/6</f>
        <v>23.131666666666664</v>
      </c>
      <c r="M266" s="13">
        <f>73.7/6</f>
        <v>12.283333333333333</v>
      </c>
      <c r="N266" s="13">
        <f>53.8/6</f>
        <v>8.9666666666666668</v>
      </c>
      <c r="O266" s="13"/>
      <c r="P266" s="13">
        <f>36.8/6</f>
        <v>6.1333333333333329</v>
      </c>
      <c r="Q266" s="13"/>
      <c r="R266" s="13">
        <f>23.9/6</f>
        <v>3.9833333333333329</v>
      </c>
      <c r="S266" s="13">
        <f>20.2/6</f>
        <v>3.3666666666666667</v>
      </c>
      <c r="T266" s="13">
        <f>10.9/6</f>
        <v>1.8166666666666667</v>
      </c>
    </row>
    <row r="267" spans="2:20" x14ac:dyDescent="0.25">
      <c r="B267" s="31" t="str">
        <f t="shared" si="19"/>
        <v>SECPOWER 18 Ah 1,65</v>
      </c>
      <c r="C267" s="5" t="s">
        <v>31</v>
      </c>
      <c r="D267" s="5" t="s">
        <v>23</v>
      </c>
      <c r="E267" s="13">
        <v>1.65</v>
      </c>
      <c r="F267" s="13">
        <f>621.56/6</f>
        <v>103.59333333333332</v>
      </c>
      <c r="G267" s="13">
        <f>474.76/6</f>
        <v>79.126666666666665</v>
      </c>
      <c r="H267" s="13">
        <f>369.16/6</f>
        <v>61.526666666666671</v>
      </c>
      <c r="I267" s="13"/>
      <c r="J267" s="13">
        <f>218.84/6</f>
        <v>36.473333333333336</v>
      </c>
      <c r="K267" s="13"/>
      <c r="L267" s="13">
        <f>139.64/6</f>
        <v>23.27333333333333</v>
      </c>
      <c r="M267" s="13">
        <f>74.4/6</f>
        <v>12.4</v>
      </c>
      <c r="N267" s="13">
        <f>54.2/6</f>
        <v>9.0333333333333332</v>
      </c>
      <c r="O267" s="13"/>
      <c r="P267" s="13">
        <f>37/6</f>
        <v>6.166666666666667</v>
      </c>
      <c r="Q267" s="13"/>
      <c r="R267" s="13">
        <f>24.1/6</f>
        <v>4.0166666666666666</v>
      </c>
      <c r="S267" s="13">
        <f>20.3/6</f>
        <v>3.3833333333333333</v>
      </c>
      <c r="T267" s="13">
        <f>10.9/6</f>
        <v>1.8166666666666667</v>
      </c>
    </row>
    <row r="268" spans="2:20" x14ac:dyDescent="0.25">
      <c r="B268" s="31" t="str">
        <f t="shared" si="19"/>
        <v>SECPOWER 18 Ah 1,6</v>
      </c>
      <c r="C268" s="5" t="s">
        <v>31</v>
      </c>
      <c r="D268" s="5" t="s">
        <v>23</v>
      </c>
      <c r="E268" s="13">
        <v>1.6</v>
      </c>
      <c r="F268" s="13">
        <f>700.24/6</f>
        <v>116.70666666666666</v>
      </c>
      <c r="G268" s="13">
        <f>508.8/6</f>
        <v>84.8</v>
      </c>
      <c r="H268" s="13">
        <f>389.09/6</f>
        <v>64.848333333333329</v>
      </c>
      <c r="I268" s="13"/>
      <c r="J268" s="13">
        <f>223.5/6</f>
        <v>37.25</v>
      </c>
      <c r="K268" s="13"/>
      <c r="L268" s="13">
        <f>140.65/6</f>
        <v>23.441666666666666</v>
      </c>
      <c r="M268" s="13">
        <f>74.8/6</f>
        <v>12.466666666666667</v>
      </c>
      <c r="N268" s="13">
        <f>54.5/6</f>
        <v>9.0833333333333339</v>
      </c>
      <c r="O268" s="13"/>
      <c r="P268" s="13">
        <f>37.3/6</f>
        <v>6.2166666666666659</v>
      </c>
      <c r="Q268" s="13"/>
      <c r="R268" s="13">
        <f>24.2/6</f>
        <v>4.0333333333333332</v>
      </c>
      <c r="S268" s="13">
        <f>20.4/6</f>
        <v>3.4</v>
      </c>
      <c r="T268" s="13">
        <f>11/6</f>
        <v>1.8333333333333333</v>
      </c>
    </row>
    <row r="269" spans="2:20" x14ac:dyDescent="0.25">
      <c r="B269" s="31" t="str">
        <f t="shared" si="19"/>
        <v>SECPOWER 26 Ah 1,8</v>
      </c>
      <c r="C269" s="37" t="s">
        <v>31</v>
      </c>
      <c r="D269" s="37" t="s">
        <v>24</v>
      </c>
      <c r="E269" s="40">
        <v>1.8</v>
      </c>
      <c r="F269" s="40">
        <f>686.47/6</f>
        <v>114.41166666666668</v>
      </c>
      <c r="G269" s="40">
        <f>529.21/6</f>
        <v>88.201666666666668</v>
      </c>
      <c r="H269" s="40">
        <f>436.53/6</f>
        <v>72.754999999999995</v>
      </c>
      <c r="I269" s="40"/>
      <c r="J269" s="40">
        <f>290/6</f>
        <v>48.333333333333336</v>
      </c>
      <c r="K269" s="40"/>
      <c r="L269" s="40">
        <f>166.96/6</f>
        <v>27.826666666666668</v>
      </c>
      <c r="M269" s="40">
        <f>102/6</f>
        <v>17</v>
      </c>
      <c r="N269" s="40">
        <f>74.9/6</f>
        <v>12.483333333333334</v>
      </c>
      <c r="O269" s="40"/>
      <c r="P269" s="40">
        <f>51.2/6</f>
        <v>8.5333333333333332</v>
      </c>
      <c r="Q269" s="40"/>
      <c r="R269" s="40">
        <f>33.3/6</f>
        <v>5.55</v>
      </c>
      <c r="S269" s="40">
        <f>28.4/6</f>
        <v>4.7333333333333334</v>
      </c>
      <c r="T269" s="40">
        <f>15.3/6</f>
        <v>2.5500000000000003</v>
      </c>
    </row>
    <row r="270" spans="2:20" x14ac:dyDescent="0.25">
      <c r="B270" s="31" t="str">
        <f t="shared" si="19"/>
        <v>SECPOWER 26 Ah 1,75</v>
      </c>
      <c r="C270" s="37" t="s">
        <v>31</v>
      </c>
      <c r="D270" s="37" t="s">
        <v>24</v>
      </c>
      <c r="E270" s="40">
        <v>1.75</v>
      </c>
      <c r="F270" s="40">
        <f>768.17/6</f>
        <v>128.02833333333334</v>
      </c>
      <c r="G270" s="40">
        <f>567.18/6</f>
        <v>94.529999999999987</v>
      </c>
      <c r="H270" s="40">
        <f>454.51/6</f>
        <v>75.751666666666665</v>
      </c>
      <c r="I270" s="40"/>
      <c r="J270" s="40">
        <f>296.52/6</f>
        <v>49.419999999999995</v>
      </c>
      <c r="K270" s="40"/>
      <c r="L270" s="40">
        <f>168/6</f>
        <v>28</v>
      </c>
      <c r="M270" s="40">
        <f>105/6</f>
        <v>17.5</v>
      </c>
      <c r="N270" s="40">
        <f>77.2/6</f>
        <v>12.866666666666667</v>
      </c>
      <c r="O270" s="40"/>
      <c r="P270" s="40">
        <f>52.8/6</f>
        <v>8.7999999999999989</v>
      </c>
      <c r="Q270" s="40"/>
      <c r="R270" s="40">
        <f>34.3/6</f>
        <v>5.7166666666666659</v>
      </c>
      <c r="S270" s="40">
        <f>29/6</f>
        <v>4.833333333333333</v>
      </c>
      <c r="T270" s="40">
        <f>15.6/6</f>
        <v>2.6</v>
      </c>
    </row>
    <row r="271" spans="2:20" x14ac:dyDescent="0.25">
      <c r="B271" s="31" t="str">
        <f t="shared" si="19"/>
        <v>SECPOWER 26 Ah 1,7</v>
      </c>
      <c r="C271" s="37" t="s">
        <v>31</v>
      </c>
      <c r="D271" s="37" t="s">
        <v>24</v>
      </c>
      <c r="E271" s="40">
        <v>1.7</v>
      </c>
      <c r="F271" s="40">
        <f>848.73/6</f>
        <v>141.45500000000001</v>
      </c>
      <c r="G271" s="40">
        <f>602.57/6</f>
        <v>100.42833333333334</v>
      </c>
      <c r="H271" s="40">
        <f>474.02/6</f>
        <v>79.00333333333333</v>
      </c>
      <c r="I271" s="40"/>
      <c r="J271" s="40">
        <f>301.61/6</f>
        <v>50.268333333333338</v>
      </c>
      <c r="K271" s="40"/>
      <c r="L271" s="40">
        <f>170.09/6</f>
        <v>28.348333333333333</v>
      </c>
      <c r="M271" s="40">
        <f>106/6</f>
        <v>17.666666666666668</v>
      </c>
      <c r="N271" s="40">
        <f>77.8/6</f>
        <v>12.966666666666667</v>
      </c>
      <c r="O271" s="40"/>
      <c r="P271" s="40">
        <f>53.1/6</f>
        <v>8.85</v>
      </c>
      <c r="Q271" s="40"/>
      <c r="R271" s="40">
        <f>34.6/6</f>
        <v>5.7666666666666666</v>
      </c>
      <c r="S271" s="40">
        <f>29.2/6</f>
        <v>4.8666666666666663</v>
      </c>
      <c r="T271" s="40">
        <f>15.7/6</f>
        <v>2.6166666666666667</v>
      </c>
    </row>
    <row r="272" spans="2:20" x14ac:dyDescent="0.25">
      <c r="B272" s="31" t="str">
        <f t="shared" si="19"/>
        <v>SECPOWER 26 Ah 1,65</v>
      </c>
      <c r="C272" s="37" t="s">
        <v>31</v>
      </c>
      <c r="D272" s="37" t="s">
        <v>24</v>
      </c>
      <c r="E272" s="40">
        <v>1.65</v>
      </c>
      <c r="F272" s="40">
        <f>896.38/6</f>
        <v>149.39666666666668</v>
      </c>
      <c r="G272" s="40">
        <f>624.54/6</f>
        <v>104.08999999999999</v>
      </c>
      <c r="H272" s="40">
        <f>485.63/6</f>
        <v>80.938333333333333</v>
      </c>
      <c r="I272" s="40"/>
      <c r="J272" s="40">
        <f>304.27/6</f>
        <v>50.711666666666666</v>
      </c>
      <c r="K272" s="40"/>
      <c r="L272" s="40">
        <f>171.13/6</f>
        <v>28.521666666666665</v>
      </c>
      <c r="M272" s="40">
        <f>107/6</f>
        <v>17.833333333333332</v>
      </c>
      <c r="N272" s="40">
        <f>78.3/6</f>
        <v>13.049999999999999</v>
      </c>
      <c r="O272" s="40"/>
      <c r="P272" s="40">
        <f>53.5/6</f>
        <v>8.9166666666666661</v>
      </c>
      <c r="Q272" s="40"/>
      <c r="R272" s="40">
        <f>34.8/6</f>
        <v>5.8</v>
      </c>
      <c r="S272" s="40">
        <f>29.3/6</f>
        <v>4.8833333333333337</v>
      </c>
      <c r="T272" s="40">
        <f>15.8/6</f>
        <v>2.6333333333333333</v>
      </c>
    </row>
    <row r="273" spans="2:20" x14ac:dyDescent="0.25">
      <c r="B273" s="88" t="str">
        <f t="shared" si="19"/>
        <v>SECPOWER 26 Ah 1,6</v>
      </c>
      <c r="C273" s="82" t="s">
        <v>31</v>
      </c>
      <c r="D273" s="82" t="s">
        <v>24</v>
      </c>
      <c r="E273" s="83">
        <v>1.6</v>
      </c>
      <c r="F273" s="83">
        <f>1009.85/6</f>
        <v>168.30833333333334</v>
      </c>
      <c r="G273" s="83">
        <f>669.3/6</f>
        <v>111.55</v>
      </c>
      <c r="H273" s="83">
        <f>551.84/6</f>
        <v>91.973333333333343</v>
      </c>
      <c r="I273" s="83"/>
      <c r="J273" s="83">
        <f>310.75/6</f>
        <v>51.791666666666664</v>
      </c>
      <c r="K273" s="83"/>
      <c r="L273" s="83">
        <f>172.37/6</f>
        <v>28.728333333333335</v>
      </c>
      <c r="M273" s="83">
        <f>108/6</f>
        <v>18</v>
      </c>
      <c r="N273" s="83">
        <f>78.8/6</f>
        <v>13.133333333333333</v>
      </c>
      <c r="O273" s="83"/>
      <c r="P273" s="83">
        <f>53.8/6</f>
        <v>8.9666666666666668</v>
      </c>
      <c r="Q273" s="83"/>
      <c r="R273" s="83">
        <f>35/6</f>
        <v>5.833333333333333</v>
      </c>
      <c r="S273" s="83">
        <f>29.5/6</f>
        <v>4.916666666666667</v>
      </c>
      <c r="T273" s="83">
        <f>15.8/6</f>
        <v>2.6333333333333333</v>
      </c>
    </row>
    <row r="274" spans="2:20" x14ac:dyDescent="0.25">
      <c r="B274" s="31" t="str">
        <f t="shared" si="19"/>
        <v>SECPOWER 33 Ah 1,8</v>
      </c>
      <c r="C274" s="5" t="s">
        <v>31</v>
      </c>
      <c r="D274" s="5" t="s">
        <v>25</v>
      </c>
      <c r="E274" s="13">
        <v>1.8</v>
      </c>
      <c r="F274" s="84">
        <f>896.184/6</f>
        <v>149.364</v>
      </c>
      <c r="G274" s="84">
        <f>712.4/6</f>
        <v>118.73333333333333</v>
      </c>
      <c r="H274" s="84">
        <f>587.63/6</f>
        <v>97.938333333333333</v>
      </c>
      <c r="I274" s="84"/>
      <c r="J274" s="84">
        <f>412.25/6</f>
        <v>68.708333333333329</v>
      </c>
      <c r="K274" s="84"/>
      <c r="L274" s="84">
        <f>243.48/6</f>
        <v>40.58</v>
      </c>
      <c r="M274" s="84">
        <f>132/6</f>
        <v>22</v>
      </c>
      <c r="N274" s="84">
        <f>94.1/6</f>
        <v>15.683333333333332</v>
      </c>
      <c r="O274" s="84"/>
      <c r="P274" s="84">
        <f>66.2/6</f>
        <v>11.033333333333333</v>
      </c>
      <c r="Q274" s="84"/>
      <c r="R274" s="84">
        <f>45.6/6</f>
        <v>7.6000000000000005</v>
      </c>
      <c r="S274" s="84">
        <f>39.4/6</f>
        <v>6.5666666666666664</v>
      </c>
      <c r="T274" s="84">
        <f>20.8/6</f>
        <v>3.4666666666666668</v>
      </c>
    </row>
    <row r="275" spans="2:20" x14ac:dyDescent="0.25">
      <c r="B275" s="31" t="str">
        <f t="shared" si="19"/>
        <v>SECPOWER 33 Ah 1,75</v>
      </c>
      <c r="C275" s="5" t="s">
        <v>31</v>
      </c>
      <c r="D275" s="5" t="s">
        <v>25</v>
      </c>
      <c r="E275" s="13">
        <v>1.75</v>
      </c>
      <c r="F275" s="21">
        <f>1002.84/6</f>
        <v>167.14000000000001</v>
      </c>
      <c r="G275" s="21">
        <f>763.51/6</f>
        <v>127.25166666666667</v>
      </c>
      <c r="H275" s="21">
        <f>611.85/6</f>
        <v>101.97500000000001</v>
      </c>
      <c r="I275" s="33"/>
      <c r="J275" s="21">
        <f>421.51/6</f>
        <v>70.251666666666665</v>
      </c>
      <c r="K275" s="33"/>
      <c r="L275" s="21">
        <f>245/6</f>
        <v>40.833333333333336</v>
      </c>
      <c r="M275" s="21">
        <f>136/6</f>
        <v>22.666666666666668</v>
      </c>
      <c r="N275" s="21">
        <f>97/6</f>
        <v>16.166666666666668</v>
      </c>
      <c r="O275" s="21"/>
      <c r="P275" s="21">
        <f>68.3/6</f>
        <v>11.383333333333333</v>
      </c>
      <c r="Q275" s="33"/>
      <c r="R275" s="21">
        <f>47/6</f>
        <v>7.833333333333333</v>
      </c>
      <c r="S275" s="21">
        <f>39.7/6</f>
        <v>6.6166666666666671</v>
      </c>
      <c r="T275" s="21">
        <f>20.9/6</f>
        <v>3.4833333333333329</v>
      </c>
    </row>
    <row r="276" spans="2:20" x14ac:dyDescent="0.25">
      <c r="B276" s="31" t="str">
        <f t="shared" si="19"/>
        <v>SECPOWER 33 Ah 1,7</v>
      </c>
      <c r="C276" s="5" t="s">
        <v>31</v>
      </c>
      <c r="D276" s="5" t="s">
        <v>25</v>
      </c>
      <c r="E276" s="13">
        <v>1.7</v>
      </c>
      <c r="F276" s="21">
        <f>1108.01/6</f>
        <v>184.66833333333332</v>
      </c>
      <c r="G276" s="21">
        <f>811.16/6</f>
        <v>135.19333333333333</v>
      </c>
      <c r="H276" s="21">
        <f>638.1/6</f>
        <v>106.35000000000001</v>
      </c>
      <c r="I276" s="33"/>
      <c r="J276" s="21">
        <f>428.76/6</f>
        <v>71.459999999999994</v>
      </c>
      <c r="K276" s="33"/>
      <c r="L276" s="21">
        <f>248.05/6</f>
        <v>41.341666666666669</v>
      </c>
      <c r="M276" s="21">
        <f>138/6</f>
        <v>23</v>
      </c>
      <c r="N276" s="21">
        <f>97.7/6</f>
        <v>16.283333333333335</v>
      </c>
      <c r="O276" s="21"/>
      <c r="P276" s="21">
        <f>68.7/6</f>
        <v>11.450000000000001</v>
      </c>
      <c r="Q276" s="33"/>
      <c r="R276" s="21">
        <f>47.4/6</f>
        <v>7.8999999999999995</v>
      </c>
      <c r="S276" s="21">
        <f>39.9/6</f>
        <v>6.6499999999999995</v>
      </c>
      <c r="T276" s="21">
        <f>21.1/6</f>
        <v>3.5166666666666671</v>
      </c>
    </row>
    <row r="277" spans="2:20" x14ac:dyDescent="0.25">
      <c r="B277" s="31" t="str">
        <f t="shared" si="19"/>
        <v>SECPOWER 33 Ah 1,65</v>
      </c>
      <c r="C277" s="5" t="s">
        <v>31</v>
      </c>
      <c r="D277" s="5" t="s">
        <v>25</v>
      </c>
      <c r="E277" s="13">
        <v>1.65</v>
      </c>
      <c r="F277" s="21">
        <f>1170.22/6</f>
        <v>195.03666666666666</v>
      </c>
      <c r="G277" s="21">
        <f>840.73/6</f>
        <v>140.12166666666667</v>
      </c>
      <c r="H277" s="21">
        <f>653.73/6</f>
        <v>108.955</v>
      </c>
      <c r="I277" s="33"/>
      <c r="J277" s="21">
        <f>432.52/6</f>
        <v>72.086666666666659</v>
      </c>
      <c r="K277" s="33"/>
      <c r="L277" s="21">
        <f>249.56/6</f>
        <v>41.593333333333334</v>
      </c>
      <c r="M277" s="21">
        <f>139/6</f>
        <v>23.166666666666668</v>
      </c>
      <c r="N277" s="21">
        <f>98.4/6</f>
        <v>16.400000000000002</v>
      </c>
      <c r="O277" s="21"/>
      <c r="P277" s="21">
        <f>69.2/6</f>
        <v>11.533333333333333</v>
      </c>
      <c r="Q277" s="33"/>
      <c r="R277" s="21">
        <f>47.7/6</f>
        <v>7.95</v>
      </c>
      <c r="S277" s="21">
        <f>40/6</f>
        <v>6.666666666666667</v>
      </c>
      <c r="T277" s="21">
        <f>21.1/6</f>
        <v>3.5166666666666671</v>
      </c>
    </row>
    <row r="278" spans="2:20" x14ac:dyDescent="0.25">
      <c r="B278" s="31" t="str">
        <f t="shared" si="19"/>
        <v>SECPOWER 33 Ah 1,6</v>
      </c>
      <c r="C278" s="5" t="s">
        <v>31</v>
      </c>
      <c r="D278" s="5" t="s">
        <v>25</v>
      </c>
      <c r="E278" s="13">
        <v>1.6</v>
      </c>
      <c r="F278" s="21">
        <f>1318.36/6</f>
        <v>219.72666666666666</v>
      </c>
      <c r="G278" s="21">
        <f>901/6</f>
        <v>150.16666666666666</v>
      </c>
      <c r="H278" s="21">
        <f>689.01/6</f>
        <v>114.83499999999999</v>
      </c>
      <c r="I278" s="33"/>
      <c r="J278" s="21">
        <f>441.74/6</f>
        <v>73.623333333333335</v>
      </c>
      <c r="K278" s="33"/>
      <c r="L278" s="21">
        <f>251.37/6</f>
        <v>41.895000000000003</v>
      </c>
      <c r="M278" s="21">
        <f>140/6</f>
        <v>23.333333333333332</v>
      </c>
      <c r="N278" s="21">
        <f>99/6</f>
        <v>16.5</v>
      </c>
      <c r="O278" s="21"/>
      <c r="P278" s="21">
        <f>69.6/6</f>
        <v>11.6</v>
      </c>
      <c r="Q278" s="33"/>
      <c r="R278" s="21">
        <f>48/6</f>
        <v>8</v>
      </c>
      <c r="S278" s="21">
        <f>40.1/6</f>
        <v>6.6833333333333336</v>
      </c>
      <c r="T278" s="21">
        <f>21.2/6</f>
        <v>3.5333333333333332</v>
      </c>
    </row>
    <row r="279" spans="2:20" x14ac:dyDescent="0.25">
      <c r="B279" s="31" t="str">
        <f t="shared" si="19"/>
        <v>SECPOWER 45 Ah 1,8</v>
      </c>
      <c r="C279" s="37" t="s">
        <v>31</v>
      </c>
      <c r="D279" s="37" t="s">
        <v>26</v>
      </c>
      <c r="E279" s="40">
        <v>1.8</v>
      </c>
      <c r="F279" s="59">
        <f>975.95/6</f>
        <v>162.65833333333333</v>
      </c>
      <c r="G279" s="59">
        <f>967.43/6</f>
        <v>161.23833333333332</v>
      </c>
      <c r="H279" s="59">
        <f>789/6</f>
        <v>131.5</v>
      </c>
      <c r="I279" s="38"/>
      <c r="J279" s="59">
        <f>535.39/6</f>
        <v>89.231666666666669</v>
      </c>
      <c r="K279" s="38"/>
      <c r="L279" s="59">
        <f>313.04/6</f>
        <v>52.173333333333339</v>
      </c>
      <c r="M279" s="59">
        <f>180/6</f>
        <v>30</v>
      </c>
      <c r="N279" s="59">
        <f>128/6</f>
        <v>21.333333333333332</v>
      </c>
      <c r="O279" s="59"/>
      <c r="P279" s="59">
        <f>90.3/6</f>
        <v>15.049999999999999</v>
      </c>
      <c r="Q279" s="38"/>
      <c r="R279" s="59">
        <f>62.2/6</f>
        <v>10.366666666666667</v>
      </c>
      <c r="S279" s="59">
        <f>53.7/6</f>
        <v>8.9500000000000011</v>
      </c>
      <c r="T279" s="59">
        <f>28.4/6</f>
        <v>4.7333333333333334</v>
      </c>
    </row>
    <row r="280" spans="2:20" x14ac:dyDescent="0.25">
      <c r="B280" s="31" t="str">
        <f t="shared" si="19"/>
        <v>SECPOWER 45 Ah 1,75</v>
      </c>
      <c r="C280" s="37" t="s">
        <v>31</v>
      </c>
      <c r="D280" s="37" t="s">
        <v>26</v>
      </c>
      <c r="E280" s="40">
        <v>1.75</v>
      </c>
      <c r="F280" s="40">
        <f>1056.43/6</f>
        <v>176.07166666666669</v>
      </c>
      <c r="G280" s="59">
        <f>1036.83/6</f>
        <v>172.80499999999998</v>
      </c>
      <c r="H280" s="59">
        <f>830.88/6</f>
        <v>138.47999999999999</v>
      </c>
      <c r="I280" s="38"/>
      <c r="J280" s="59">
        <f>547.42/6</f>
        <v>91.236666666666665</v>
      </c>
      <c r="K280" s="38"/>
      <c r="L280" s="59">
        <f>315/6</f>
        <v>52.5</v>
      </c>
      <c r="M280" s="59">
        <f>185/6</f>
        <v>30.833333333333332</v>
      </c>
      <c r="N280" s="59">
        <f>132/6</f>
        <v>22</v>
      </c>
      <c r="O280" s="38"/>
      <c r="P280" s="59">
        <f>93.1/6</f>
        <v>15.516666666666666</v>
      </c>
      <c r="Q280" s="38"/>
      <c r="R280" s="59">
        <f>64.2/6</f>
        <v>10.700000000000001</v>
      </c>
      <c r="S280" s="59">
        <f>54.1/6</f>
        <v>9.0166666666666675</v>
      </c>
      <c r="T280" s="59">
        <f>28.5/6</f>
        <v>4.75</v>
      </c>
    </row>
    <row r="281" spans="2:20" x14ac:dyDescent="0.25">
      <c r="B281" s="31" t="str">
        <f t="shared" si="19"/>
        <v>SECPOWER 45 Ah 1,7</v>
      </c>
      <c r="C281" s="37" t="s">
        <v>31</v>
      </c>
      <c r="D281" s="37" t="s">
        <v>26</v>
      </c>
      <c r="E281" s="40">
        <v>1.7</v>
      </c>
      <c r="F281" s="40">
        <f>1170.14/6</f>
        <v>195.02333333333334</v>
      </c>
      <c r="G281" s="59">
        <f>1101.54/6</f>
        <v>183.59</v>
      </c>
      <c r="H281" s="59">
        <f>866.53/6</f>
        <v>144.42166666666665</v>
      </c>
      <c r="I281" s="38"/>
      <c r="J281" s="59">
        <f>556.83/6</f>
        <v>92.805000000000007</v>
      </c>
      <c r="K281" s="38"/>
      <c r="L281" s="59">
        <f>318.91/6</f>
        <v>53.151666666666671</v>
      </c>
      <c r="M281" s="59">
        <f>188/6</f>
        <v>31.333333333333332</v>
      </c>
      <c r="N281" s="59">
        <f>133/6</f>
        <v>22.166666666666668</v>
      </c>
      <c r="O281" s="38"/>
      <c r="P281" s="59">
        <f>93.7/6</f>
        <v>15.616666666666667</v>
      </c>
      <c r="Q281" s="38"/>
      <c r="R281" s="59">
        <f>64.6/6</f>
        <v>10.766666666666666</v>
      </c>
      <c r="S281" s="59">
        <f>54.4/6</f>
        <v>9.0666666666666664</v>
      </c>
      <c r="T281" s="59">
        <f>28.7/6</f>
        <v>4.7833333333333332</v>
      </c>
    </row>
    <row r="282" spans="2:20" x14ac:dyDescent="0.25">
      <c r="B282" s="31" t="str">
        <f t="shared" si="19"/>
        <v>SECPOWER 45 Ah 1,65</v>
      </c>
      <c r="C282" s="37" t="s">
        <v>31</v>
      </c>
      <c r="D282" s="37" t="s">
        <v>26</v>
      </c>
      <c r="E282" s="40">
        <v>1.65</v>
      </c>
      <c r="F282" s="40">
        <f>1236.59/6</f>
        <v>206.09833333333333</v>
      </c>
      <c r="G282" s="59">
        <f>1141.69/6</f>
        <v>190.28166666666667</v>
      </c>
      <c r="H282" s="59">
        <f>887.75/6</f>
        <v>147.95833333333334</v>
      </c>
      <c r="I282" s="38"/>
      <c r="J282" s="59">
        <f>561.72/6</f>
        <v>93.62</v>
      </c>
      <c r="K282" s="38"/>
      <c r="L282" s="59">
        <f>320.87/6</f>
        <v>53.478333333333332</v>
      </c>
      <c r="M282" s="59">
        <f>189/6</f>
        <v>31.5</v>
      </c>
      <c r="N282" s="59">
        <f>134/6</f>
        <v>22.333333333333332</v>
      </c>
      <c r="O282" s="38"/>
      <c r="P282" s="59">
        <f>94.4/6</f>
        <v>15.733333333333334</v>
      </c>
      <c r="Q282" s="38"/>
      <c r="R282" s="59">
        <f>65.1/6</f>
        <v>10.85</v>
      </c>
      <c r="S282" s="59">
        <f>54.6/6</f>
        <v>9.1</v>
      </c>
      <c r="T282" s="59">
        <f>28.8/6</f>
        <v>4.8</v>
      </c>
    </row>
    <row r="283" spans="2:20" x14ac:dyDescent="0.25">
      <c r="B283" s="31" t="str">
        <f t="shared" si="19"/>
        <v>SECPOWER 45 Ah 1,6</v>
      </c>
      <c r="C283" s="37" t="s">
        <v>31</v>
      </c>
      <c r="D283" s="37" t="s">
        <v>26</v>
      </c>
      <c r="E283" s="40">
        <v>1.6</v>
      </c>
      <c r="F283" s="40">
        <f>1358.18/6</f>
        <v>226.36333333333334</v>
      </c>
      <c r="G283" s="59">
        <f>1223.54/6</f>
        <v>203.92333333333332</v>
      </c>
      <c r="H283" s="59">
        <f>935.66/6</f>
        <v>155.94333333333333</v>
      </c>
      <c r="I283" s="38"/>
      <c r="J283" s="59">
        <f>573.7/6</f>
        <v>95.616666666666674</v>
      </c>
      <c r="K283" s="38"/>
      <c r="L283" s="59">
        <f>323.19/6</f>
        <v>53.865000000000002</v>
      </c>
      <c r="M283" s="59">
        <f>190/6</f>
        <v>31.666666666666668</v>
      </c>
      <c r="N283" s="59">
        <f>135/6</f>
        <v>22.5</v>
      </c>
      <c r="O283" s="38"/>
      <c r="P283" s="59">
        <f>94.9/6</f>
        <v>15.816666666666668</v>
      </c>
      <c r="Q283" s="38"/>
      <c r="R283" s="59">
        <f>65.4/6</f>
        <v>10.9</v>
      </c>
      <c r="S283" s="59">
        <f>54.7/6</f>
        <v>9.1166666666666671</v>
      </c>
      <c r="T283" s="59">
        <f>28.9/6</f>
        <v>4.8166666666666664</v>
      </c>
    </row>
    <row r="284" spans="2:20" x14ac:dyDescent="0.25">
      <c r="B284" s="31" t="str">
        <f t="shared" si="19"/>
        <v>SECPOWER 55 Ah 1,8</v>
      </c>
      <c r="C284" s="5" t="s">
        <v>31</v>
      </c>
      <c r="D284" s="34" t="s">
        <v>27</v>
      </c>
      <c r="E284" s="13">
        <v>1.8</v>
      </c>
      <c r="F284" s="13">
        <f>1171.79/6</f>
        <v>195.29833333333332</v>
      </c>
      <c r="G284" s="21">
        <f>1040.42/6</f>
        <v>173.40333333333334</v>
      </c>
      <c r="H284" s="21">
        <f>953.06/6</f>
        <v>158.84333333333333</v>
      </c>
      <c r="I284" s="33"/>
      <c r="J284" s="21">
        <f>642.46/6</f>
        <v>107.07666666666667</v>
      </c>
      <c r="K284" s="33"/>
      <c r="L284" s="21">
        <f>382.61/6</f>
        <v>63.768333333333338</v>
      </c>
      <c r="M284" s="21">
        <f>220/6</f>
        <v>36.666666666666664</v>
      </c>
      <c r="N284" s="21">
        <f>157/6</f>
        <v>26.166666666666668</v>
      </c>
      <c r="O284" s="33"/>
      <c r="P284" s="21">
        <f>110/6</f>
        <v>18.333333333333332</v>
      </c>
      <c r="Q284" s="33"/>
      <c r="R284" s="21">
        <f>76/6</f>
        <v>12.666666666666666</v>
      </c>
      <c r="S284" s="21">
        <f>65.7/6</f>
        <v>10.950000000000001</v>
      </c>
      <c r="T284" s="21">
        <f>34.7/6</f>
        <v>5.7833333333333341</v>
      </c>
    </row>
    <row r="285" spans="2:20" x14ac:dyDescent="0.25">
      <c r="B285" s="31" t="str">
        <f t="shared" si="19"/>
        <v>SECPOWER 55 Ah 1,75</v>
      </c>
      <c r="C285" s="5" t="s">
        <v>31</v>
      </c>
      <c r="D285" s="34" t="s">
        <v>27</v>
      </c>
      <c r="E285" s="13">
        <v>1.75</v>
      </c>
      <c r="F285" s="21">
        <f>1268.2/6</f>
        <v>211.36666666666667</v>
      </c>
      <c r="G285" s="21">
        <f>1114.41/6</f>
        <v>185.73500000000001</v>
      </c>
      <c r="H285" s="21">
        <f>992.32/6</f>
        <v>165.38666666666668</v>
      </c>
      <c r="I285" s="13"/>
      <c r="J285" s="21">
        <f>656.9/6</f>
        <v>109.48333333333333</v>
      </c>
      <c r="K285" s="13"/>
      <c r="L285" s="21">
        <f>385/6</f>
        <v>64.166666666666671</v>
      </c>
      <c r="M285" s="13">
        <f>226/6</f>
        <v>37.666666666666664</v>
      </c>
      <c r="N285" s="21">
        <f>162/6</f>
        <v>27</v>
      </c>
      <c r="O285" s="13"/>
      <c r="P285" s="21">
        <f>114/6</f>
        <v>19</v>
      </c>
      <c r="Q285" s="13"/>
      <c r="R285" s="13">
        <f>78.4/6</f>
        <v>13.066666666666668</v>
      </c>
      <c r="S285" s="21">
        <f>66.1/6</f>
        <v>11.016666666666666</v>
      </c>
      <c r="T285" s="21">
        <f>34.9/6</f>
        <v>5.8166666666666664</v>
      </c>
    </row>
    <row r="286" spans="2:20" x14ac:dyDescent="0.25">
      <c r="B286" s="31" t="str">
        <f t="shared" si="19"/>
        <v>SECPOWER 55 Ah 1,7</v>
      </c>
      <c r="C286" s="5" t="s">
        <v>31</v>
      </c>
      <c r="D286" s="34" t="s">
        <v>27</v>
      </c>
      <c r="E286" s="13">
        <v>1.7</v>
      </c>
      <c r="F286" s="21">
        <f>1430.12/6</f>
        <v>238.35333333333332</v>
      </c>
      <c r="G286" s="21">
        <f>1192.25/6</f>
        <v>198.70833333333334</v>
      </c>
      <c r="H286" s="21">
        <f>1034.9/6</f>
        <v>172.48333333333335</v>
      </c>
      <c r="I286" s="13"/>
      <c r="J286" s="21">
        <f>668.2/6</f>
        <v>111.36666666666667</v>
      </c>
      <c r="K286" s="13"/>
      <c r="L286" s="21">
        <f>389.78/6</f>
        <v>64.963333333333324</v>
      </c>
      <c r="M286" s="13">
        <f>230/6</f>
        <v>38.333333333333336</v>
      </c>
      <c r="N286" s="21">
        <f>162/6</f>
        <v>27</v>
      </c>
      <c r="O286" s="13"/>
      <c r="P286" s="21">
        <f>115/6</f>
        <v>19.166666666666668</v>
      </c>
      <c r="Q286" s="13"/>
      <c r="R286" s="13">
        <f>78.9/6</f>
        <v>13.15</v>
      </c>
      <c r="S286" s="21">
        <f>66.6/6</f>
        <v>11.1</v>
      </c>
      <c r="T286" s="21">
        <f>35.1/6</f>
        <v>5.8500000000000005</v>
      </c>
    </row>
    <row r="287" spans="2:20" x14ac:dyDescent="0.25">
      <c r="B287" s="31" t="str">
        <f t="shared" si="19"/>
        <v>SECPOWER 55 Ah 1,65</v>
      </c>
      <c r="C287" s="5" t="s">
        <v>31</v>
      </c>
      <c r="D287" s="34" t="s">
        <v>27</v>
      </c>
      <c r="E287" s="13">
        <v>1.65</v>
      </c>
      <c r="F287" s="21">
        <f>1511.36/6</f>
        <v>251.89333333333332</v>
      </c>
      <c r="G287" s="21">
        <f>1233.67/6</f>
        <v>205.61166666666668</v>
      </c>
      <c r="H287" s="21">
        <f>1060.25/6</f>
        <v>176.70833333333334</v>
      </c>
      <c r="I287" s="13"/>
      <c r="J287" s="21">
        <f>674.06/6</f>
        <v>112.34333333333332</v>
      </c>
      <c r="K287" s="13"/>
      <c r="L287" s="21">
        <f>392.17/6</f>
        <v>65.361666666666665</v>
      </c>
      <c r="M287" s="13">
        <f>231/6</f>
        <v>38.5</v>
      </c>
      <c r="N287" s="21">
        <f>164/6</f>
        <v>27.333333333333332</v>
      </c>
      <c r="O287" s="13"/>
      <c r="P287" s="21">
        <f>115/6</f>
        <v>19.166666666666668</v>
      </c>
      <c r="Q287" s="13"/>
      <c r="R287" s="13">
        <f>79.5/6</f>
        <v>13.25</v>
      </c>
      <c r="S287" s="21">
        <f>66.7/6</f>
        <v>11.116666666666667</v>
      </c>
      <c r="T287" s="21">
        <f>35.2/6</f>
        <v>5.8666666666666671</v>
      </c>
    </row>
    <row r="288" spans="2:20" x14ac:dyDescent="0.25">
      <c r="B288" s="31" t="str">
        <f t="shared" si="19"/>
        <v>SECPOWER 55 Ah 1,6</v>
      </c>
      <c r="C288" s="5" t="s">
        <v>31</v>
      </c>
      <c r="D288" s="34" t="s">
        <v>27</v>
      </c>
      <c r="E288" s="13">
        <v>1.6</v>
      </c>
      <c r="F288" s="21">
        <f>1660.43/6</f>
        <v>276.73833333333334</v>
      </c>
      <c r="G288" s="21">
        <f>1325.1/6</f>
        <v>220.85</v>
      </c>
      <c r="H288" s="21">
        <f>1117.47/6</f>
        <v>186.245</v>
      </c>
      <c r="I288" s="13"/>
      <c r="J288" s="21">
        <f>688.43/6</f>
        <v>114.73833333333333</v>
      </c>
      <c r="K288" s="13"/>
      <c r="L288" s="21">
        <f>395.01/6</f>
        <v>65.834999999999994</v>
      </c>
      <c r="M288" s="13">
        <f>232/6</f>
        <v>38.666666666666664</v>
      </c>
      <c r="N288" s="21">
        <f>165/6</f>
        <v>27.5</v>
      </c>
      <c r="O288" s="13"/>
      <c r="P288" s="21">
        <f>116/6</f>
        <v>19.333333333333332</v>
      </c>
      <c r="Q288" s="13"/>
      <c r="R288" s="13">
        <f>80/6</f>
        <v>13.333333333333334</v>
      </c>
      <c r="S288" s="21">
        <f>66.8/6</f>
        <v>11.133333333333333</v>
      </c>
      <c r="T288" s="21">
        <f>35.3/6</f>
        <v>5.8833333333333329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UPSBRASIL</dc:creator>
  <cp:lastModifiedBy>UPSBRASIL</cp:lastModifiedBy>
  <dcterms:created xsi:type="dcterms:W3CDTF">2023-03-17T17:05:50Z</dcterms:created>
  <dcterms:modified xsi:type="dcterms:W3CDTF">2024-07-04T14:12:22Z</dcterms:modified>
</cp:coreProperties>
</file>