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julialiu/Files/Work/Greycroft/greycroft/inputs/"/>
    </mc:Choice>
  </mc:AlternateContent>
  <xr:revisionPtr revIDLastSave="0" documentId="13_ncr:1_{35A9C4FA-42E8-1140-A303-9372A68B6EB7}" xr6:coauthVersionLast="45" xr6:coauthVersionMax="45" xr10:uidLastSave="{00000000-0000-0000-0000-000000000000}"/>
  <bookViews>
    <workbookView xWindow="0" yWindow="460" windowWidth="21940" windowHeight="16420" tabRatio="782" firstSheet="2" activeTab="4" xr2:uid="{00000000-000D-0000-FFFF-FFFF00000000}"/>
  </bookViews>
  <sheets>
    <sheet name="IS (2017)" sheetId="153" r:id="rId1"/>
    <sheet name="IS (2018)" sheetId="159" r:id="rId2"/>
    <sheet name="IS (2019)" sheetId="160" r:id="rId3"/>
    <sheet name="IS (2020)" sheetId="161" r:id="rId4"/>
    <sheet name="CF (2017)" sheetId="156" r:id="rId5"/>
    <sheet name="CF (2018)" sheetId="162" r:id="rId6"/>
    <sheet name="CF (2019)" sheetId="163" r:id="rId7"/>
    <sheet name="CF (2020)" sheetId="164" r:id="rId8"/>
    <sheet name="BS (2017)" sheetId="155" r:id="rId9"/>
    <sheet name="BS (2018)" sheetId="165" r:id="rId10"/>
    <sheet name="BS (2019)" sheetId="166" r:id="rId11"/>
    <sheet name="BS (2020)" sheetId="167" r:id="rId12"/>
    <sheet name="ARR by Customer" sheetId="154" r:id="rId13"/>
  </sheets>
  <externalReferences>
    <externalReference r:id="rId14"/>
    <externalReference r:id="rId15"/>
  </externalReferences>
  <definedNames>
    <definedName name="__FDS_HYPERLINK_TOGGLE_STATE__" hidden="1">"ON"</definedName>
    <definedName name="__xlfn.BAHTTEXT" hidden="1">#NAME?</definedName>
    <definedName name="_1_0__123Grap" hidden="1">'[1]Comp. Transaction'!#REF!</definedName>
    <definedName name="_10__123Grap" hidden="1">'[1]Comp. Transaction'!#REF!</definedName>
    <definedName name="_2_0__123Grap" hidden="1">'[1]Comp. Transaction'!#REF!</definedName>
    <definedName name="_a1" hidden="1">{"Month End Performance",#N/A,FALSE,"Report";"Site Talk Times",#N/A,FALSE,"Report"}</definedName>
    <definedName name="_as1" hidden="1">{"FCB_ALL",#N/A,FALSE,"FCB"}</definedName>
    <definedName name="_AS2" hidden="1">{"FCB_ALL",#N/A,FALSE,"FCB"}</definedName>
    <definedName name="_as3" hidden="1">{"FCB_ALL",#N/A,FALSE,"FCB"}</definedName>
    <definedName name="_AS4" hidden="1">{"FCB_ALL",#N/A,FALSE,"FCB"}</definedName>
    <definedName name="_as6" hidden="1">{"FCB_ALL",#N/A,FALSE,"FCB"}</definedName>
    <definedName name="_AS7" hidden="1">{"FCB_ALL",#N/A,FALSE,"FCB"}</definedName>
    <definedName name="_xlnm._FilterDatabase" hidden="1">#REF!</definedName>
    <definedName name="_Order1" hidden="1">0</definedName>
    <definedName name="_Order2" hidden="1">0</definedName>
    <definedName name="_Table1_In1" hidden="1">#REF!</definedName>
    <definedName name="_Table2_In1" hidden="1">#N/A</definedName>
    <definedName name="_Table2_In2" hidden="1">#REF!</definedName>
    <definedName name="_Table2_Out" hidden="1">#REF!</definedName>
    <definedName name="_v1" hidden="1">{"Month End Performance",#N/A,FALSE,"Report";"Site Talk Times",#N/A,FALSE,"Report"}</definedName>
    <definedName name="_v2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aa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aaa" hidden="1">#N/A</definedName>
    <definedName name="ab" hidden="1">{#N/A,#N/A,TRUE,"Pro Forma";#N/A,#N/A,TRUE,"PF_Bal";#N/A,#N/A,TRUE,"PF_INC";#N/A,#N/A,TRUE,"CBE";#N/A,#N/A,TRUE,"SWK"}</definedName>
    <definedName name="AccessDatabase" hidden="1">"C:\My Documents\固定资产系统开发\固定资产模型2.mdb"</definedName>
    <definedName name="addg" hidden="1">{#N/A,#N/A,FALSE,"CBE";#N/A,#N/A,FALSE,"SWK"}</definedName>
    <definedName name="adele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aera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aeraew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ea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ew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nscount" hidden="1">1</definedName>
    <definedName name="arfwer" hidden="1">{#N/A,#N/A,TRUE,"Pro Forma";#N/A,#N/A,TRUE,"PF_Bal";#N/A,#N/A,TRUE,"PF_INC";#N/A,#N/A,TRUE,"CBE";#N/A,#N/A,TRUE,"SWK"}</definedName>
    <definedName name="arhf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as" hidden="1">#N/A</definedName>
    <definedName name="AS2DocOpenMode" hidden="1">"AS2DocumentEdit"</definedName>
    <definedName name="AS2ReportLS" hidden="1">1</definedName>
    <definedName name="AS2SyncStepLS" hidden="1">0</definedName>
    <definedName name="AS2VersionLS" hidden="1">300</definedName>
    <definedName name="asda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asdas" hidden="1">{#N/A,#N/A,FALSE,"Performance Flash Report"}</definedName>
    <definedName name="asdf" hidden="1">{#N/A,#N/A,FALSE,"Calc";#N/A,#N/A,FALSE,"Sensitivity";#N/A,#N/A,FALSE,"LT Earn.Dil.";#N/A,#N/A,FALSE,"Dil. AVP"}</definedName>
    <definedName name="asfdasd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vdd" hidden="1">{#N/A,#N/A,FALSE,"Calc";#N/A,#N/A,FALSE,"Sensitivity";#N/A,#N/A,FALSE,"LT Earn.Dil.";#N/A,#N/A,FALSE,"Dil. AVP"}</definedName>
    <definedName name="basf" hidden="1">{"bs",#N/A,FALSE,"SCF"}</definedName>
    <definedName name="bd" hidden="1">{"FCB_ALL",#N/A,FALSE,"FCB"}</definedName>
    <definedName name="Bear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G_Del" hidden="1">15</definedName>
    <definedName name="BG_Ins" hidden="1">4</definedName>
    <definedName name="BG_Mod" hidden="1">6</definedName>
    <definedName name="blah2" hidden="1">{#N/A,#N/A,FALSE,"Performance Flash Report"}</definedName>
    <definedName name="book" hidden="1">{#N/A,#N/A,FALSE,"1110";#N/A,#N/A,FALSE,"1120";#N/A,#N/A,FALSE,"1140";#N/A,#N/A,FALSE,"1150";#N/A,#N/A,FALSE,"chalmers";#N/A,#N/A,FALSE,"gentner";#N/A,#N/A,FALSE,"1230";#N/A,#N/A,FALSE,"PPD INS";#N/A,#N/A,FALSE,"1260";#N/A,#N/A,FALSE,"PPD SVC";#N/A,#N/A,FALSE,"1950";#N/A,#N/A,FALSE,"1960";#N/A,#N/A,FALSE,"2040";#N/A,#N/A,FALSE,"2165";#N/A,#N/A,FALSE,"2200";#N/A,#N/A,FALSE,"2300-2590";#N/A,#N/A,FALSE,"2410";#N/A,#N/A,FALSE,"2600";#N/A,#N/A,FALSE,"3030";#N/A,#N/A,FALSE,"3-31 Adj";#N/A,#N/A,FALSE,"3800";#N/A,#N/A,FALSE,"3850 (REG D)";#N/A,#N/A,FALSE,"3850 (IPO)";#N/A,#N/A,FALSE,"3910-1000";#N/A,#N/A,FALSE,"3950";#N/A,#N/A,FALSE,"3-31 Adj";#N/A,#N/A,FALSE,"Consult and Colab";#N/A,#N/A,FALSE,"Seminars and Cont Ed";#N/A,#N/A,FALSE,"LEASES"}</definedName>
    <definedName name="Cable" hidden="1">{#N/A,#N/A,FALSE,"Operations";#N/A,#N/A,FALSE,"Financials"}</definedName>
    <definedName name="Cable2" hidden="1">{#N/A,#N/A,FALSE,"Operations";#N/A,#N/A,FALSE,"Financials"}</definedName>
    <definedName name="cc" hidden="1">{#N/A,#N/A,FALSE,"CBE";#N/A,#N/A,FALSE,"SWK"}</definedName>
    <definedName name="ccc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cccc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CIQWBGuid" hidden="1">"AppBoy.xlsx"</definedName>
    <definedName name="cooper2" hidden="1">{#N/A,#N/A,TRUE,"Pro Forma";#N/A,#N/A,TRUE,"PF_Bal";#N/A,#N/A,TRUE,"PF_INC";#N/A,#N/A,TRUE,"CBE";#N/A,#N/A,TRUE,"SWK"}</definedName>
    <definedName name="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D126757F_8C22_4332_AE16_6A56D0626CD4_AMAPC_Chart_1_ChartType" hidden="1">64</definedName>
    <definedName name="D126757F_8C22_4332_AE16_6A56D0626CD4_AMAPC_Chart_1_distributionSingle" hidden="1">FALSE</definedName>
    <definedName name="D126757F_8C22_4332_AE16_6A56D0626CD4_AMAPC_Chart_1_HorAxisGridlines" hidden="1">FALSE</definedName>
    <definedName name="D126757F_8C22_4332_AE16_6A56D0626CD4_AMAPC_Chart_1_VerAxisGridlines" hidden="1">FALSE</definedName>
    <definedName name="D126757F_8C22_4332_AE16_6A56D0626CD4_Channel_Summary_Chart_1_ChartType" hidden="1">64</definedName>
    <definedName name="D126757F_8C22_4332_AE16_6A56D0626CD4_Channel_Summary_Chart_1_distributionSingle" hidden="1">FALSE</definedName>
    <definedName name="D126757F_8C22_4332_AE16_6A56D0626CD4_Channel_Summary_Chart_1_HorAxisGridlines" hidden="1">FALSE</definedName>
    <definedName name="D126757F_8C22_4332_AE16_6A56D0626CD4_Channel_Summary_Chart_1_VerAxisGridlines" hidden="1">FALSE</definedName>
    <definedName name="D126757F_8C22_4332_AE16_6A56D0626CD4_Channel_Summary_Chart_10_ChartType" hidden="1">64</definedName>
    <definedName name="D126757F_8C22_4332_AE16_6A56D0626CD4_Channel_Summary_Chart_10_distributionSingle" hidden="1">FALSE</definedName>
    <definedName name="D126757F_8C22_4332_AE16_6A56D0626CD4_Channel_Summary_Chart_10_HorAxisGridlines" hidden="1">FALSE</definedName>
    <definedName name="D126757F_8C22_4332_AE16_6A56D0626CD4_Channel_Summary_Chart_10_VerAxisGridlines" hidden="1">FALSE</definedName>
    <definedName name="D126757F_8C22_4332_AE16_6A56D0626CD4_Regional_Reg._Chart_1_ChartType" hidden="1">64</definedName>
    <definedName name="D126757F_8C22_4332_AE16_6A56D0626CD4_Regional_Reg._Chart_1_distributionSingle" hidden="1">FALSE</definedName>
    <definedName name="D126757F_8C22_4332_AE16_6A56D0626CD4_Regional_Reg._Chart_1_HorAxisGridlines" hidden="1">FALSE</definedName>
    <definedName name="D126757F_8C22_4332_AE16_6A56D0626CD4_Regional_Reg._Chart_1_VerAxisGridlines" hidden="1">FALSE</definedName>
    <definedName name="D126757F_8C22_4332_AE16_6A56D0626CD4_Regional_Reg._Chart_2_ChartType" hidden="1">64</definedName>
    <definedName name="D126757F_8C22_4332_AE16_6A56D0626CD4_Regional_Reg._Chart_2_distributionSingle" hidden="1">FALSE</definedName>
    <definedName name="D126757F_8C22_4332_AE16_6A56D0626CD4_Regional_Reg._Chart_2_HorAxisGridlines" hidden="1">FALSE</definedName>
    <definedName name="D126757F_8C22_4332_AE16_6A56D0626CD4_Regional_Reg._Chart_2_VerAxisGridlines" hidden="1">FALSE</definedName>
    <definedName name="D126757F_8C22_4332_AE16_6A56D0626CD4_Regional_Reg._Chart_4_ChartType" hidden="1">128</definedName>
    <definedName name="D126757F_8C22_4332_AE16_6A56D0626CD4_Regional_Reg._Chart_4_distributionSingle" hidden="1">FALSE</definedName>
    <definedName name="D126757F_8C22_4332_AE16_6A56D0626CD4_Regional_Reg._Chart_4_HorAxisGridlines" hidden="1">FALSE</definedName>
    <definedName name="D126757F_8C22_4332_AE16_6A56D0626CD4_Regional_Reg._Chart_4_VerAxisGridlines" hidden="1">FALSE</definedName>
    <definedName name="D126757F_8C22_4332_AE16_6A56D0626CD4_Regional_Ship_Chart_4_ChartType" hidden="1">16</definedName>
    <definedName name="D126757F_8C22_4332_AE16_6A56D0626CD4_Regional_Ship_Chart_4_distributionSingle" hidden="1">FALSE</definedName>
    <definedName name="D126757F_8C22_4332_AE16_6A56D0626CD4_Regional_Ship_Chart_4_HorAxisGridlines" hidden="1">FALSE</definedName>
    <definedName name="D126757F_8C22_4332_AE16_6A56D0626CD4_Regional_Ship_Chart_4_VerAxisGridlines" hidden="1">FALSE</definedName>
    <definedName name="D126757F_8C22_4332_AE16_6A56D0626CD4_Sheet1_Chart_1_ChartType" hidden="1">64</definedName>
    <definedName name="D126757F_8C22_4332_AE16_6A56D0626CD4_Sheet1_Chart_1_distributionSingle" hidden="1">FALSE</definedName>
    <definedName name="D126757F_8C22_4332_AE16_6A56D0626CD4_Sheet1_Chart_1_HorAxisGridlines" hidden="1">FALSE</definedName>
    <definedName name="D126757F_8C22_4332_AE16_6A56D0626CD4_Sheet1_Chart_1_VerAxisGridlines" hidden="1">FALSE</definedName>
    <definedName name="D126757F_8C22_4332_AE16_6A56D0626CD4_Sheet3_Chart_1_ChartType" hidden="1">128</definedName>
    <definedName name="D126757F_8C22_4332_AE16_6A56D0626CD4_Sheet3_Chart_1_distributionSingle" hidden="1">FALSE</definedName>
    <definedName name="D126757F_8C22_4332_AE16_6A56D0626CD4_Sheet3_Chart_1_HorAxisGridlines" hidden="1">FALSE</definedName>
    <definedName name="D126757F_8C22_4332_AE16_6A56D0626CD4_Sheet3_Chart_1_VerAxisGridlines" hidden="1">FALSE</definedName>
    <definedName name="D126757F_8C22_4332_AE16_6A56D0626CD4_Sheet3_Chart_2_ChartType" hidden="1">128</definedName>
    <definedName name="D126757F_8C22_4332_AE16_6A56D0626CD4_Sheet3_Chart_2_distributionSingle" hidden="1">FALSE</definedName>
    <definedName name="D126757F_8C22_4332_AE16_6A56D0626CD4_Sheet3_Chart_2_HorAxisGridlines" hidden="1">FALSE</definedName>
    <definedName name="D126757F_8C22_4332_AE16_6A56D0626CD4_Sheet3_Chart_2_VerAxisGridlines" hidden="1">FALSE</definedName>
    <definedName name="D126757F_8C22_4332_AE16_6A56D0626CD4_Sheet6_Chart_1_ChartType" hidden="1">128</definedName>
    <definedName name="D126757F_8C22_4332_AE16_6A56D0626CD4_Sheet6_Chart_1_distributionSingle" hidden="1">FALSE</definedName>
    <definedName name="D126757F_8C22_4332_AE16_6A56D0626CD4_Sheet6_Chart_1_HorAxisGridlines" hidden="1">FALSE</definedName>
    <definedName name="D126757F_8C22_4332_AE16_6A56D0626CD4_Sheet6_Chart_1_VerAxisGridlines" hidden="1">FALSE</definedName>
    <definedName name="D126757F_8C22_4332_AE16_6A56D0626CD4_Sheet6_Chart_2_ChartType" hidden="1">128</definedName>
    <definedName name="D126757F_8C22_4332_AE16_6A56D0626CD4_Sheet6_Chart_2_distributionSingle" hidden="1">FALSE</definedName>
    <definedName name="D126757F_8C22_4332_AE16_6A56D0626CD4_Sheet6_Chart_2_HorAxisGridlines" hidden="1">FALSE</definedName>
    <definedName name="D126757F_8C22_4332_AE16_6A56D0626CD4_Sheet6_Chart_2_VerAxisGridlines" hidden="1">FALSE</definedName>
    <definedName name="D126757F_8C22_4332_AE16_6A56D0626CD4_West_Region_Chart_4_ChartType" hidden="1">128</definedName>
    <definedName name="D126757F_8C22_4332_AE16_6A56D0626CD4_West_Region_Chart_4_distributionSingle" hidden="1">FALSE</definedName>
    <definedName name="D126757F_8C22_4332_AE16_6A56D0626CD4_West_Region_Chart_4_HorAxisGridlines" hidden="1">FALSE</definedName>
    <definedName name="D126757F_8C22_4332_AE16_6A56D0626CD4_West_Region_Chart_4_VerAxisGridlines" hidden="1">FALSE</definedName>
    <definedName name="D126757F_8C22_4332_AE16_6A56D0626CD4_West_Region_Chart_5_ChartType" hidden="1">4</definedName>
    <definedName name="D126757F_8C22_4332_AE16_6A56D0626CD4_West_Region_Chart_5_distributionSingle" hidden="1">FALSE</definedName>
    <definedName name="D126757F_8C22_4332_AE16_6A56D0626CD4_West_Region_Chart_5_HorAxisGridlines" hidden="1">FALSE</definedName>
    <definedName name="D126757F_8C22_4332_AE16_6A56D0626CD4_West_Region_Chart_5_VerAxisGridlines" hidden="1">FALSE</definedName>
    <definedName name="D126757F_8C22_4332_AE16_6A56D0626CD4_West_Region_Chart_6_ChartType" hidden="1">4</definedName>
    <definedName name="D126757F_8C22_4332_AE16_6A56D0626CD4_West_Region_Chart_6_distributionSingle" hidden="1">FALSE</definedName>
    <definedName name="D126757F_8C22_4332_AE16_6A56D0626CD4_West_Region_Chart_6_HorAxisGridlines" hidden="1">FALSE</definedName>
    <definedName name="D126757F_8C22_4332_AE16_6A56D0626CD4_West_Region_Chart_6_VerAxisGridlines" hidden="1">FALSE</definedName>
    <definedName name="dd" hidden="1">{"bs",#N/A,FALSE,"SCF"}</definedName>
    <definedName name="dfd" hidden="1">{"comp1",#N/A,FALSE,"COMPS";"footnotes",#N/A,FALSE,"COMPS"}</definedName>
    <definedName name="DME_Dirty" hidden="1">"False"</definedName>
    <definedName name="DME_LocalFile" hidden="1">"True"</definedName>
    <definedName name="ds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dtu" hidden="1">{#N/A,#N/A,TRUE,"financial";#N/A,#N/A,TRUE,"plants"}</definedName>
    <definedName name="e" hidden="1">{"casespecific",#N/A,FALSE,"Assumptions"}</definedName>
    <definedName name="ed5dyx" hidden="1">{#N/A,#N/A,FALSE,"CBE";#N/A,#N/A,FALSE,"SWK"}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a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ea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tjh" hidden="1">{"Month End Performance",#N/A,FALSE,"Report";"Site Talk Times",#N/A,FALSE,"Report"}</definedName>
    <definedName name="EV__LASTREFTIME__" hidden="1">39164.4356018519</definedName>
    <definedName name="EV__LOCKEDCVW__BALANCESHEET" hidden="1">"TotAssets,ACTUAL,TotCompany,Worldwide,2004.TOTAL,PERIODIC,"</definedName>
    <definedName name="EV__LOCKEDCVW__COGS" hidden="1">"CM,TotalAdj,NoRule,ACTUAL,No_Init,TotCostType,WORLDWIDE,MSPS,All_LOB,USD,NO.YEAR,PERIODIC,"</definedName>
    <definedName name="EV__LOCKEDCVW__FINANCE" hidden="1">"CM,ACTUAL,Worldwide,Input,TotFunction,MSPS,All_Rev,USD,2004.TOTAL,PERIODIC,"</definedName>
    <definedName name="EV__LOCKEDCVW__FY07_PLAN" hidden="1">"CM,ACTUAL,WORLDWIDE,Input,TotFunction,MSPS,All_LOB,USD,2004.TOTAL,PERIODIC,"</definedName>
    <definedName name="EV__LOCKEDCVW__KPIS" hidden="1">"ACTUAL,Mexico,usd,All_LOB,RevSumm,SubclassAll,NO.YEAR,PERIODIC,"</definedName>
    <definedName name="EV__LOCKEDCVW__RATE" hidden="1">"ACTUAL,USD,Avg,RateInput,2004.TOTAL,PERIODIC,"</definedName>
    <definedName name="EV__LOCKSTATUS__" hidden="1">4</definedName>
    <definedName name="Exception_SM" hidden="1">{"closed",#N/A,FALSE,"Consolidated Products - Budget";"expanded",#N/A,FALSE,"Consolidated Products - Budget"}</definedName>
    <definedName name="fds" hidden="1">{"comps",#N/A,FALSE,"comps";"notes",#N/A,FALSE,"comps"}</definedName>
    <definedName name="fdsf" hidden="1">{"general",#N/A,FALSE,"Assumptions"}</definedName>
    <definedName name="ffff" hidden="1">{"comps",#N/A,FALSE,"comps";"notes",#N/A,FALSE,"comps"}</definedName>
    <definedName name="fs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g" hidden="1">{"bs",#N/A,FALSE,"SCF"}</definedName>
    <definedName name="hhhsdf" hidden="1">{"up stand alones",#N/A,FALSE,"Acquiror"}</definedName>
    <definedName name="hod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uy" hidden="1">{#N/A,#N/A,FALSE,"AD_Purchase";#N/A,#N/A,FALSE,"Credit";#N/A,#N/A,FALSE,"PF Acquisition";#N/A,#N/A,FALSE,"PF Offering"}</definedName>
    <definedName name="HTML_CodePage" hidden="1">1252</definedName>
    <definedName name="HTML_Description" hidden="1">""</definedName>
    <definedName name="HTML_Email" hidden="1">""</definedName>
    <definedName name="HTML_Header" hidden="1">"Standalone List Price Trends"</definedName>
    <definedName name="HTML_LastUpdate" hidden="1">"3/5/98"</definedName>
    <definedName name="HTML_LineAfter" hidden="1">FALSE</definedName>
    <definedName name="HTML_LineBefore" hidden="1">FALSE</definedName>
    <definedName name="HTML_Name" hidden="1">"Kevin Mitchell"</definedName>
    <definedName name="HTML_OBDlg2" hidden="1">TRUE</definedName>
    <definedName name="HTML_OBDlg4" hidden="1">TRUE</definedName>
    <definedName name="HTML_OS" hidden="1">0</definedName>
    <definedName name="HTML_PathFile" hidden="1">"C:\Kevin's Data\SW$\SW$SVC HTML\Strends.htm"</definedName>
    <definedName name="HTML_Title" hidden="1">"Switch Prices 03-98 xl97"</definedName>
    <definedName name="HTML1_1" hidden="1">"'[mitforum.xls]Sales Plan'!$A$1"</definedName>
    <definedName name="HTML1_10" hidden="1">""</definedName>
    <definedName name="HTML1_11" hidden="1">1</definedName>
    <definedName name="HTML1_12" hidden="1">"MyHTML.htm"</definedName>
    <definedName name="HTML1_2" hidden="1">1</definedName>
    <definedName name="HTML1_3" hidden="1">"$50K Entrepreneurship Competition Sales Plan"</definedName>
    <definedName name="HTML1_4" hidden="1">"Sales Plan"</definedName>
    <definedName name="HTML1_5" hidden="1">"Sales Plan model authored by Charlie Tillett of Frontier Software"</definedName>
    <definedName name="HTML1_6" hidden="1">-4146</definedName>
    <definedName name="HTML1_7" hidden="1">-4146</definedName>
    <definedName name="HTML1_8" hidden="1">"4/4/97"</definedName>
    <definedName name="HTML1_9" hidden="1">"$50K Entrepreneurship Competition"</definedName>
    <definedName name="HTML2_1" hidden="1">"'[mitforum.xls]Sales Plan'!$A$1:$P$32"</definedName>
    <definedName name="HTML2_10" hidden="1">""</definedName>
    <definedName name="HTML2_11" hidden="1">1</definedName>
    <definedName name="HTML2_12" hidden="1">"C:\My Documents\salesplan.html"</definedName>
    <definedName name="HTML2_2" hidden="1">1</definedName>
    <definedName name="HTML2_3" hidden="1">"Sales Plan"</definedName>
    <definedName name="HTML2_4" hidden="1">"Sales Plan"</definedName>
    <definedName name="HTML2_5" hidden="1">"Sales Plan model by Charlie Tillett of Frontier Software_x000D_"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"[mitforum.xls]Headcount!$A$1:$P$54"</definedName>
    <definedName name="HTML3_10" hidden="1">""</definedName>
    <definedName name="HTML3_11" hidden="1">1</definedName>
    <definedName name="HTML3_12" hidden="1">"C:\My Documents\HiringPlan.html"</definedName>
    <definedName name="HTML3_2" hidden="1">1</definedName>
    <definedName name="HTML3_3" hidden="1">"Hiring Plan"</definedName>
    <definedName name="HTML3_4" hidden="1">"Hiring Plan"</definedName>
    <definedName name="HTML3_5" hidden="1">"Sales Plan model by Charlie Tillett of Frontier Software_x000D__x000D_"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4_1" hidden="1">"'[mitforum.xls]Other Expenses'!$A$1:$P$23"</definedName>
    <definedName name="HTML4_10" hidden="1">""</definedName>
    <definedName name="HTML4_11" hidden="1">1</definedName>
    <definedName name="HTML4_12" hidden="1">"C:\My Documents\NonSalary.html"</definedName>
    <definedName name="HTML4_2" hidden="1">1</definedName>
    <definedName name="HTML4_3" hidden="1">"Non-Salary Expenses"</definedName>
    <definedName name="HTML4_4" hidden="1">"Non-Salary Expenses"</definedName>
    <definedName name="HTML4_5" hidden="1">"Financial model by Charlie Tillett of Frontier Software (charlie@frontier.com)_x000D_"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5_1" hidden="1">"'[mitforum.xls]Income Statement'!$A$1:$Q$19"</definedName>
    <definedName name="HTML5_10" hidden="1">""</definedName>
    <definedName name="HTML5_11" hidden="1">1</definedName>
    <definedName name="HTML5_12" hidden="1">"C:\My Documents\IncomeStat.html"</definedName>
    <definedName name="HTML5_2" hidden="1">1</definedName>
    <definedName name="HTML5_3" hidden="1">"Income Statement"</definedName>
    <definedName name="HTML5_4" hidden="1">"Income Statement"</definedName>
    <definedName name="HTML5_5" hidden="1">"Financial model by Charlie Tillett of Frontier Software (charlie@frontier.com)"</definedName>
    <definedName name="HTML5_6" hidden="1">-4146</definedName>
    <definedName name="HTML5_7" hidden="1">-4146</definedName>
    <definedName name="HTML5_8" hidden="1">""</definedName>
    <definedName name="HTML5_9" hidden="1">""</definedName>
    <definedName name="HTML6_1" hidden="1">"'[mitforum.xls]Balance Sheet &amp; Cash Flow'!$A$1:$O$22"</definedName>
    <definedName name="HTML6_10" hidden="1">""</definedName>
    <definedName name="HTML6_11" hidden="1">1</definedName>
    <definedName name="HTML6_12" hidden="1">"C:\My Documents\CashFlow.htm"</definedName>
    <definedName name="HTML6_2" hidden="1">1</definedName>
    <definedName name="HTML6_3" hidden="1">"Balance Sheet &amp; Cash Flow"</definedName>
    <definedName name="HTML6_4" hidden="1">"Balance Sheet &amp; Cash Flow"</definedName>
    <definedName name="HTML6_5" hidden="1">"Financial model by Charlie Tillett of Frontier Software (charlie@frontier.com)"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"'[mitforum.xls]Double Entry Primer'!$A$1:$X$17"</definedName>
    <definedName name="HTML7_10" hidden="1">""</definedName>
    <definedName name="HTML7_11" hidden="1">1</definedName>
    <definedName name="HTML7_12" hidden="1">"C:\My Documents\DoubleEntry.htm"</definedName>
    <definedName name="HTML7_2" hidden="1">1</definedName>
    <definedName name="HTML7_3" hidden="1">"Double Entry Primer"</definedName>
    <definedName name="HTML7_4" hidden="1">"Double Entry Primer"</definedName>
    <definedName name="HTML7_5" hidden="1">"Financial model by Charlie Tillett of Frontier Software (charlie@frontier.com)"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Count" hidden="1">7</definedName>
    <definedName name="INTERNET" hidden="1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CCOUNTING_FFIEC" hidden="1">"c13054"</definedName>
    <definedName name="IQ_ACCRUED_INTEREST_RECEIVABLE_FFIEC" hidden="1">"c12842"</definedName>
    <definedName name="IQ_ADDIN" hidden="1">"AUTO"</definedName>
    <definedName name="IQ_ADVERTISING_MARKETING_EXPENSES_FFIEC" hidden="1">"c13048"</definedName>
    <definedName name="IQ_AFS_INVEST_SECURITIES_FFIEC" hidden="1">"c13456"</definedName>
    <definedName name="IQ_AFS_SECURITIES_TIER_1_FFIEC" hidden="1">"c13343"</definedName>
    <definedName name="IQ_AGENCY_INVEST_SECURITIES_FFIEC" hidden="1">"c13458"</definedName>
    <definedName name="IQ_AGRICULTURAL_GROSS_LOANS_FFIEC" hidden="1">"c13413"</definedName>
    <definedName name="IQ_AGRICULTURAL_LOANS_FOREIGN_FFIEC" hidden="1">"c13481"</definedName>
    <definedName name="IQ_AGRICULTURAL_RISK_BASED_FFIEC" hidden="1">"c13434"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LL_LOSSES_FFIEC" hidden="1">"c12810"</definedName>
    <definedName name="IQ_ALLOWABLE_T2_CAPITAL_FFIEC" hidden="1">"c13150"</definedName>
    <definedName name="IQ_ALLOWANCE_CREDIT_LOSSES_OFF_BS_FFIEC" hidden="1">"c12871"</definedName>
    <definedName name="IQ_ALLOWANCE_LL_LOSSES_T2_FFIEC" hidden="1">"c13146"</definedName>
    <definedName name="IQ_AMORT_EXP_IMPAIRMENT_OTHER_INTANGIBLE_ASSETS_FFIEC" hidden="1">"c13026"</definedName>
    <definedName name="IQ_AMOUNT_FINANCIAL_LOC_CONVEYED_FFIEC" hidden="1">"c13250"</definedName>
    <definedName name="IQ_AMOUNT_PERFORMANCE_LOC_CONVEYED_FFIEC" hidden="1">"c13252"</definedName>
    <definedName name="IQ_ANNUITY_SALES_FEES_COMMISSIONS_FFIEC" hidden="1">"c13007"</definedName>
    <definedName name="IQ_ASSETS_REPRICE_ASSETS_TOT_FFIEC" hidden="1">"c13454"</definedName>
    <definedName name="IQ_ATM_FEES_FFIEC" hidden="1">"c13042"</definedName>
    <definedName name="IQ_ATM_INTERCHANGE_EXPENSES_FFIEC" hidden="1">"c13056"</definedName>
    <definedName name="IQ_AVAILABLE_SALE_SEC_FFIEC" hidden="1">"c12791"</definedName>
    <definedName name="IQ_AVG_TOTAL_ASSETS_LEVERAGE_CAPITAL_FFIEC" hidden="1">"c13159"</definedName>
    <definedName name="IQ_AVG_TOTAL_ASSETS_LEVERAGE_RATIO_FFIEC" hidden="1">"c13154"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NK_LOAN_LIST" hidden="1">"c13507"</definedName>
    <definedName name="IQ_BANKING_FEES_OPERATING_INC_FFIEC" hidden="1">"c13386"</definedName>
    <definedName name="IQ_BOND_LIST" hidden="1">"c13505"</definedName>
    <definedName name="IQ_BORROWED_MONEY_QUARTERLY_AVG_FFIEC" hidden="1">"c13091"</definedName>
    <definedName name="IQ_BORROWINGS_LESS_1YR_ASSETS_TOT_FFIEC" hidden="1">"c13450"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SINESS_COMBINATIONS_FFIEC" hidden="1">"c12967"</definedName>
    <definedName name="IQ_BV_ACT_OR_EST_REUT" hidden="1">"c5471"</definedName>
    <definedName name="IQ_BV_EST_REUT" hidden="1">"c5403"</definedName>
    <definedName name="IQ_BV_HIGH_EST_REUT" hidden="1">"c5405"</definedName>
    <definedName name="IQ_BV_LOW_EST_REUT" hidden="1">"c5406"</definedName>
    <definedName name="IQ_BV_MEDIAN_EST_REUT" hidden="1">"c5404"</definedName>
    <definedName name="IQ_BV_NUM_EST_REUT" hidden="1">"c5407"</definedName>
    <definedName name="IQ_BV_STDDEV_EST_REUT" hidden="1">"c5408"</definedName>
    <definedName name="IQ_CASH_BALANCES_DUE_FFIEC" hidden="1">"c12773"</definedName>
    <definedName name="IQ_CDS_DERIVATIVES_BENEFICIARY_FFIEC" hidden="1">"c13119"</definedName>
    <definedName name="IQ_CDS_DERIVATIVES_GUARANTOR_FFIEC" hidden="1">"c13112"</definedName>
    <definedName name="IQ_CDS_LIST" hidden="1">"c13510"</definedName>
    <definedName name="IQ_CDS_LOAN_LIST" hidden="1">"c13518"</definedName>
    <definedName name="IQ_CDS_SENIOR_LIST" hidden="1">"c13508"</definedName>
    <definedName name="IQ_CDS_SUB_LIST" hidden="1">"c13509"</definedName>
    <definedName name="IQ_CH">110000</definedName>
    <definedName name="IQ_CHANGE_FAIR_VALUE_FINANCIAL_LIAB_T1_FFIEC" hidden="1">"c13138"</definedName>
    <definedName name="IQ_CHANGE_FAIR_VALUE_OPTIONS_FFIEC" hidden="1">"c13045"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MBS_ISSUED_AVAIL_SALE_FFIEC" hidden="1">"c12800"</definedName>
    <definedName name="IQ_CMBS_ISSUED_FFIEC" hidden="1">"c12786"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ON_ACCRUAL_FFIEC" hidden="1">"c13323"</definedName>
    <definedName name="IQ_COMMERCIAL_INDUSTRIAL_NON_US_CHARGE_OFFS_FFIEC" hidden="1">"c13179"</definedName>
    <definedName name="IQ_COMMERCIAL_INDUSTRIAL_NON_US_RECOV_FFIEC" hidden="1">"c13201"</definedName>
    <definedName name="IQ_COMMERCIAL_INDUSTRIAL_RISK_BASED_FFIEC" hidden="1">"c13431"</definedName>
    <definedName name="IQ_COMMERCIAL_INDUSTRIAL_TRADING_DOM_FFIEC" hidden="1">"c12932"</definedName>
    <definedName name="IQ_COMMERCIAL_INDUSTRIAL_US_CHARGE_OFFS_FFIEC" hidden="1">"c13178"</definedName>
    <definedName name="IQ_COMMERCIAL_INDUSTRIAL_US_RECOV_FFIEC" hidden="1">"c13200"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GROSS_LOANS_FFIEC" hidden="1">"c13400"</definedName>
    <definedName name="IQ_COMMERCIAL_RE_RISK_BASED_FFIEC" hidden="1">"c13421"</definedName>
    <definedName name="IQ_COMMITMENTS_BUY_SEC_OTHER_OFF_BS_FFIEC" hidden="1">"c13128"</definedName>
    <definedName name="IQ_COMMITMENTS_COMMERCIAL_RE_UNUSED_FFIEC" hidden="1">"c13243"</definedName>
    <definedName name="IQ_COMMITMENTS_SELL_SEC_OTHER_OFF_BS_FFIEC" hidden="1">"c13129"</definedName>
    <definedName name="IQ_COMMODITY_EXPOSURE_FFIEC" hidden="1">"c13061"</definedName>
    <definedName name="IQ_COMMON_STOCK_FFIEC" hidden="1">"c12876"</definedName>
    <definedName name="IQ_CONSOLIDATED_ASSETS_QUARTERLY_AVG_FFIEC" hidden="1">"c13087"</definedName>
    <definedName name="IQ_CONST_LAND_DEVELOP_OTHER_DOM_CHARGE_OFFS_FFIEC" hidden="1">"c13628"</definedName>
    <definedName name="IQ_CONST_LAND_DEVELOP_OTHER_DOM_RECOV_FFIEC" hidden="1">"c13632"</definedName>
    <definedName name="IQ_CONSTRUCTION_LL_REC_DOM_FFIEC" hidden="1">"c12900"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RISK_BASED_FFIEC" hidden="1">"c13422"</definedName>
    <definedName name="IQ_CONSULTING_FFIEC" hidden="1">"c13055"</definedName>
    <definedName name="IQ_CONSUMER_LEASES_LL_REC_FFIEC" hidden="1">"c12895"</definedName>
    <definedName name="IQ_CONSUMER_LOANS_LL_REC_DOM_FFIEC" hidden="1">"c12911"</definedName>
    <definedName name="IQ_CONTRACTS_OTHER_COMMODITIES_EQUITIES._FDIC" hidden="1">"c6522"</definedName>
    <definedName name="IQ_CONV_RATE" hidden="1">"c2192"</definedName>
    <definedName name="IQ_CONVERSION_COMMON_FFIEC" hidden="1">"c12964"</definedName>
    <definedName name="IQ_CONVERSION_PREF_FFIEC" hidden="1">"c12962"</definedName>
    <definedName name="IQ_CORE_DEPOSITS_ASSETS_TOT_FFIEC" hidden="1">"c13442"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ED_FUNDS_FFIEC" hidden="1">"c13492"</definedName>
    <definedName name="IQ_COST_FOREIGN_DEPOSITS_FFIEC" hidden="1">"c13490"</definedName>
    <definedName name="IQ_COST_FUNDS_PURCHASED_FFIEC" hidden="1">"c13491"</definedName>
    <definedName name="IQ_COST_INT_DEPOSITS_FFIEC" hidden="1">"c13489"</definedName>
    <definedName name="IQ_CQ">5000</definedName>
    <definedName name="IQ_CREDIT_CARD_GROSS_LOANS_FFIEC" hidden="1">"c13412"</definedName>
    <definedName name="IQ_CREDIT_CARD_INTERCHANGE_FEES_FFIEC" hidden="1">"c13046"</definedName>
    <definedName name="IQ_CREDIT_CARD_LINES_UNUSED_FFIEC" hidden="1">"c13242"</definedName>
    <definedName name="IQ_CREDIT_CARD_LOANS_CHARGE_OFFS_FFIEC" hidden="1">"c13180"</definedName>
    <definedName name="IQ_CREDIT_CARD_LOANS_DUE_30_89_FFIEC" hidden="1">"c13272"</definedName>
    <definedName name="IQ_CREDIT_CARD_LOANS_DUE_90_FFIEC" hidden="1">"c13298"</definedName>
    <definedName name="IQ_CREDIT_CARD_LOANS_NON_ACCRUAL_FFIEC" hidden="1">"c13324"</definedName>
    <definedName name="IQ_CREDIT_CARD_LOANS_RECOV_FFIEC" hidden="1">"c13202"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_FFIEC" hidden="1">"c13062"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STOMER_LIAB_ACCEPTANCES_OUT_FFIEC" hidden="1">"c12835"</definedName>
    <definedName name="IQ_CY">10000</definedName>
    <definedName name="IQ_DAILY">500000</definedName>
    <definedName name="IQ_DATA_PROCESSING_EXP_FFIEC" hidden="1">"c13047"</definedName>
    <definedName name="IQ_DEBT_1_5_INVEST_SECURITIES_FFIEC" hidden="1">"c13465"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MAND_DEPOSITS_COMMERCIAL_BANK_SUBS_FFIEC" hidden="1">"c12945"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OREIGN_FFIEC" hidden="1">"c12853"</definedName>
    <definedName name="IQ_DEPOSITS_LESS_100K_COMMERCIAL_BANK_SUBS_FFIEC" hidden="1">"c12948"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VIDENDS_DECLARED_COMMON_FFIEC" hidden="1">"c12969"</definedName>
    <definedName name="IQ_DIVIDENDS_DECLARED_PREFERRED_FFIEC" hidden="1">"c12968"</definedName>
    <definedName name="IQ_DIVIDENDS_NET_INCOME_FFIEC" hidden="1">"c13349"</definedName>
    <definedName name="IQ_DNTM" hidden="1">700000</definedName>
    <definedName name="IQ_EARNING_ASSETS_AVG_ASSETS_FFIEC" hidden="1">"c13354"</definedName>
    <definedName name="IQ_EARNING_ASSETS_QUARTERLY_AVG_FFIEC" hidden="1">"c13086"</definedName>
    <definedName name="IQ_EARNING_ASSETS_REPRICE_ASSETS_TOT_FFIEC" hidden="1">"c13451"</definedName>
    <definedName name="IQ_EARNINGS_CO_FFIEC" hidden="1">"c13032"</definedName>
    <definedName name="IQ_EARNINGS_COVERAGE_LOSSES_FFIEC" hidden="1">"c13351"</definedName>
    <definedName name="IQ_EARNINGS_LIFE_INSURANCE_FFIEC" hidden="1">"c13041"</definedName>
    <definedName name="IQ_EBT_FFIEC" hidden="1">"c13029"</definedName>
    <definedName name="IQ_EBT_FTE_FFIEC" hidden="1">"c13037"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MPLOYEES_FFIEC" hidden="1">"c13035"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QUARTERLY_AVG_FFIEC" hidden="1">"c13092"</definedName>
    <definedName name="IQ_EQUITY_ENDING_FFIEC" hidden="1">"c12973"</definedName>
    <definedName name="IQ_EQUITY_INDEX_EXPOSURE_FFIEC" hidden="1">"c13060"</definedName>
    <definedName name="IQ_EQUITY_SEC_FAIR_VALUE_FFIEC" hidden="1">"c12805"</definedName>
    <definedName name="IQ_EQUITY_SEC_INVEST_SECURITIES_FFIEC" hidden="1">"c13463"</definedName>
    <definedName name="IQ_EQUITY_SECURITIES_WITHOUT_FAIR_VALUES_FFIEC" hidden="1">"c12846"</definedName>
    <definedName name="IQ_ESOP_DEBT_GUARANTEED_FFIEC" hidden="1">"c12971"</definedName>
    <definedName name="IQ_EST_ACT_BV_REUT" hidden="1">"c5409"</definedName>
    <definedName name="IQ_EST_ACT_FFO_REUT" hidden="1">"c3843"</definedName>
    <definedName name="IQ_EST_BV_DIFF_REUT" hidden="1">"c5433"</definedName>
    <definedName name="IQ_EST_BV_SURPRISE_PERCENT_REUT" hidden="1">"c5434"</definedName>
    <definedName name="IQ_EST_FAIR_VALUE_MORT_SERVICING_ASSETS_FFIEC" hidden="1">"c12956"</definedName>
    <definedName name="IQ_EST_FFO_DIFF_REUT" hidden="1">"c3890"</definedName>
    <definedName name="IQ_EST_FFO_SURPRISE_PERCENT_REUT" hidden="1">"c3891"</definedName>
    <definedName name="IQ_EST_NUM_BUY_REUT" hidden="1">"c3869"</definedName>
    <definedName name="IQ_EST_NUM_HOLD_REUT" hidden="1">"c3871"</definedName>
    <definedName name="IQ_EST_NUM_OUTPERFORM_REUT" hidden="1">"c3870"</definedName>
    <definedName name="IQ_EST_NUM_SELL_REUT" hidden="1">"c3873"</definedName>
    <definedName name="IQ_EST_NUM_UNDERPERFORM_REUT" hidden="1">"c3872"</definedName>
    <definedName name="IQ_EXPENSES_FIXED_ASSETS_FFIEC" hidden="1">"c13024"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VG_ASSETS_FFIEC" hidden="1">"c13369"</definedName>
    <definedName name="IQ_EXTRAORDINARY_ITEMS_FFIEC" hidden="1">"c13033"</definedName>
    <definedName name="IQ_FDIC_DEPOSIT_INSURANCE_FFIEC" hidden="1">"c13053"</definedName>
    <definedName name="IQ_FED_FUNDS_PURCHASED_DOM_FFIEC" hidden="1">"c12856"</definedName>
    <definedName name="IQ_FED_FUNDS_PURCHASED_QUARTERLY_AVG_FFIEC" hidden="1">"c13090"</definedName>
    <definedName name="IQ_FED_FUNDS_SOLD_DOM_FFIEC" hidden="1">"c12806"</definedName>
    <definedName name="IQ_FED_FUNDS_SOLD_QUARTERLY_AVG_FFIEC" hidden="1">"c13080"</definedName>
    <definedName name="IQ_FEES_COMMISSIONS_BROKERAGE_FFIEC" hidden="1">"c13005"</definedName>
    <definedName name="IQ_FFO_EST_REUT" hidden="1">"c3837"</definedName>
    <definedName name="IQ_FFO_HIGH_EST_REUT" hidden="1">"c3839"</definedName>
    <definedName name="IQ_FFO_LOW_EST_REUT" hidden="1">"c3840"</definedName>
    <definedName name="IQ_FFO_MEDIAN_EST_REUT" hidden="1">"c3838"</definedName>
    <definedName name="IQ_FFO_NUM_EST_REUT" hidden="1">"c3841"</definedName>
    <definedName name="IQ_FFO_STDDEV_EST_REUT" hidden="1">"c3842"</definedName>
    <definedName name="IQ_FH">100000</definedName>
    <definedName name="IQ_FIDUCIARY_INCOME_OPERATING_INC_FFIEC" hidden="1">"c13383"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XED_INCOME_LIST" hidden="1">"c13504"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OREIGN_BANKS_DUE_30_89_FFIEC" hidden="1">"c13269"</definedName>
    <definedName name="IQ_FOREIGN_BANKS_DUE_90_FFIEC" hidden="1">"c13295"</definedName>
    <definedName name="IQ_FOREIGN_BANKS_NON_ACCRUAL_FFIEC" hidden="1">"c13321"</definedName>
    <definedName name="IQ_FOREIGN_BRANCHES_U.S._BANKS_LOANS_FDIC" hidden="1">"c6438"</definedName>
    <definedName name="IQ_FOREIGN_DEPOSITS_ASSETS_TOT_FFIEC" hidden="1">"c13445"</definedName>
    <definedName name="IQ_FOREIGN_DEPOSITS_TOT_FFIEC" hidden="1">"c13486"</definedName>
    <definedName name="IQ_FOREIGN_LL_REC_FFIEC" hidden="1">"c12892"</definedName>
    <definedName name="IQ_FOREIGN_LOANS_LEASES_FOREIGN_FFIEC" hidden="1">"c13478"</definedName>
    <definedName name="IQ_FQ">500</definedName>
    <definedName name="IQ_FUND_FEE_INC_NON_INT_INC_FFIEC" hidden="1">"c13493"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FIEC" hidden="1">"c13125"</definedName>
    <definedName name="IQ_FX_EXPOSURE_FFIEC" hidden="1">"c13059"</definedName>
    <definedName name="IQ_FY">1000</definedName>
    <definedName name="IQ_GAIN_CREDIT_DERIVATIVES_FFIEC" hidden="1">"c13066"</definedName>
    <definedName name="IQ_GAIN_CREDIT_DERIVATIVES_NON_TRADING_FFIEC" hidden="1">"c13067"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OODWILL_FFIEC" hidden="1">"c12836"</definedName>
    <definedName name="IQ_GOODWILL_IMPAIRMENT_FFIEC" hidden="1">"c13025"</definedName>
    <definedName name="IQ_GROSS_LOSSES_AVG_LOANS_FFIEC" hidden="1">"c13475"</definedName>
    <definedName name="IQ_HIGH_LOW_CLOSEPRICE_DATE" hidden="1">"c1204"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HTM_INVEST_SECURITIES_FFIEC" hidden="1">"c13455"</definedName>
    <definedName name="IQ_HTM_SECURITIES_TIER_1_FFIEC" hidden="1">"c13342"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NC_DOM_LOANS_FFIEC" hidden="1">"c12975"</definedName>
    <definedName name="IQ_INCOME_CHECKS_FFIEC" hidden="1">"c13040"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ES_FFIEC" hidden="1">"c13030"</definedName>
    <definedName name="IQ_INCREASE_INT_INCOME_FFIEC" hidden="1">"c13063"</definedName>
    <definedName name="IQ_INDIVIDUALS_GROSS_LOANS_FFIEC" hidden="1">"c13411"</definedName>
    <definedName name="IQ_INDIVIDUALS_RISK_BASED_FFIEC" hidden="1">"c13432"</definedName>
    <definedName name="IQ_INSURANCE_REINSURANCE_UNDERWRITING_INCOME_FFIEC" hidden="1">"c13008"</definedName>
    <definedName name="IQ_INSURANCE_REV_OPERATING_INC_FFIEC" hidden="1">"c13387"</definedName>
    <definedName name="IQ_INT_BEARING_FUNDS_AVG_ASSETS_FFIEC" hidden="1">"c13355"</definedName>
    <definedName name="IQ_INT_BEARING_LIABILITIES_REPRICE_ASSETS_TOT_FFIEC" hidden="1">"c13452"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EXP_AVG_ASSETS_FFIEC" hidden="1">"c13357"</definedName>
    <definedName name="IQ_INT_EXP_EARNING_ASSETS_FFIEC" hidden="1">"c13376"</definedName>
    <definedName name="IQ_INT_EXP_FED_FUNDS_PURCHASED_FFIEC" hidden="1">"c12996"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SECURED_RE_DOM_FFIEC" hidden="1">"c12977"</definedName>
    <definedName name="IQ_INT_FEE_INCOME_FFIEC" hidden="1">"c12974"</definedName>
    <definedName name="IQ_INT_INC_AVG_ASSETS_FFIEC" hidden="1">"c13356"</definedName>
    <definedName name="IQ_INT_INC_DUE_DEPOSITORY_INSTITUTIONS_FFIEC" hidden="1">"c12981"</definedName>
    <definedName name="IQ_INT_INC_EARNING_ASSETS_FFIEC" hidden="1">"c13375"</definedName>
    <definedName name="IQ_INT_INC_FED_FUNDS_SOLD_FFIEC" hidden="1">"c12987"</definedName>
    <definedName name="IQ_INT_INC_TE_AVG_ASSETS_FFIEC" hidden="1">"c13358"</definedName>
    <definedName name="IQ_INT_INC_TE_EARNING_ASSETS_FFIEC" hidden="1">"c13377"</definedName>
    <definedName name="IQ_INT_INC_TRADING_ASSETS_FFIEC" hidden="1">"c12986"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EREST_BEARING_CASH_FOREIGN_FFIEC" hidden="1">"c12776"</definedName>
    <definedName name="IQ_INTEREST_BEARING_CASH_US_FFIEC" hidden="1">"c12775"</definedName>
    <definedName name="IQ_INVEST_SECURITIES_ASSETS_TOT_FFIEC" hidden="1">"c13440"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LATESTK" hidden="1">1000</definedName>
    <definedName name="IQ_LATESTQ" hidden="1">500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DOM_FFIEC" hidden="1">"c12915"</definedName>
    <definedName name="IQ_LEASE_RECEIVABLES_FOREIGN_FFIEC" hidden="1">"c13483"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IABILITY_ACCEPTANCES_OUT_FFIEC" hidden="1">"c12866"</definedName>
    <definedName name="IQ_LIABILITY_SHORT_POSITIONS_DOM_FFIEC" hidden="1">"c12941"</definedName>
    <definedName name="IQ_LIFE_INSURANCE_ASSETS_FFIEC" hidden="1">"c12847"</definedName>
    <definedName name="IQ_LIQUID_ASSETS_ASSETS_TOT_FFIEC" hidden="1">"c13439"</definedName>
    <definedName name="IQ_LIQUID_ASSETS_NONCORE_FUNDING_FFIEC" hidden="1">"c13339"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LOSSES_AVERAGE_LOANS_FFIEC" hidden="1">"c13350"</definedName>
    <definedName name="IQ_LOANS_AGRICULTURAL_PROD_LL_REC_FFIEC" hidden="1">"c12886"</definedName>
    <definedName name="IQ_LOANS_DEPOSITORY_INST_US_LL_REC_FFIEC" hidden="1">"c12884"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HELD_SALE_FFIEC" hidden="1">"c12808"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PURCHASING_CARRYING_SECURITIES_LL_REC_DOM_FFIEC" hidden="1">"c12913"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CONSTRUCTION_TRADING_DOM_FFIEC" hidden="1">"c12925"</definedName>
    <definedName name="IQ_LOANS_SECURED_FARMLAND_TRADING_DOM_FFIEC" hidden="1">"c12926"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US_INST_CHARGE_OFFS_FFIEC" hidden="1">"c13175"</definedName>
    <definedName name="IQ_LOANS_US_INST_RECOV_FFIEC" hidden="1">"c13197"</definedName>
    <definedName name="IQ_LOSS_AVAIL_SALE_EQUITY_SEC_T1_FFIEC" hidden="1">"c13132"</definedName>
    <definedName name="IQ_LT_DEBT_MATURING_1YR_INT_SENSITIVITY_FFIEC" hidden="1">"c13097"</definedName>
    <definedName name="IQ_LT_DEBT_REPRICE_ASSETS_TOT_FFIEC" hidden="1">"c13453"</definedName>
    <definedName name="IQ_LT_DEBT_REPRICING_WITHIN_1_YR_INT_SENSITIVITY_FFIEC" hidden="1">"c13095"</definedName>
    <definedName name="IQ_LTM">2000</definedName>
    <definedName name="IQ_LTMMONTH" hidden="1">120000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ONEY_MARKET_ACCOUNTS_COMMERCIAL_BANK_SUBS_FFIEC" hidden="1">"c12947"</definedName>
    <definedName name="IQ_MONEY_MARKET_ACCOUNTS_OTHER_INSTITUTIONS_FFIEC" hidden="1">"c12952"</definedName>
    <definedName name="IQ_MONTH">15000</definedName>
    <definedName name="IQ_MORTGAGE_SERVICING_ASSETS_FFIEC" hidden="1">"c12838"</definedName>
    <definedName name="IQ_MTD" hidden="1">800000</definedName>
    <definedName name="IQ_MULTI_RES_PROPERTIES_TRADING_DOM_FFIEC" hidden="1">"c12930"</definedName>
    <definedName name="IQ_MULTIFAMILY_LOANS_GROSS_LOANS_FFIEC" hidden="1">"c13404"</definedName>
    <definedName name="IQ_MULTIFAMILY_LOANS_RISK_BASED_FFIEC" hidden="1">"c13425"</definedName>
    <definedName name="IQ_MUNICIPAL_INVEST_SECURITIES_FFIEC" hidden="1">"c13459"</definedName>
    <definedName name="IQ_NAMES_REVISION_DATE_" hidden="1">43195.7631597222</definedName>
    <definedName name="IQ_NAV_ACT_OR_EST" hidden="1">"c2225"</definedName>
    <definedName name="IQ_NEGATIVE_FAIR_VALUE_DERIVATIVES_BENEFICIARY_FFIEC" hidden="1">"c13124"</definedName>
    <definedName name="IQ_NEGATIVE_FAIR_VALUE_DERIVATIVES_GUARANTOR_FFIEC" hidden="1">"c13117"</definedName>
    <definedName name="IQ_NET_FUNDS_PURCHASED_ASSETS_TOT_FFIEC" hidden="1">"c13448"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OME_FFIEC" hidden="1">"c13001"</definedName>
    <definedName name="IQ_NET_INT_INCOME_FTE_FFIEC" hidden="1">"c13036"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I_AVG_ASSETS_FFIEC" hidden="1">"c13370"</definedName>
    <definedName name="IQ_NI_FFIEC" hidden="1">"c13034"</definedName>
    <definedName name="IQ_NON_ACCRU_ALLOW_RECEIVABLES_FFIEC" hidden="1">"c13353"</definedName>
    <definedName name="IQ_NON_FARM_NONRES_PROPERTIES_TRADING_DOM_FFIEC" hidden="1">"c12931"</definedName>
    <definedName name="IQ_NON_INT_BAL_OTHER_INSTITUTIONS_FFIEC" hidden="1">"c12950"</definedName>
    <definedName name="IQ_NON_INT_DEPOSITS_DOM_FFIEC" hidden="1">"c12851"</definedName>
    <definedName name="IQ_NON_INT_DEPOSITS_FOREIGN_FFIEC" hidden="1">"c12854"</definedName>
    <definedName name="IQ_NON_INT_EXPENSE_FFIEC" hidden="1">"c13028"</definedName>
    <definedName name="IQ_NON_INT_INC_AVG_ASSETS_FFIEC" hidden="1">"c13359"</definedName>
    <definedName name="IQ_NON_INT_INC_OPERATING_INC_FFIEC" hidden="1">"c13382"</definedName>
    <definedName name="IQ_NON_INT_INCOME_FFIEC" hidden="1">"c13017"</definedName>
    <definedName name="IQ_NON_US_ADDRESS_LEASE_FIN_REC_FFIEC" hidden="1">"c13625"</definedName>
    <definedName name="IQ_NONCASH_INCOME_AMORT_CLOSED_END_LOANS_FFIEC" hidden="1">"c13078"</definedName>
    <definedName name="IQ_NONCORE_ASSETS_TOT_FFIEC" hidden="1">"c13443"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INTEREST_BEARING_CASH_FFIEC" hidden="1">"c12774"</definedName>
    <definedName name="IQ_NONQUALIFYING_PREFERRED_T1_FFIEC" hidden="1">"c13134"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TIONAL_AMT_DERIVATIVES_BENEFICIARY_FFIEC" hidden="1">"c13118"</definedName>
    <definedName name="IQ_NOTIONAL_AMT_DERIVATIVES_GUARANTOR_FFIEC" hidden="1">"c13111"</definedName>
    <definedName name="IQ_NOW_ATS_ACCOUNTS_COMMERCIAL_BANK_SUBS_FFIEC" hidden="1">"c12946"</definedName>
    <definedName name="IQ_NOW_ATS_ACCOUNTS_OTHER_INSTITUTIONS_FFIEC" hidden="1">"c12951"</definedName>
    <definedName name="IQ_NTM">6000</definedName>
    <definedName name="IQ_OCCUPANCY_EXP_AVG_ASSETS_FFIEC" hidden="1">"c13372"</definedName>
    <definedName name="IQ_OCCUPANCY_EXP_OPERATING_INC_FFIEC" hidden="1">"c13380"</definedName>
    <definedName name="IQ_OG_TOTAL_OIL_PRODUCTON" hidden="1">"c2059"</definedName>
    <definedName name="IQ_OPENED55" hidden="1">1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REO_FFIEC" hidden="1">"c12831"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USTMENTS_FFIEC" hidden="1">"c12972"</definedName>
    <definedName name="IQ_OTHER_ASSETS_FFIEC" hidden="1">"c12848"</definedName>
    <definedName name="IQ_OTHER_ASSETS_TOTAL_FFIEC" hidden="1">"c12841"</definedName>
    <definedName name="IQ_OTHER_BORROWED_MONEY_FFIEC" hidden="1">"c12862"</definedName>
    <definedName name="IQ_OTHER_BORROWED_MONEY_LT_FFIEC" hidden="1">"c12865"</definedName>
    <definedName name="IQ_OTHER_BORROWED_MONEY_ST_FFIEC" hidden="1">"c12864"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DUCTIONS_LEVERAGE_RATIO_FFIEC" hidden="1">"c13158"</definedName>
    <definedName name="IQ_OTHER_DEPOSITS_FFIEC" hidden="1">"c12994"</definedName>
    <definedName name="IQ_OTHER_DERIVATIVES_BENEFICIARY_FFIEC" hidden="1">"c13122"</definedName>
    <definedName name="IQ_OTHER_DERIVATIVES_GUARANTOR_FFIEC" hidden="1">"c13115"</definedName>
    <definedName name="IQ_OTHER_EQUITY_CAPITAL_COMPS_FFIEC" hidden="1">"c12880"</definedName>
    <definedName name="IQ_OTHER_EQUITY_FFIEC" hidden="1">"c12879"</definedName>
    <definedName name="IQ_OTHER_EXP_OPERATING_INC_FFIEC" hidden="1">"c13381"</definedName>
    <definedName name="IQ_OTHER_FOREIGN_LOANS_FOREIGN_FFIEC" hidden="1">"c13482"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GIBLE_ASSETS_FFIEC" hidden="1">"c12837"</definedName>
    <definedName name="IQ_OTHER_INTANGIBLE_ASSETS_TOT_FFIEC" hidden="1">"c12840"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L_REC_DOM_FFIEC" hidden="1">"c12914"</definedName>
    <definedName name="IQ_OTHER_LOANS_NON_ACCRUAL_FFIEC" hidden="1">"c13327"</definedName>
    <definedName name="IQ_OTHER_LOANS_RISK_BASED_FFIEC" hidden="1">"c13435"</definedName>
    <definedName name="IQ_OTHER_LOANS_TRADING_DOM_FFIEC" hidden="1">"c12936"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NON_INT_ALLOCATIONS_FFIEC" hidden="1">"c13065"</definedName>
    <definedName name="IQ_OTHER_NON_INT_EXP_FFIEC" hidden="1">"c13027"</definedName>
    <definedName name="IQ_OTHER_NON_INT_INC_OPERATING_INC_FFIEC" hidden="1">"c13392"</definedName>
    <definedName name="IQ_OTHER_NON_INT_INCOME_FFIEC" hidden="1">"c13016"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OFF_BS_ITEMS_FFIEC" hidden="1">"c13126"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TRADING_ASSETS_FFIEC" hidden="1">"c12826"</definedName>
    <definedName name="IQ_OTHER_TRADING_ASSETS_TOTAL_FFIEC" hidden="1">"c12937"</definedName>
    <definedName name="IQ_OTHER_TRADING_LIABILITIES_FFIEC" hidden="1">"c12860"</definedName>
    <definedName name="IQ_OTHER_UNUSED_FFIEC" hidden="1">"c13248"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PARTICIPATIONS_ACCEPTANCES_FFIEC" hidden="1">"c13254"</definedName>
    <definedName name="IQ_PASS_THROUGH_FNMA_GNMA_TRADING_FFIEC" hidden="1">"c12816"</definedName>
    <definedName name="IQ_PAST_DUE_ALLOW_GROSS_LOANS_FFIEC" hidden="1">"c13416"</definedName>
    <definedName name="IQ_PERCENT_CHANGE_EST_FFO_12MONTHS" hidden="1">"c1828"</definedName>
    <definedName name="IQ_PERCENT_CHANGE_EST_FFO_12MONTHS_REUT" hidden="1">"c3938"</definedName>
    <definedName name="IQ_PERCENT_CHANGE_EST_FFO_18MONTHS" hidden="1">"c1829"</definedName>
    <definedName name="IQ_PERCENT_CHANGE_EST_FFO_18MONTHS_REUT" hidden="1">"c3939"</definedName>
    <definedName name="IQ_PERCENT_CHANGE_EST_FFO_3MONTHS" hidden="1">"c1825"</definedName>
    <definedName name="IQ_PERCENT_CHANGE_EST_FFO_3MONTHS_REUT" hidden="1">"c3935"</definedName>
    <definedName name="IQ_PERCENT_CHANGE_EST_FFO_6MONTHS" hidden="1">"c1826"</definedName>
    <definedName name="IQ_PERCENT_CHANGE_EST_FFO_6MONTHS_REUT" hidden="1">"c3936"</definedName>
    <definedName name="IQ_PERCENT_CHANGE_EST_FFO_9MONTHS" hidden="1">"c1827"</definedName>
    <definedName name="IQ_PERCENT_CHANGE_EST_FFO_9MONTHS_REUT" hidden="1">"c3937"</definedName>
    <definedName name="IQ_PERCENT_CHANGE_EST_FFO_DAY" hidden="1">"c1822"</definedName>
    <definedName name="IQ_PERCENT_CHANGE_EST_FFO_DAY_REUT" hidden="1">"c3933"</definedName>
    <definedName name="IQ_PERCENT_CHANGE_EST_FFO_MONTH" hidden="1">"c1824"</definedName>
    <definedName name="IQ_PERCENT_CHANGE_EST_FFO_MONTH_REUT" hidden="1">"c3934"</definedName>
    <definedName name="IQ_PERCENT_CHANGE_EST_FFO_WEEK" hidden="1">"c1823"</definedName>
    <definedName name="IQ_PERCENT_CHANGE_EST_FFO_WEEK_REUT" hidden="1">"c3964"</definedName>
    <definedName name="IQ_PERFORMANCE_LOC_FOREIGN_GUARANTEES_FFIEC" hidden="1">"c13251"</definedName>
    <definedName name="IQ_PERIODDATE_FDIC" hidden="1">"c13646"</definedName>
    <definedName name="IQ_PERIODDATE_FFIEC" hidden="1">"c13645"</definedName>
    <definedName name="IQ_PERSONNEL_EXP_AVG_ASSETS_FFIEC" hidden="1">"c13371"</definedName>
    <definedName name="IQ_PERSONNEL_EXP_OPERATING_INC_FFIEC" hidden="1">"c13379"</definedName>
    <definedName name="IQ_PLEDGED_SEC_INVEST_SECURITIES_FFIEC" hidden="1">"c13467"</definedName>
    <definedName name="IQ_POLICYHOLDER_BENEFITS_LH_FFIEC" hidden="1">"c13107"</definedName>
    <definedName name="IQ_POSITIVE_FAIR_VALUE_DERIVATIVES_BENEFICIARY_FFIEC" hidden="1">"c13123"</definedName>
    <definedName name="IQ_POSITIVE_FAIR_VALUE_DERIVATIVES_GUARANTOR_FFIEC" hidden="1">"c13116"</definedName>
    <definedName name="IQ_POSTAGE_FFIEC" hidden="1">"c13051"</definedName>
    <definedName name="IQ_PREF_STOCK_FFIEC" hidden="1">"c12875"</definedName>
    <definedName name="IQ_PREFERRED_LIST" hidden="1">"c13506"</definedName>
    <definedName name="IQ_PREMISES_FIXED_ASSETS_CAP_LEASES_FFIEC" hidden="1">"c12830"</definedName>
    <definedName name="IQ_PREMIUM_INSURANCE_CREDIT_FFIEC" hidden="1">"c13070"</definedName>
    <definedName name="IQ_PRETAX_OPERATING_INC_AVG_ASSETS_FFIEC" hidden="1">"c13365"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OVISION_LL_FFIEC" hidden="1">"c13019"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URCHASE_TREASURY_FFIEC" hidden="1">"c12966"</definedName>
    <definedName name="IQ_PURCHASED_CREDIT_RELS_SERVICING_ASSETS_FFIEC" hidden="1">"c12839"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RCHASING_SECURITIES_LL_REC_FFIEC" hidden="1">"c12893"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RE_1_4_RISK_BASED_FFIEC" hidden="1">"c13418"</definedName>
    <definedName name="IQ_RE_ACQ_SATISFACTION_DEBTS_FFIEC" hidden="1">"c12832"</definedName>
    <definedName name="IQ_RE_FARMLAND_GROSS_LOANS_FFIEC" hidden="1">"c13408"</definedName>
    <definedName name="IQ_RE_FARMLAND_RISK_BASED_FFIEC" hidden="1">"c13429"</definedName>
    <definedName name="IQ_RE_FOREIGN_FFIEC" hidden="1">"c13479"</definedName>
    <definedName name="IQ_RE_LOANS_1_4_GROSS_LOANS_FFIEC" hidden="1">"c13397"</definedName>
    <definedName name="IQ_RE_LOANS_GROSS_LOANS_FFIEC" hidden="1">"c13396"</definedName>
    <definedName name="IQ_RE_RISK_BASED_FFIEC" hidden="1">"c13417"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AVG_LOANS_FFIEC" hidden="1">"c13476"</definedName>
    <definedName name="IQ_REINSURANCE_RECOVERABLE_ASSETS_LH_FFIEC" hidden="1">"c13104"</definedName>
    <definedName name="IQ_REINSURANCE_RECOVERABLE_ASSETS_PC_FFIEC" hidden="1">"c13098"</definedName>
    <definedName name="IQ_RENT_OTHER_INC_FROM_OREO_FFIEC" hidden="1">"c13043"</definedName>
    <definedName name="IQ_RENT_SAFE_DEPOSIT_FFIEC" hidden="1">"c13044"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TATEMENTS_FFIEC" hidden="1">"c12958"</definedName>
    <definedName name="IQ_RETAINED_EARNINGS_EQUITY_FFIEC" hidden="1">"c13348"</definedName>
    <definedName name="IQ_RETAINED_EARNINGS_FFIEC" hidden="1">"c12878"</definedName>
    <definedName name="IQ_REVALUATION_GAINS_DERIVATIVE_DOM_FFIEC" hidden="1">"c12828"</definedName>
    <definedName name="IQ_REVALUATION_GAINS_DERIVATIVE_FOREIGN_FFIEC" hidden="1">"c12829"</definedName>
    <definedName name="IQ_REVENUE_BEFORE_LL_FFIEC" hidden="1">"c13018"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SALARIES_EMPLOYEE_BENEFITS_FFIEC" hidden="1">"c13023"</definedName>
    <definedName name="IQ_SALE_COMMON_GROSS_FFIEC" hidden="1">"c12963"</definedName>
    <definedName name="IQ_SALE_PREF_FFIEC" hidden="1">"c12961"</definedName>
    <definedName name="IQ_SALE_TREASURY_FFIEC" hidden="1">"c12965"</definedName>
    <definedName name="IQ_SBC_EXPENSE_FFIEC" hidden="1">"c13077"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RECOV_FFIEC" hidden="1">"c13194"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MULTI_RES_LL_REC_DOM_FFIEC" hidden="1">"c12905"</definedName>
    <definedName name="IQ_SECURITIES_HELD_MATURITY_FFIEC" hidden="1">"c12777"</definedName>
    <definedName name="IQ_SECURITIES_ISSUED_US_FFIEC" hidden="1">"c12781"</definedName>
    <definedName name="IQ_SECURITIES_LENT_FFIEC" hidden="1">"c13255"</definedName>
    <definedName name="IQ_SECURITIES_QUARTERLY_AVG_FFIEC" hidden="1">"c13079"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LECTED_FOREIGN_ASSETS_FFIEC" hidden="1">"c13485"</definedName>
    <definedName name="IQ_SEP_ACCOUNT_ASSETS_LH_FFIEC" hidden="1">"c13105"</definedName>
    <definedName name="IQ_SEPARATE_ACCOUNT_LIAB_LH_FFIEC" hidden="1">"c13108"</definedName>
    <definedName name="IQ_SERVICE_CHARGES_DEPOSIT_ACCOUNTS_DOM_FFIEC" hidden="1">"c13003"</definedName>
    <definedName name="IQ_SERVICE_CHARGES_OPERATING_INC_FFIEC" hidden="1">"c13384"</definedName>
    <definedName name="IQ_SERVICING_FEES_FFIEC" hidden="1">"c13011"</definedName>
    <definedName name="IQ_SERVICING_FEES_OPERATING_INC_FFIEC" hidden="1">"c13389"</definedName>
    <definedName name="IQ_SHAREOUTSTANDING" hidden="1">"c1347"</definedName>
    <definedName name="IQ_SHARES_PER_DR" hidden="1">"c204"</definedName>
    <definedName name="IQ_SHORT_POSITIONS_FFIEC" hidden="1">"c12859"</definedName>
    <definedName name="IQ_ST_INVEST_ASSETS_TOT_FFIEC" hidden="1">"c13438"</definedName>
    <definedName name="IQ_ST_INVEST_ST_NONCORE_FUNDING_FFIEC" hidden="1">"c13338"</definedName>
    <definedName name="IQ_STRIPS_RECEIVABLE_MORTGAGE_LOANS_FFIEC" hidden="1">"c12844"</definedName>
    <definedName name="IQ_STRIPS_RECEIVABLE_OTHER_FFIEC" hidden="1">"c12845"</definedName>
    <definedName name="IQ_STRUCTURED_NOTES_INVEST_SECURITIES_FFIEC" hidden="1">"c13468"</definedName>
    <definedName name="IQ_STRUCTURING_NOTES_TIER_1_FFIEC" hidden="1">"c13344"</definedName>
    <definedName name="IQ_SUB_NOTES_DEBENTURES_FFIEC" hidden="1">"c12867"</definedName>
    <definedName name="IQ_SUB_NOTES_PAYABLE_UNCONSOLIDATED_TRUSTS_FFIEC" hidden="1">"c12868"</definedName>
    <definedName name="IQ_SUPPLIES_FFIEC" hidden="1">"c13050"</definedName>
    <definedName name="IQ_SURPLUS_FFIEC" hidden="1">"c12877"</definedName>
    <definedName name="IQ_TANGIBLE_EQUITY_ASSETS_FFIEC" hidden="1">"c13346"</definedName>
    <definedName name="IQ_TANGIBLE_TIER_1_LEVERAGE_FFIEC" hidden="1">"c13345"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_EXCL_FFIEC" hidden="1">"c13516"</definedName>
    <definedName name="IQ_TELECOM_FFIEC" hidden="1">"c13057"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ME_DEPOSITS_LESS_100K_OTHER_INSTITUTIONS_FFIEC" hidden="1">"c12953"</definedName>
    <definedName name="IQ_TIME_DEPOSITS_MORE_100K_OTHER_INSTITUTIONS_FFIEC" hidden="1">"c12954"</definedName>
    <definedName name="IQ_TODAY" hidden="1">0</definedName>
    <definedName name="IQ_TOTAL_ASSETS_BNK_SUBTOTAL_AP" hidden="1">"c13644"</definedName>
    <definedName name="IQ_TOTAL_ASSETS_FFIEC" hidden="1">"c12849"</definedName>
    <definedName name="IQ_TOTAL_ASSETS_LH_FFIEC" hidden="1">"c13106"</definedName>
    <definedName name="IQ_TOTAL_ASSETS_PC_FFIEC" hidden="1">"c13099"</definedName>
    <definedName name="IQ_TOTAL_COMMON_SHARES_OUT_FFIEC" hidden="1">"c12955"</definedName>
    <definedName name="IQ_TOTAL_CONSTRUCTION_LL_REC_DOM_FFIEC" hidden="1">"c13515"</definedName>
    <definedName name="IQ_TOTAL_DEPOSITS_FFIEC" hidden="1">"c13623"</definedName>
    <definedName name="IQ_TOTAL_EQUITY_CAPITAL_T1_FFIEC" hidden="1">"c13130"</definedName>
    <definedName name="IQ_TOTAL_EQUITY_FFIEC" hidden="1">"c12881"</definedName>
    <definedName name="IQ_TOTAL_EQUITY_LH_FFIEC" hidden="1">"c13109"</definedName>
    <definedName name="IQ_TOTAL_EQUITY_PC_FFIEC" hidden="1">"c13102"</definedName>
    <definedName name="IQ_TOTAL_INT_EXPENSE_FFIEC" hidden="1">"c13000"</definedName>
    <definedName name="IQ_TOTAL_INT_INCOME_FFIEC" hidden="1">"c12989"</definedName>
    <definedName name="IQ_TOTAL_LIABILITIES_EQUITY_FFIEC" hidden="1">"c12882"</definedName>
    <definedName name="IQ_TOTAL_LIABILITIES_FFIEC" hidden="1">"c12873"</definedName>
    <definedName name="IQ_TOTAL_LL_REC_DOM_FFIEC" hidden="1">"c12917"</definedName>
    <definedName name="IQ_TOTAL_LL_REC_FFIEC" hidden="1">"c12898"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RECOV_FFIEC" hidden="1">"c13208"</definedName>
    <definedName name="IQ_TOTAL_PENSION_OBLIGATION" hidden="1">"c1292"</definedName>
    <definedName name="IQ_TOTAL_RETURN_SWAPS_DERIVATIVES_BENEFICIARY_FFIEC" hidden="1">"c13120"</definedName>
    <definedName name="IQ_TOTAL_RETURN_SWAPS_DERIVATIVES_GUARANTOR_FFIEC" hidden="1">"c13113"</definedName>
    <definedName name="IQ_TOTAL_REVENUE_FFIEC" hidden="1">"c13020"</definedName>
    <definedName name="IQ_TOTAL_RISK_BASED_CAPITAL_FFIEC" hidden="1">"c13153"</definedName>
    <definedName name="IQ_TOTAL_RISK_BASED_CAPITAL_RATIO_FFIEC" hidden="1">"c13162"</definedName>
    <definedName name="IQ_TOTAL_TRADING_ASSETS_FFIEC" hidden="1">"c12939"</definedName>
    <definedName name="IQ_TOTAL_TRADING_LIAB_DOM_FFIEC" hidden="1">"c12944"</definedName>
    <definedName name="IQ_TR_BUY_TERM_FEE" hidden="1">"c13638"</definedName>
    <definedName name="IQ_TR_BUY_TERM_FEE_PCT" hidden="1">"c13639"</definedName>
    <definedName name="IQ_TR_REGISTRATION_FEES" hidden="1">"c2274"</definedName>
    <definedName name="IQ_TR_SELL_TERM_FEE" hidden="1">"c2298"</definedName>
    <definedName name="IQ_TR_SELL_TERM_FEE_PCT" hidden="1">"c2297"</definedName>
    <definedName name="IQ_TRADING_ASSETS_FAIR_VALUE_TOT_FFIEC" hidden="1">"c13210"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LIABILITIES_FAIR_VALUE_TOT_FFIEC" hidden="1">"c13214"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OPERATING_INC_FFIEC" hidden="1">"c13385"</definedName>
    <definedName name="IQ_TRADING_REVENUE_FFIEC" hidden="1">"c13004"</definedName>
    <definedName name="IQ_TREASURY_INVEST_SECURITIES_FFIEC" hidden="1">"c13457"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SECURED_COMMITMENTS_COMMERCIAL_RE_UNUSED_FFIEC" hidden="1">"c13246"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FIEC" hidden="1">"c12778"</definedName>
    <definedName name="IQ_VARIABLE_RATE_PREFERREDS_INT_SENSITIVITY_FFIEC" hidden="1">"c13096"</definedName>
    <definedName name="IQ_VC_REV_OPERATING_INC_FFIEC" hidden="1">"c13388"</definedName>
    <definedName name="IQ_VENTURE_CAPITAL_REVENUE_FFIEC" hidden="1">"c13010"</definedName>
    <definedName name="IQ_VWAP" hidden="1">"c13514"</definedName>
    <definedName name="IQ_WEEK">50000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RM" hidden="1">{"bs",#N/A,FALSE,"SCF"}</definedName>
    <definedName name="iuer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iut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iuyi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j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jbxbzf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jef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jfsd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jvh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kjfgj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k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limcount" hidden="1">1</definedName>
    <definedName name="ListOffset" hidden="1">1</definedName>
    <definedName name="ljer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lkj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g" hidden="1">{"Month End Performance",#N/A,FALSE,"Report";"Site Talk Times",#N/A,FALSE,"Report"}</definedName>
    <definedName name="noidea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th2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3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4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5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6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7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ing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s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OP" hidden="1">{#N/A,#N/A,FALSE,"Operations";#N/A,#N/A,FALSE,"Financials"}</definedName>
    <definedName name="pete" hidden="1">{#N/A,#N/A,FALSE,"Printing Output";#N/A,#N/A,FALSE,"BS";#N/A,#N/A,FALSE,"CF"}</definedName>
    <definedName name="placeholder" hidden="1">{#N/A,#N/A,FALSE,"Performance Flash Report"}</definedName>
    <definedName name="print4" hidden="1">{#N/A,#N/A,FALSE,"Operations";#N/A,#N/A,FALSE,"Financials"}</definedName>
    <definedName name="PUB_FileID" hidden="1">"L10003649.xls"</definedName>
    <definedName name="PUB_UserID" hidden="1">"MAYERX"</definedName>
    <definedName name="q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qafgs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qq" hidden="1">{#N/A,#N/A,FALSE,"CBE";#N/A,#N/A,FALSE,"SWK"}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rdhvjv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redo" hidden="1">{#N/A,#N/A,FALSE,"ACQ_GRAPHS";#N/A,#N/A,FALSE,"T_1 GRAPHS";#N/A,#N/A,FALSE,"T_2 GRAPHS";#N/A,#N/A,FALSE,"COMB_GRAPHS"}</definedName>
    <definedName name="Revise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rngComments" hidden="1">[2]ONYX!$I$1:$I$2</definedName>
    <definedName name="rngDialogType" hidden="1">[2]ONYX!$A$10:$A$10</definedName>
    <definedName name="rngEndDate" hidden="1">[2]ONYX!$A$7:$A$7</definedName>
    <definedName name="rngLastQuery" hidden="1">[2]ONYX!$A$9:$A$9</definedName>
    <definedName name="rngLastRefreshOffline" hidden="1">[2]ONYX!$A$14:$A$14</definedName>
    <definedName name="rngPassword" hidden="1">[2]ONYX!$A$16:$A$16</definedName>
    <definedName name="rngPivotLocation" hidden="1">[2]ONYX!$A$5:$A$5</definedName>
    <definedName name="rngProtected" hidden="1">[2]ONYX!$A$15:$A$15</definedName>
    <definedName name="rngPWD" hidden="1">[2]ONYX!$A$4:$A$4</definedName>
    <definedName name="rngQuery" hidden="1">[2]ONYX!$A$12:$A$12</definedName>
    <definedName name="rngQueryType" hidden="1">[2]ONYX!$A$11:$A$11</definedName>
    <definedName name="rngRangeName" hidden="1">[2]ONYX!$H$1:$H$2</definedName>
    <definedName name="rngRefreshedDate" hidden="1">[2]ONYX!$A$8:$A$8</definedName>
    <definedName name="rngScenarios" hidden="1">[2]ONYX!$G$1:$G$2</definedName>
    <definedName name="rngShow" hidden="1">[2]ONYX!C1:C5</definedName>
    <definedName name="rngStartDate" hidden="1">[2]ONYX!$A$6:$A$6</definedName>
    <definedName name="rngStoredProcedure" hidden="1">[2]ONYX!$A$2:$A$2</definedName>
    <definedName name="rngUID" hidden="1">[2]ONYX!$A$3:$A$3</definedName>
    <definedName name="rngUnplugged" hidden="1">[2]ONYX!$A$13:$A$13</definedName>
    <definedName name="rngVersion" hidden="1">[2]ONYX!$A$1:$A$1</definedName>
    <definedName name="rtndf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rty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s" hidden="1">{"bs",#N/A,FALSE,"SCF"}</definedName>
    <definedName name="s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sdf" hidden="1">{#N/A,#N/A,FALSE,"Calc";#N/A,#N/A,FALSE,"Sensitivity";#N/A,#N/A,FALSE,"LT Earn.Dil.";#N/A,#N/A,FALSE,"Dil. AVP"}</definedName>
    <definedName name="sencount" hidden="1">1</definedName>
    <definedName name="se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h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solver_lin" hidden="1">0</definedName>
    <definedName name="solver_num" hidden="1">1</definedName>
    <definedName name="solver_rel1" hidden="1">1</definedName>
    <definedName name="solver_rhs1" hidden="1">0.15</definedName>
    <definedName name="solver_tmp" hidden="1">0.15</definedName>
    <definedName name="solver_typ" hidden="1">3</definedName>
    <definedName name="solver_val" hidden="1">0.25</definedName>
    <definedName name="Sportspromotion" hidden="1">{"frvgl_ag",#N/A,FALSE,"FRPRINT";"frvgl_domestic",#N/A,FALSE,"FRPRINT";"frvgl_int_sales",#N/A,FALSE,"FRPRINT"}</definedName>
    <definedName name="test2" hidden="1">{#N/A,#N/A,FALSE,"Performance Flash Report"}</definedName>
    <definedName name="test3" hidden="1">{#N/A,#N/A,FALSE,"Performance Flash Report"}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kudsh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TLGBE" hidden="1">{"bs",#N/A,FALSE,"SCF"}</definedName>
    <definedName name="ugyi" hidden="1">{#N/A,#N/A,FALSE,"output";#N/A,#N/A,FALSE,"contrib";#N/A,#N/A,FALSE,"profile";#N/A,#N/A,FALSE,"comps"}</definedName>
    <definedName name="umy" hidden="1">{"comps",#N/A,FALSE,"comps";"notes",#N/A,FALSE,"comps"}</definedName>
    <definedName name="v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wavylws" hidden="1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wer" hidden="1">{"comp1",#N/A,FALSE,"COMPS";"footnotes",#N/A,FALSE,"COMPS"}</definedName>
    <definedName name="wishlws" hidden="1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wrn.1." hidden="1">{#N/A,#N/A,FALSE,"Calc";#N/A,#N/A,FALSE,"Sensitivity";#N/A,#N/A,FALSE,"LT Earn.Dil.";#N/A,#N/A,FALSE,"Dil. AVP"}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2.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A_VALUATION." hidden="1">{#N/A,#N/A,FALSE,"A_D";#N/A,#N/A,FALSE,"WACC";#N/A,#N/A,FALSE,"DCF";#N/A,#N/A,FALSE,"A";#N/A,#N/A,FALSE,"LBO";#N/A,#N/A,FALSE,"C";#N/A,#N/A,FALSE,"impd";#N/A,#N/A,FALSE,"comps"}</definedName>
    <definedName name="wrn.Accr_Dil." hidden="1">{#N/A,#N/A,FALSE,"Debt Accr";#N/A,#N/A,FALSE,"Stock Accr";#N/A,#N/A,FALSE,"Debt Stock Accr"}</definedName>
    <definedName name="wrn.ACCTRECONS." hidden="1">{#N/A,#N/A,FALSE,"1110";#N/A,#N/A,FALSE,"1120";#N/A,#N/A,FALSE,"1140";#N/A,#N/A,FALSE,"1150";#N/A,#N/A,FALSE,"chalmers";#N/A,#N/A,FALSE,"gentner";#N/A,#N/A,FALSE,"1230";#N/A,#N/A,FALSE,"PPD INS";#N/A,#N/A,FALSE,"1260";#N/A,#N/A,FALSE,"PPD SVC";#N/A,#N/A,FALSE,"1950";#N/A,#N/A,FALSE,"1960";#N/A,#N/A,FALSE,"2040";#N/A,#N/A,FALSE,"2165";#N/A,#N/A,FALSE,"2200";#N/A,#N/A,FALSE,"2300-2590";#N/A,#N/A,FALSE,"2410";#N/A,#N/A,FALSE,"2600";#N/A,#N/A,FALSE,"3030";#N/A,#N/A,FALSE,"3-31 Adj";#N/A,#N/A,FALSE,"3800";#N/A,#N/A,FALSE,"3850 (REG D)";#N/A,#N/A,FALSE,"3850 (IPO)";#N/A,#N/A,FALSE,"3910-1000";#N/A,#N/A,FALSE,"3950";#N/A,#N/A,FALSE,"3-31 Adj";#N/A,#N/A,FALSE,"Consult and Colab";#N/A,#N/A,FALSE,"Seminars and Cont Ed";#N/A,#N/A,FALSE,"LEASES"}</definedName>
    <definedName name="wrn.ACCTRECONS.b" hidden="1">{#N/A,#N/A,FALSE,"1110";#N/A,#N/A,FALSE,"1120";#N/A,#N/A,FALSE,"1140";#N/A,#N/A,FALSE,"1150";#N/A,#N/A,FALSE,"chalmers";#N/A,#N/A,FALSE,"gentner";#N/A,#N/A,FALSE,"1230";#N/A,#N/A,FALSE,"PPD INS";#N/A,#N/A,FALSE,"1260";#N/A,#N/A,FALSE,"PPD SVC";#N/A,#N/A,FALSE,"1950";#N/A,#N/A,FALSE,"1960";#N/A,#N/A,FALSE,"2040";#N/A,#N/A,FALSE,"2165";#N/A,#N/A,FALSE,"2200";#N/A,#N/A,FALSE,"2300-2590";#N/A,#N/A,FALSE,"2410";#N/A,#N/A,FALSE,"2600";#N/A,#N/A,FALSE,"3030";#N/A,#N/A,FALSE,"3-31 Adj";#N/A,#N/A,FALSE,"3800";#N/A,#N/A,FALSE,"3850 (REG D)";#N/A,#N/A,FALSE,"3850 (IPO)";#N/A,#N/A,FALSE,"3910-1000";#N/A,#N/A,FALSE,"3950";#N/A,#N/A,FALSE,"3-31 Adj";#N/A,#N/A,FALSE,"Consult and Colab";#N/A,#N/A,FALSE,"Seminars and Cont Ed";#N/A,#N/A,FALSE,"LEASES"}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_Models." hidden="1">{#N/A,#N/A,FALSE,"Summary";#N/A,#N/A,FALSE,"Projections";#N/A,#N/A,FALSE,"Mkt Mults";#N/A,#N/A,FALSE,"DCF";#N/A,#N/A,FALSE,"Accr Dil";#N/A,#N/A,FALSE,"PIC LBO";#N/A,#N/A,FALSE,"MULT10_4";#N/A,#N/A,FALSE,"CBI LBO"}</definedName>
    <definedName name="wrn.All_Sheets.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gulp._.sheets.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butPREMIUM.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Models." hidden="1">{#N/A,#N/A,FALSE,"AD_Purchase";#N/A,#N/A,FALSE,"Credit";#N/A,#N/A,FALSE,"PF Acquisition";#N/A,#N/A,FALSE,"PF Offering"}</definedName>
    <definedName name="wrn.AOL._.Budget.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wrn.assumptions." hidden="1">{"casespecific",#N/A,FALSE,"Assumptions"}</definedName>
    <definedName name="wrn.away." hidden="1">{"away stand alones",#N/A,FALSE,"Target"}</definedName>
    <definedName name="wrn.balance._.sheet." hidden="1">{"bs",#N/A,FALSE,"SCF"}</definedName>
    <definedName name="wrn.basics." hidden="1">{#N/A,#N/A,FALSE,"TSUM";#N/A,#N/A,FALSE,"shares";#N/A,#N/A,FALSE,"earnout";#N/A,#N/A,FALSE,"Heaty";#N/A,#N/A,FALSE,"self-tend";#N/A,#N/A,FALSE,"self-sum"}</definedName>
    <definedName name="wrn.Board._.Forecast." hidden="1">{#N/A,#N/A,FALSE,"CONS";#N/A,#N/A,FALSE,"CONS-AN";#N/A,#N/A,FALSE,"CONS-INT";#N/A,#N/A,FALSE,"CONS-LWS";#N/A,#N/A,FALSE,"CONS-AFF";#N/A,#N/A,FALSE,"CONS-LMA";#N/A,#N/A,FALSE,"CONS-LP";#N/A,#N/A,FALSE,"KXAN";#N/A,#N/A,FALSE,"WANE";#N/A,#N/A,FALSE,"WAVY";#N/A,#N/A,FALSE,"WISH";#N/A,#N/A,FALSE,"WIVB";#N/A,#N/A,FALSE,"WLFI";#N/A,#N/A,FALSE,"WNLO";#N/A,#N/A,FALSE,"WOOD";#N/A,#N/A,FALSE,"WTNH";#N/A,#N/A,FALSE,"WWLP";#N/A,#N/A,FALSE,"WAPA";#N/A,#N/A,FALSE,"KNVA";#N/A,#N/A,FALSE,"WCTX";#N/A,#N/A,FALSE,"WOTV";#N/A,#N/A,FALSE,"WVBT";#N/A,#N/A,FALSE,"WXSP";#N/A,#N/A,FALSE,"WAND";#N/A,#N/A,FALSE,"iKXAN";#N/A,#N/A,FALSE,"iWANE";#N/A,#N/A,FALSE,"iWAPA";#N/A,#N/A,FALSE,"iWAVY";#N/A,#N/A,FALSE,"iWISH";#N/A,#N/A,FALSE,"iWIVB";#N/A,#N/A,FALSE,"iWOOD";#N/A,#N/A,FALSE,"iWTNH";#N/A,#N/A,FALSE,"iWWLP";#N/A,#N/A,FALSE,"iWCTX";#N/A,#N/A,FALSE,"WANE-LW";#N/A,#N/A,FALSE,"WAVY-LW";#N/A,#N/A,FALSE,"WISH-LW";#N/A,#N/A,FALSE,"CORP"}</definedName>
    <definedName name="wrn.brian." hidden="1">{#N/A,#N/A,FALSE,"output";#N/A,#N/A,FALSE,"contrib";#N/A,#N/A,FALSE,"profile";#N/A,#N/A,FALSE,"comps"}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llshit1." hidden="1">{#N/A,#N/A,FALSE,"Sheet1";#N/A,#N/A,FALSE,"Summary";#N/A,#N/A,FALSE,"proj1";#N/A,#N/A,FALSE,"proj2"}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endant." hidden="1">{"01-Cover",#N/A,FALSE,"Cover";"02-Income Statement (Annual)",#N/A,FALSE,"Income Statement";"02.5- Income Statement (Quarterly)",#N/A,FALSE,"Income Statement";"03-EBITDA Summary (Annual)",#N/A,FALSE,"EBITDA Summary";"03.5 EBITDA Summary (Quarterly)",#N/A,FALSE,"EBITDA Summary";"04-Real Estate (Annual)",#N/A,FALSE,"Revenue Drivers";"05-Hospitality (Annual)",#N/A,FALSE,"Revenue Drivers";"06-Travel and Vehicle (Annual)",#N/A,FALSE,"Revenue Drivers";"07-Financial and Other (Annual)",#N/A,FALSE,"Revenue Drivers"}</definedName>
    <definedName name="wrn.COMBINED." hidden="1">{#N/A,#N/A,FALSE,"INPUTS";#N/A,#N/A,FALSE,"PROFORMA BSHEET";#N/A,#N/A,FALSE,"COMBINED";#N/A,#N/A,FALSE,"HIGH YIELD";#N/A,#N/A,FALSE,"COMB_GRAPHS"}</definedName>
    <definedName name="wrn.comps." hidden="1">{"comps",#N/A,FALSE,"comps";"notes",#N/A,FALSE,"comps"}</definedName>
    <definedName name="wrn.cooper." hidden="1">{#N/A,#N/A,TRUE,"Pro Forma";#N/A,#N/A,TRUE,"PF_Bal";#N/A,#N/A,TRUE,"PF_INC";#N/A,#N/A,TRUE,"CBE";#N/A,#N/A,TRUE,"SWK"}</definedName>
    <definedName name="wrn.CS._.Flash._.Test." hidden="1">{#N/A,#N/A,FALSE,"Performance Flash Report"}</definedName>
    <definedName name="wrn.department._.detail." hidden="1">{"page a",#N/A,FALSE,"exist rev 01_99";"page b",#N/A,FALSE,"exist rev 01_99";"page c",#N/A,FALSE,"exist rev 01_99";"page d",#N/A,FALSE,"exist rev 01_99";"page e",#N/A,FALSE,"exist rev 01_99";"page f",#N/A,FALSE,"exist rev 01_99"}</definedName>
    <definedName name="wrn.dil_anal." hidden="1">{"hiden",#N/A,FALSE,"14";"hidden",#N/A,FALSE,"16";"hidden",#N/A,FALSE,"18";"hidden",#N/A,FALSE,"20"}</definedName>
    <definedName name="wrn.document." hidden="1">{"comp",#N/A,FALSE,"SPEC";"footnotes",#N/A,FALSE,"SPEC"}</definedName>
    <definedName name="wrn.documentaero." hidden="1">{"comps2",#N/A,FALSE,"AERO";"footnotes",#N/A,FALSE,"AERO"}</definedName>
    <definedName name="wrn.documenthand." hidden="1">{"comps",#N/A,FALSE,"HANDPACK";"footnotes",#N/A,FALSE,"HANDPACK"}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quity._.comps." hidden="1">{"equity comps",#N/A,FALSE,"CS Comps";"equity comps",#N/A,FALSE,"PS Comps";"equity comps",#N/A,FALSE,"GIC_Comps";"equity comps",#N/A,FALSE,"GIC2_Comps"}</definedName>
    <definedName name="wrn.Filter." hidden="1">{#N/A,#N/A,FALSE,"Assump2";#N/A,#N/A,FALSE,"Income2";#N/A,#N/A,FALSE,"Balance2";#N/A,#N/A,FALSE,"DCF Filter";#N/A,#N/A,FALSE,"Trans Assump2";#N/A,#N/A,FALSE,"Combined Income2";#N/A,#N/A,FALSE,"Combined Balance2"}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rst2." hidden="1">{#N/A,#N/A,FALSE,"sum-don";#N/A,#N/A,FALSE,"inc-don"}</definedName>
    <definedName name="wrn.first3." hidden="1">{#N/A,#N/A,FALSE,"Summary";#N/A,#N/A,FALSE,"proj1";#N/A,#N/A,FALSE,"proj2"}</definedName>
    <definedName name="wrn.first4." hidden="1">{#N/A,#N/A,FALSE,"Summary";#N/A,#N/A,FALSE,"proj1";#N/A,#N/A,FALSE,"proj2";#N/A,#N/A,FALSE,"DCF"}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hidden="1">{"frvgl_ag",#N/A,FALSE,"FRPRINT";"frvgl_domestic",#N/A,FALSE,"FRPRINT";"frvgl_int_sales",#N/A,FALSE,"FRPRINT"}</definedName>
    <definedName name="wrn.Full._.Model.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model1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wrn.GRAPHS." hidden="1">{#N/A,#N/A,FALSE,"ACQ_GRAPHS";#N/A,#N/A,FALSE,"T_1 GRAPHS";#N/A,#N/A,FALSE,"T_2 GRAPHS";#N/A,#N/A,FALSE,"COMB_GRAPHS"}</definedName>
    <definedName name="wrn.HEAT." hidden="1">{#N/A,#N/A,FALSE,"Heat";#N/A,#N/A,FALSE,"DCF";#N/A,#N/A,FALSE,"LBO";#N/A,#N/A,FALSE,"A";#N/A,#N/A,FALSE,"C";#N/A,#N/A,FALSE,"impd";#N/A,#N/A,FALSE,"Accr-Dilu"}</definedName>
    <definedName name="wrn.Hydraulic.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2.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IPO._.Valuation." hidden="1">{"assumptions",#N/A,FALSE,"Scenario 1";"valuation",#N/A,FALSE,"Scenario 1"}</definedName>
    <definedName name="wrn.IPO._.Valuationu" hidden="1">{"assumptions",#N/A,FALSE,"Scenario 1";"valuation",#N/A,FALSE,"Scenario 1"}</definedName>
    <definedName name="wrn.ipovalue." hidden="1">{#N/A,#N/A,FALSE,"puboff";#N/A,#N/A,FALSE,"valuation";#N/A,#N/A,FALSE,"finanalsis";#N/A,#N/A,FALSE,"split";#N/A,#N/A,FALSE,"ownership"}</definedName>
    <definedName name="wrn.ISCG._.model." hidden="1">{#N/A,#N/A,FALSE,"Second";#N/A,#N/A,FALSE,"ownership";#N/A,#N/A,FALSE,"Valuation";#N/A,#N/A,FALSE,"Eqiv";#N/A,#N/A,FALSE,"Mults";#N/A,#N/A,FALSE,"ISCG Graphics"}</definedName>
    <definedName name="wrn.LBO._.Summary." hidden="1">{"LBO Summary",#N/A,FALSE,"Summary"}</definedName>
    <definedName name="wrn.LBP.u" hidden="1">{"LBO Summary",#N/A,FALSE,"Summary"}</definedName>
    <definedName name="wrn.Maine." hidden="1">{"Assumptions",#N/A,TRUE,"Assumptions";"Income",#N/A,TRUE,"Income";"Balance",#N/A,TRUE,"Balance"}</definedName>
    <definedName name="wrn.Maine2.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rket._.Share._.Report." hidden="1">{#N/A,#N/A,FALSE,"Summary";#N/A,#N/A,FALSE,"CONS";#N/A,#N/A,FALSE,"Aff";#N/A,#N/A,FALSE,"LMA";#N/A,#N/A,FALSE,"WAPA";#N/A,#N/A,FALSE,"WISH";#N/A,#N/A,FALSE,"Hartford";#N/A,#N/A,FALSE,"WTNH";#N/A,#N/A,FALSE,"WCTX";#N/A,#N/A,FALSE,"Battle Creek";#N/A,#N/A,FALSE,"WOOD";#N/A,#N/A,FALSE,"WOTV";#N/A,#N/A,FALSE,"WXSP";#N/A,#N/A,FALSE,"Norfolk";#N/A,#N/A,FALSE,"WAVY";#N/A,#N/A,FALSE,"WVBT";#N/A,#N/A,FALSE,"Buffalo";#N/A,#N/A,FALSE,"WIVB";#N/A,#N/A,FALSE,"WNLO";#N/A,#N/A,FALSE,"Austin";#N/A,#N/A,FALSE,"KXAN";#N/A,#N/A,FALSE,"KNVA";#N/A,#N/A,FALSE,"WANE";#N/A,#N/A,FALSE,"WWLP";#N/A,#N/A,FALSE,"WLFI"}</definedName>
    <definedName name="wrn.MEMBER._.SERVICES._.ALL.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wrn.memo." hidden="1">{#N/A,#N/A,TRUE,"financial";#N/A,#N/A,TRUE,"plants"}</definedName>
    <definedName name="wrn.merge." hidden="1">{#N/A,#N/A,FALSE,"IPO";#N/A,#N/A,FALSE,"DCF";#N/A,#N/A,FALSE,"LBO";#N/A,#N/A,FALSE,"MULT_VAL";#N/A,#N/A,FALSE,"Status Quo";#N/A,#N/A,FALSE,"Recap"}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onthly." hidden="1">{"Month End Performance",#N/A,FALSE,"Report";"Site Talk Times",#N/A,FALSE,"Report"}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newest." hidden="1">{#N/A,#N/A,TRUE,"TS";#N/A,#N/A,TRUE,"Combo";#N/A,#N/A,TRUE,"FAIR";#N/A,#N/A,TRUE,"RBC";#N/A,#N/A,TRUE,"xxxx"}</definedName>
    <definedName name="wrn.packer._.1.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ge._.1." hidden="1">{"page one",#N/A,FALSE,"revision 01_99"}</definedName>
    <definedName name="wrn.page._.2." hidden="1">{"page two",#N/A,FALSE,"revision 01_99"}</definedName>
    <definedName name="wrn.page._.3." hidden="1">{"page three",#N/A,FALSE,"revision 01_99"}</definedName>
    <definedName name="wrn.Print." hidden="1">{"vi1",#N/A,FALSE,"Financial Statements";"vi2",#N/A,FALSE,"Financial Statements";#N/A,#N/A,FALSE,"DCF"}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Daily._.Conversion._.Points." hidden="1">{"Conversion (Daily Only)","SITE",FALSE,"Daily";"Conversion (Daily Only)","Apparel",FALSE,"Daily";"Conversion (Daily Only)","Baby",FALSE,"Daily";"Conversion (Daily Only)","Books",FALSE,"Daily";"Conversion (Daily Only)","Electronics",FALSE,"Daily";"Conversion (Daily Only)","Garden",FALSE,"Daily";"Conversion (Daily Only)","Gifts",FALSE,"Daily";"Conversion (Daily Only)","Home",FALSE,"Daily";"Conversion (Daily Only)","Jewelry",FALSE,"Daily";"Conversion (Daily Only)","Movies",FALSE,"Daily";"Conversion (Daily Only)","Music",FALSE,"Daily";"Conversion (Daily Only)","Sports",FALSE,"Daily";"Conversion (Daily Only)","Toys",FALSE,"Daily";"Conversion (Daily Only)","Video Games",FALSE,"Daily"}</definedName>
    <definedName name="wrn.PRINT._.DONC._.CONS._.TOTALS." hidden="1">{"DONC CONS RPT",#N/A,TRUE,"Doncaster"}</definedName>
    <definedName name="wrn.Print._.Weekly._.Conversion._.Points." hidden="1">{"Conversion (Weekly Only)","SITE",FALSE,"Sheet1";"Conversion (Weekly Only)","Apparel",FALSE,"Sheet1";"Conversion (Weekly Only)","Baby",FALSE,"Sheet1";"Conversion (Weekly Only)","Books",FALSE,"Sheet1";"Conversion (Weekly Only)","Electronics",FALSE,"Sheet1";"Conversion (Weekly Only)","Garden",FALSE,"Sheet1";"Conversion (Weekly Only)","Gifts",FALSE,"Sheet1";"Conversion (Weekly Only)","Home",FALSE,"Sheet1";"Conversion (Weekly Only)","Jewelry",FALSE,"Sheet1";"Conversion (Weekly Only)","Movies",FALSE,"Sheet1";"Conversion (Weekly Only)","Music",FALSE,"Sheet1";"Conversion (Weekly Only)","Sports",FALSE,"Sheet1";"Conversion (Weekly Only)","Toys",FALSE,"Sheet1";"Conversion (Weekly Only)","Video Games",FALSE,"Sheet1"}</definedName>
    <definedName name="wrn.Print.All.u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ing._.the._.transactions._.sheets." hidden="1">{#N/A,#N/A,FALSE,"Eastern";#N/A,#N/A,FALSE,"Western"}</definedName>
    <definedName name="wrn.Pump." hidden="1">{#N/A,#N/A,FALSE,"Assump";#N/A,#N/A,FALSE,"Income";#N/A,#N/A,FALSE,"Balance";#N/A,#N/A,FALSE,"DCF Pump";#N/A,#N/A,FALSE,"Trans Assump";#N/A,#N/A,FALSE,"Combined Income";#N/A,#N/A,FALSE,"Combined Balance"}</definedName>
    <definedName name="wrn.RELEVANTSHEETS." hidden="1">{#N/A,#N/A,FALSE,"AD_Purch";#N/A,#N/A,FALSE,"Projections";#N/A,#N/A,FALSE,"DCF";#N/A,#N/A,FALSE,"Mkt Val"}</definedName>
    <definedName name="wrn.rep." hidden="1">{#N/A,#N/A,FALSE,"Exh. 5A";#N/A,#N/A,FALSE,"Exh. 6"}</definedName>
    <definedName name="wrn.Report1." hidden="1">{#N/A,#N/A,FALSE,"Operations";#N/A,#N/A,FALSE,"Financials"}</definedName>
    <definedName name="wrn.sales." hidden="1">{"sales",#N/A,FALSE,"Sales";"sales existing",#N/A,FALSE,"Sales";"sales rd1",#N/A,FALSE,"Sales";"sales rd2",#N/A,FALSE,"Sales"}</definedName>
    <definedName name="wrn.sens." hidden="1">{#N/A,#N/A,FALSE,"Sensitivities";#N/A,#N/A,FALSE,"Sensitivities2"}</definedName>
    <definedName name="wrn.sensitivity._.analyses." hidden="1">{"general",#N/A,FALSE,"Assumptions"}</definedName>
    <definedName name="wrn.SHORT." hidden="1">{"CREDIT STATISTICS",#N/A,FALSE,"STATS";"CF_AND_IS",#N/A,FALSE,"PLAN";"BALSHEET",#N/A,FALSE,"BALANCE SHEET"}</definedName>
    <definedName name="wrn.stand_alone." hidden="1">{#N/A,#N/A,FALSE,"CBE";#N/A,#N/A,FALSE,"SWK"}</definedName>
    <definedName name="wrn.Summary." hidden="1">{#N/A,#N/A,FALSE,"Summary3";#N/A,#N/A,FALSE,"Summary1";#N/A,#N/A,FALSE,"Summary2";#N/A,#N/A,FALSE,"Sensitivities1";#N/A,#N/A,FALSE,"Sensitivities2"}</definedName>
    <definedName name="wrn.TheWholeEnchilada.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OL.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tal.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comp." hidden="1">{"comp1",#N/A,FALSE,"COMPS";"footnotes",#N/A,FALSE,"COMPS"}</definedName>
    <definedName name="wrn.trans._.sum." hidden="1">{"trans assumptions",#N/A,FALSE,"Merger";"trans accretion",#N/A,FALSE,"Merger"}</definedName>
    <definedName name="wrn.TransPrcd_123." hidden="1">{#N/A,#N/A,TRUE,"TransPrcd 1";#N/A,#N/A,TRUE,"TransPrcd 2";#N/A,#N/A,TRUE,"TransPrcd 3"}</definedName>
    <definedName name="wrn.tresfax." hidden="1">{#N/A,#N/A,FALSE,"Printing Output";#N/A,#N/A,FALSE,"BS";#N/A,#N/A,FALSE,"CF"}</definedName>
    <definedName name="wrn.up." hidden="1">{"up stand alones",#N/A,FALSE,"Acquiror"}</definedName>
    <definedName name="wrn.VA._.Departments._.by._.Month.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wicor." hidden="1">{#N/A,#N/A,FALSE,"FACTSHEETS";#N/A,#N/A,FALSE,"pump";#N/A,#N/A,FALSE,"filter"}</definedName>
    <definedName name="WRN2.Document" hidden="1">{"consolidated",#N/A,FALSE,"Sheet1";"cms",#N/A,FALSE,"Sheet1";"fse",#N/A,FALSE,"Sheet1"}</definedName>
    <definedName name="x" hidden="1">{#N/A,#N/A,FALSE,"1110";#N/A,#N/A,FALSE,"1120";#N/A,#N/A,FALSE,"1140";#N/A,#N/A,FALSE,"1150";#N/A,#N/A,FALSE,"chalmers";#N/A,#N/A,FALSE,"gentner";#N/A,#N/A,FALSE,"1230";#N/A,#N/A,FALSE,"PPD INS";#N/A,#N/A,FALSE,"1260";#N/A,#N/A,FALSE,"PPD SVC";#N/A,#N/A,FALSE,"1950";#N/A,#N/A,FALSE,"1960";#N/A,#N/A,FALSE,"2040";#N/A,#N/A,FALSE,"2165";#N/A,#N/A,FALSE,"2200";#N/A,#N/A,FALSE,"2300-2590";#N/A,#N/A,FALSE,"2410";#N/A,#N/A,FALSE,"2600";#N/A,#N/A,FALSE,"3030";#N/A,#N/A,FALSE,"3-31 Adj";#N/A,#N/A,FALSE,"3800";#N/A,#N/A,FALSE,"3850 (REG D)";#N/A,#N/A,FALSE,"3850 (IPO)";#N/A,#N/A,FALSE,"3910-1000";#N/A,#N/A,FALSE,"3950";#N/A,#N/A,FALSE,"3-31 Adj";#N/A,#N/A,FALSE,"Consult and Colab";#N/A,#N/A,FALSE,"Seminars and Cont Ed";#N/A,#N/A,FALSE,"LEASES"}</definedName>
    <definedName name="XRefCopyRangeCount" hidden="1">5</definedName>
    <definedName name="XRefPasteRangeCount" hidden="1">6</definedName>
    <definedName name="xyz" hidden="1">{"bs",#N/A,FALSE,"SCF"}</definedName>
    <definedName name="xyz3" hidden="1">{"bs",#N/A,FALSE,"SCF"}</definedName>
    <definedName name="xyz4" hidden="1">{"bs",#N/A,FALSE,"SCF"}</definedName>
    <definedName name="xyz5" hidden="1">{"bs",#N/A,FALSE,"SCF"}</definedName>
    <definedName name="ydfjs" hidden="1">{"Month End Performance",#N/A,FALSE,"Report";"Site Talk Times",#N/A,FALSE,"Report"}</definedName>
    <definedName name="yrnc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yrty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Z_76CCB3C1_384A_430B_9F88_AD53FE36373B_.wvu.PrintArea" hidden="1">#REF!</definedName>
    <definedName name="Z_76CCB3C1_384A_430B_9F88_AD53FE36373B_.wvu.PrintTitles" hidden="1">#REF!,#REF!</definedName>
    <definedName name="Z_76CCB3C1_384A_430B_9F88_AD53FE36373B_.wvu.Rows" hidden="1">#REF!,#REF!,#REF!,#REF!,#REF!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67" l="1"/>
  <c r="A17" i="167"/>
  <c r="A20" i="166"/>
  <c r="A17" i="166"/>
  <c r="A20" i="165"/>
  <c r="A17" i="165"/>
  <c r="A17" i="164"/>
  <c r="A16" i="164"/>
  <c r="A13" i="164"/>
  <c r="A12" i="164"/>
  <c r="A11" i="164"/>
  <c r="A8" i="164"/>
  <c r="A7" i="164"/>
  <c r="A6" i="164"/>
  <c r="A5" i="164"/>
  <c r="A4" i="164"/>
  <c r="A2" i="164"/>
  <c r="A17" i="163"/>
  <c r="A16" i="163"/>
  <c r="A13" i="163"/>
  <c r="A12" i="163"/>
  <c r="A11" i="163"/>
  <c r="A8" i="163"/>
  <c r="A7" i="163"/>
  <c r="A6" i="163"/>
  <c r="A5" i="163"/>
  <c r="A4" i="163"/>
  <c r="A2" i="163"/>
  <c r="A17" i="162"/>
  <c r="A16" i="162"/>
  <c r="A13" i="162"/>
  <c r="A12" i="162"/>
  <c r="A11" i="162"/>
  <c r="A8" i="162"/>
  <c r="A7" i="162"/>
  <c r="A6" i="162"/>
  <c r="A5" i="162"/>
  <c r="A4" i="162"/>
  <c r="A2" i="162"/>
  <c r="A231" i="161"/>
  <c r="C230" i="161"/>
  <c r="E229" i="161"/>
  <c r="E230" i="161" s="1"/>
  <c r="D227" i="161"/>
  <c r="D230" i="161" s="1"/>
  <c r="D225" i="161"/>
  <c r="E224" i="161"/>
  <c r="E225" i="161" s="1"/>
  <c r="C224" i="161"/>
  <c r="C225" i="161" s="1"/>
  <c r="C231" i="161" s="1"/>
  <c r="C215" i="161"/>
  <c r="E213" i="161"/>
  <c r="E214" i="161" s="1"/>
  <c r="D213" i="161"/>
  <c r="C213" i="161"/>
  <c r="E212" i="161"/>
  <c r="D212" i="161"/>
  <c r="D214" i="161" s="1"/>
  <c r="C212" i="161"/>
  <c r="D210" i="161"/>
  <c r="E208" i="161"/>
  <c r="D208" i="161"/>
  <c r="C208" i="161"/>
  <c r="E207" i="161"/>
  <c r="D207" i="161"/>
  <c r="C207" i="161"/>
  <c r="C209" i="161" s="1"/>
  <c r="D206" i="161"/>
  <c r="C206" i="161"/>
  <c r="E205" i="161"/>
  <c r="D205" i="161"/>
  <c r="C205" i="161"/>
  <c r="E204" i="161"/>
  <c r="D204" i="161"/>
  <c r="C204" i="161"/>
  <c r="E203" i="161"/>
  <c r="D203" i="161"/>
  <c r="C203" i="161"/>
  <c r="E200" i="161"/>
  <c r="D200" i="161"/>
  <c r="C200" i="161"/>
  <c r="C202" i="161" s="1"/>
  <c r="E199" i="161"/>
  <c r="D199" i="161"/>
  <c r="C199" i="161"/>
  <c r="E198" i="161"/>
  <c r="D198" i="161"/>
  <c r="D202" i="161" s="1"/>
  <c r="C198" i="161"/>
  <c r="E197" i="161"/>
  <c r="E194" i="161"/>
  <c r="D194" i="161"/>
  <c r="C194" i="161"/>
  <c r="D193" i="161"/>
  <c r="E192" i="161"/>
  <c r="D192" i="161"/>
  <c r="E191" i="161"/>
  <c r="D191" i="161"/>
  <c r="D195" i="161" s="1"/>
  <c r="C191" i="161"/>
  <c r="C190" i="161"/>
  <c r="C195" i="161" s="1"/>
  <c r="E188" i="161"/>
  <c r="D188" i="161"/>
  <c r="C188" i="161"/>
  <c r="E186" i="161"/>
  <c r="D186" i="161"/>
  <c r="D187" i="161" s="1"/>
  <c r="C186" i="161"/>
  <c r="E185" i="161"/>
  <c r="E187" i="161" s="1"/>
  <c r="C185" i="161"/>
  <c r="E184" i="161"/>
  <c r="D184" i="161"/>
  <c r="C184" i="161"/>
  <c r="E183" i="161"/>
  <c r="D183" i="161"/>
  <c r="C183" i="161"/>
  <c r="E182" i="161"/>
  <c r="C182" i="161"/>
  <c r="C181" i="161"/>
  <c r="E179" i="161"/>
  <c r="D179" i="161"/>
  <c r="C179" i="161"/>
  <c r="E178" i="161"/>
  <c r="D178" i="161"/>
  <c r="C178" i="161"/>
  <c r="E177" i="161"/>
  <c r="D177" i="161"/>
  <c r="C177" i="161"/>
  <c r="E176" i="161"/>
  <c r="D176" i="161"/>
  <c r="C176" i="161"/>
  <c r="E174" i="161"/>
  <c r="D174" i="161"/>
  <c r="C174" i="161"/>
  <c r="E172" i="161"/>
  <c r="D172" i="161"/>
  <c r="C172" i="161"/>
  <c r="E171" i="161"/>
  <c r="D171" i="161"/>
  <c r="C171" i="161"/>
  <c r="E170" i="161"/>
  <c r="E173" i="161" s="1"/>
  <c r="D170" i="161"/>
  <c r="C170" i="161"/>
  <c r="C173" i="161" s="1"/>
  <c r="D168" i="161"/>
  <c r="C168" i="161"/>
  <c r="E166" i="161"/>
  <c r="D166" i="161"/>
  <c r="E165" i="161"/>
  <c r="D165" i="161"/>
  <c r="C165" i="161"/>
  <c r="E164" i="161"/>
  <c r="D164" i="161"/>
  <c r="C164" i="161"/>
  <c r="E162" i="161"/>
  <c r="C162" i="161"/>
  <c r="D160" i="161"/>
  <c r="E158" i="161"/>
  <c r="D158" i="161"/>
  <c r="C158" i="161"/>
  <c r="E156" i="161"/>
  <c r="D156" i="161"/>
  <c r="C156" i="161"/>
  <c r="E155" i="161"/>
  <c r="D155" i="161"/>
  <c r="C155" i="161"/>
  <c r="E153" i="161"/>
  <c r="D153" i="161"/>
  <c r="C153" i="161"/>
  <c r="E151" i="161"/>
  <c r="E150" i="161"/>
  <c r="D150" i="161"/>
  <c r="D154" i="161" s="1"/>
  <c r="D161" i="161" s="1"/>
  <c r="C150" i="161"/>
  <c r="E144" i="161"/>
  <c r="D144" i="161"/>
  <c r="C144" i="161"/>
  <c r="E143" i="161"/>
  <c r="D143" i="161"/>
  <c r="C143" i="161"/>
  <c r="E141" i="161"/>
  <c r="D141" i="161"/>
  <c r="C141" i="161"/>
  <c r="E140" i="161"/>
  <c r="D140" i="161"/>
  <c r="C140" i="161"/>
  <c r="D139" i="161"/>
  <c r="E138" i="161"/>
  <c r="D138" i="161"/>
  <c r="C138" i="161"/>
  <c r="E137" i="161"/>
  <c r="E136" i="161"/>
  <c r="D136" i="161"/>
  <c r="C136" i="161"/>
  <c r="E135" i="161"/>
  <c r="D135" i="161"/>
  <c r="C135" i="161"/>
  <c r="C137" i="161" s="1"/>
  <c r="E134" i="161"/>
  <c r="D134" i="161"/>
  <c r="C134" i="161"/>
  <c r="E132" i="161"/>
  <c r="D132" i="161"/>
  <c r="C132" i="161"/>
  <c r="E130" i="161"/>
  <c r="D130" i="161"/>
  <c r="C130" i="161"/>
  <c r="E129" i="161"/>
  <c r="D129" i="161"/>
  <c r="C129" i="161"/>
  <c r="E128" i="161"/>
  <c r="C128" i="161"/>
  <c r="E126" i="161"/>
  <c r="E125" i="161"/>
  <c r="D125" i="161"/>
  <c r="C125" i="161"/>
  <c r="E123" i="161"/>
  <c r="D123" i="161"/>
  <c r="C123" i="161"/>
  <c r="E122" i="161"/>
  <c r="D122" i="161"/>
  <c r="C122" i="161"/>
  <c r="E121" i="161"/>
  <c r="D121" i="161"/>
  <c r="C121" i="161"/>
  <c r="E119" i="161"/>
  <c r="D119" i="161"/>
  <c r="C119" i="161"/>
  <c r="E117" i="161"/>
  <c r="D117" i="161"/>
  <c r="E116" i="161"/>
  <c r="E120" i="161" s="1"/>
  <c r="D116" i="161"/>
  <c r="C116" i="161"/>
  <c r="E111" i="161"/>
  <c r="D111" i="161"/>
  <c r="C111" i="161"/>
  <c r="E110" i="161"/>
  <c r="D110" i="161"/>
  <c r="C110" i="161"/>
  <c r="E109" i="161"/>
  <c r="D109" i="161"/>
  <c r="C109" i="161"/>
  <c r="C108" i="161"/>
  <c r="D106" i="161"/>
  <c r="E105" i="161"/>
  <c r="D105" i="161"/>
  <c r="C105" i="161"/>
  <c r="E104" i="161"/>
  <c r="D104" i="161"/>
  <c r="C104" i="161"/>
  <c r="C107" i="161" s="1"/>
  <c r="E103" i="161"/>
  <c r="D103" i="161"/>
  <c r="C103" i="161"/>
  <c r="E101" i="161"/>
  <c r="D101" i="161"/>
  <c r="C101" i="161"/>
  <c r="E100" i="161"/>
  <c r="D100" i="161"/>
  <c r="C100" i="161"/>
  <c r="E99" i="161"/>
  <c r="D99" i="161"/>
  <c r="C99" i="161"/>
  <c r="E97" i="161"/>
  <c r="D97" i="161"/>
  <c r="C97" i="161"/>
  <c r="E95" i="161"/>
  <c r="D95" i="161"/>
  <c r="C95" i="161"/>
  <c r="E94" i="161"/>
  <c r="D94" i="161"/>
  <c r="D98" i="161" s="1"/>
  <c r="C94" i="161"/>
  <c r="E92" i="161"/>
  <c r="D92" i="161"/>
  <c r="C92" i="161"/>
  <c r="E91" i="161"/>
  <c r="C90" i="161"/>
  <c r="E89" i="161"/>
  <c r="D89" i="161"/>
  <c r="C89" i="161"/>
  <c r="E88" i="161"/>
  <c r="D88" i="161"/>
  <c r="C88" i="161"/>
  <c r="E87" i="161"/>
  <c r="E84" i="161"/>
  <c r="D84" i="161"/>
  <c r="D87" i="161" s="1"/>
  <c r="C84" i="161"/>
  <c r="C87" i="161" s="1"/>
  <c r="E83" i="161"/>
  <c r="D83" i="161"/>
  <c r="C83" i="161"/>
  <c r="E81" i="161"/>
  <c r="D81" i="161"/>
  <c r="C81" i="161"/>
  <c r="E80" i="161"/>
  <c r="D80" i="161"/>
  <c r="C80" i="161"/>
  <c r="E79" i="161"/>
  <c r="D79" i="161"/>
  <c r="C79" i="161"/>
  <c r="E77" i="161"/>
  <c r="D77" i="161"/>
  <c r="D78" i="161" s="1"/>
  <c r="D82" i="161" s="1"/>
  <c r="C77" i="161"/>
  <c r="E75" i="161"/>
  <c r="E74" i="161"/>
  <c r="D74" i="161"/>
  <c r="C74" i="161"/>
  <c r="C78" i="161" s="1"/>
  <c r="E69" i="161"/>
  <c r="D69" i="161"/>
  <c r="C69" i="161"/>
  <c r="E67" i="161"/>
  <c r="E66" i="161"/>
  <c r="D66" i="161"/>
  <c r="C66" i="161"/>
  <c r="D64" i="161"/>
  <c r="C64" i="161"/>
  <c r="D63" i="161"/>
  <c r="E62" i="161"/>
  <c r="D62" i="161"/>
  <c r="C62" i="161"/>
  <c r="E61" i="161"/>
  <c r="E63" i="161" s="1"/>
  <c r="D61" i="161"/>
  <c r="C61" i="161"/>
  <c r="D59" i="161"/>
  <c r="C58" i="161"/>
  <c r="E57" i="161"/>
  <c r="E56" i="161"/>
  <c r="E59" i="161" s="1"/>
  <c r="C56" i="161"/>
  <c r="E54" i="161"/>
  <c r="D54" i="161"/>
  <c r="C54" i="161"/>
  <c r="E51" i="161"/>
  <c r="D51" i="161"/>
  <c r="C51" i="161"/>
  <c r="E50" i="161"/>
  <c r="D50" i="161"/>
  <c r="C50" i="161"/>
  <c r="E49" i="161"/>
  <c r="D49" i="161"/>
  <c r="C49" i="161"/>
  <c r="E45" i="161"/>
  <c r="D45" i="161"/>
  <c r="C45" i="161"/>
  <c r="E43" i="161"/>
  <c r="D43" i="161"/>
  <c r="C43" i="161"/>
  <c r="E42" i="161"/>
  <c r="E48" i="161" s="1"/>
  <c r="E53" i="161" s="1"/>
  <c r="D42" i="161"/>
  <c r="C42" i="161"/>
  <c r="C48" i="161" s="1"/>
  <c r="C53" i="161" s="1"/>
  <c r="E32" i="161"/>
  <c r="D32" i="161"/>
  <c r="C32" i="161"/>
  <c r="C33" i="161" s="1"/>
  <c r="E31" i="161"/>
  <c r="D31" i="161"/>
  <c r="C31" i="161"/>
  <c r="E30" i="161"/>
  <c r="D30" i="161"/>
  <c r="D33" i="161" s="1"/>
  <c r="C30" i="161"/>
  <c r="E26" i="161"/>
  <c r="D26" i="161"/>
  <c r="C26" i="161"/>
  <c r="E25" i="161"/>
  <c r="D25" i="161"/>
  <c r="C25" i="161"/>
  <c r="E24" i="161"/>
  <c r="D24" i="161"/>
  <c r="C24" i="161"/>
  <c r="E23" i="161"/>
  <c r="D23" i="161"/>
  <c r="C23" i="161"/>
  <c r="E21" i="161"/>
  <c r="D21" i="161"/>
  <c r="C21" i="161"/>
  <c r="E20" i="161"/>
  <c r="E27" i="161" s="1"/>
  <c r="D20" i="161"/>
  <c r="C20" i="161"/>
  <c r="E18" i="161"/>
  <c r="D18" i="161"/>
  <c r="C18" i="161"/>
  <c r="C17" i="161"/>
  <c r="E15" i="161"/>
  <c r="D15" i="161"/>
  <c r="C15" i="161"/>
  <c r="E14" i="161"/>
  <c r="D14" i="161"/>
  <c r="C14" i="161"/>
  <c r="E8" i="161"/>
  <c r="D8" i="161"/>
  <c r="C8" i="161"/>
  <c r="E7" i="161"/>
  <c r="D7" i="161"/>
  <c r="C7" i="161"/>
  <c r="E6" i="161"/>
  <c r="D6" i="161"/>
  <c r="C6" i="161"/>
  <c r="E5" i="161"/>
  <c r="D5" i="161"/>
  <c r="C5" i="161"/>
  <c r="E4" i="161"/>
  <c r="D4" i="161"/>
  <c r="C4" i="161"/>
  <c r="C10" i="161" s="1"/>
  <c r="C11" i="161" s="1"/>
  <c r="A231" i="160"/>
  <c r="N227" i="160"/>
  <c r="N230" i="160" s="1"/>
  <c r="M227" i="160"/>
  <c r="M230" i="160" s="1"/>
  <c r="L227" i="160"/>
  <c r="L230" i="160" s="1"/>
  <c r="K227" i="160"/>
  <c r="K230" i="160" s="1"/>
  <c r="J227" i="160"/>
  <c r="J230" i="160" s="1"/>
  <c r="I227" i="160"/>
  <c r="I230" i="160" s="1"/>
  <c r="H227" i="160"/>
  <c r="H230" i="160" s="1"/>
  <c r="G227" i="160"/>
  <c r="G230" i="160" s="1"/>
  <c r="F227" i="160"/>
  <c r="F230" i="160" s="1"/>
  <c r="E227" i="160"/>
  <c r="E230" i="160" s="1"/>
  <c r="D227" i="160"/>
  <c r="D230" i="160" s="1"/>
  <c r="C227" i="160"/>
  <c r="C230" i="160" s="1"/>
  <c r="N225" i="160"/>
  <c r="L224" i="160"/>
  <c r="K224" i="160"/>
  <c r="F224" i="160"/>
  <c r="E224" i="160"/>
  <c r="D224" i="160"/>
  <c r="M223" i="160"/>
  <c r="M225" i="160" s="1"/>
  <c r="L223" i="160"/>
  <c r="K223" i="160"/>
  <c r="K225" i="160" s="1"/>
  <c r="J223" i="160"/>
  <c r="J225" i="160" s="1"/>
  <c r="I223" i="160"/>
  <c r="I225" i="160" s="1"/>
  <c r="H223" i="160"/>
  <c r="H225" i="160" s="1"/>
  <c r="G223" i="160"/>
  <c r="G225" i="160" s="1"/>
  <c r="F223" i="160"/>
  <c r="F225" i="160" s="1"/>
  <c r="E223" i="160"/>
  <c r="E225" i="160" s="1"/>
  <c r="D223" i="160"/>
  <c r="D225" i="160" s="1"/>
  <c r="C223" i="160"/>
  <c r="C225" i="160" s="1"/>
  <c r="N219" i="160"/>
  <c r="M219" i="160"/>
  <c r="N217" i="160"/>
  <c r="M217" i="160"/>
  <c r="L217" i="160"/>
  <c r="K217" i="160"/>
  <c r="J217" i="160"/>
  <c r="I217" i="160"/>
  <c r="H217" i="160"/>
  <c r="G217" i="160"/>
  <c r="F217" i="160"/>
  <c r="E217" i="160"/>
  <c r="D217" i="160"/>
  <c r="C217" i="160"/>
  <c r="H214" i="160"/>
  <c r="N213" i="160"/>
  <c r="M213" i="160"/>
  <c r="L213" i="160"/>
  <c r="K213" i="160"/>
  <c r="J213" i="160"/>
  <c r="I213" i="160"/>
  <c r="H213" i="160"/>
  <c r="G213" i="160"/>
  <c r="G214" i="160" s="1"/>
  <c r="F213" i="160"/>
  <c r="E213" i="160"/>
  <c r="D213" i="160"/>
  <c r="C213" i="160"/>
  <c r="N212" i="160"/>
  <c r="M212" i="160"/>
  <c r="L212" i="160"/>
  <c r="K212" i="160"/>
  <c r="J212" i="160"/>
  <c r="I212" i="160"/>
  <c r="I214" i="160" s="1"/>
  <c r="H212" i="160"/>
  <c r="G212" i="160"/>
  <c r="F212" i="160"/>
  <c r="E212" i="160"/>
  <c r="D212" i="160"/>
  <c r="C212" i="160"/>
  <c r="N210" i="160"/>
  <c r="M210" i="160"/>
  <c r="J210" i="160"/>
  <c r="H210" i="160"/>
  <c r="G210" i="160"/>
  <c r="F210" i="160"/>
  <c r="E210" i="160"/>
  <c r="D210" i="160"/>
  <c r="C210" i="160"/>
  <c r="N208" i="160"/>
  <c r="M208" i="160"/>
  <c r="L208" i="160"/>
  <c r="K208" i="160"/>
  <c r="J208" i="160"/>
  <c r="I208" i="160"/>
  <c r="H208" i="160"/>
  <c r="G208" i="160"/>
  <c r="F208" i="160"/>
  <c r="E208" i="160"/>
  <c r="D208" i="160"/>
  <c r="C208" i="160"/>
  <c r="N207" i="160"/>
  <c r="M207" i="160"/>
  <c r="L207" i="160"/>
  <c r="K207" i="160"/>
  <c r="K209" i="160" s="1"/>
  <c r="J207" i="160"/>
  <c r="I207" i="160"/>
  <c r="H207" i="160"/>
  <c r="G207" i="160"/>
  <c r="F207" i="160"/>
  <c r="E207" i="160"/>
  <c r="D207" i="160"/>
  <c r="C207" i="160"/>
  <c r="C209" i="160" s="1"/>
  <c r="N206" i="160"/>
  <c r="M206" i="160"/>
  <c r="L206" i="160"/>
  <c r="K206" i="160"/>
  <c r="J206" i="160"/>
  <c r="I206" i="160"/>
  <c r="H206" i="160"/>
  <c r="G206" i="160"/>
  <c r="F206" i="160"/>
  <c r="E206" i="160"/>
  <c r="D206" i="160"/>
  <c r="C206" i="160"/>
  <c r="N205" i="160"/>
  <c r="M205" i="160"/>
  <c r="L205" i="160"/>
  <c r="K205" i="160"/>
  <c r="J205" i="160"/>
  <c r="I205" i="160"/>
  <c r="H205" i="160"/>
  <c r="G205" i="160"/>
  <c r="F205" i="160"/>
  <c r="E205" i="160"/>
  <c r="D205" i="160"/>
  <c r="C205" i="160"/>
  <c r="N204" i="160"/>
  <c r="M204" i="160"/>
  <c r="L204" i="160"/>
  <c r="K204" i="160"/>
  <c r="J204" i="160"/>
  <c r="I204" i="160"/>
  <c r="H204" i="160"/>
  <c r="G204" i="160"/>
  <c r="F204" i="160"/>
  <c r="E204" i="160"/>
  <c r="D204" i="160"/>
  <c r="C204" i="160"/>
  <c r="N203" i="160"/>
  <c r="M203" i="160"/>
  <c r="L203" i="160"/>
  <c r="K203" i="160"/>
  <c r="J203" i="160"/>
  <c r="I203" i="160"/>
  <c r="H203" i="160"/>
  <c r="G203" i="160"/>
  <c r="F203" i="160"/>
  <c r="E203" i="160"/>
  <c r="D203" i="160"/>
  <c r="C203" i="160"/>
  <c r="N201" i="160"/>
  <c r="M201" i="160"/>
  <c r="L201" i="160"/>
  <c r="K201" i="160"/>
  <c r="I201" i="160"/>
  <c r="N200" i="160"/>
  <c r="M200" i="160"/>
  <c r="L200" i="160"/>
  <c r="K200" i="160"/>
  <c r="J200" i="160"/>
  <c r="I200" i="160"/>
  <c r="H200" i="160"/>
  <c r="G200" i="160"/>
  <c r="F200" i="160"/>
  <c r="E200" i="160"/>
  <c r="D200" i="160"/>
  <c r="C200" i="160"/>
  <c r="N199" i="160"/>
  <c r="M199" i="160"/>
  <c r="L199" i="160"/>
  <c r="K199" i="160"/>
  <c r="J199" i="160"/>
  <c r="I199" i="160"/>
  <c r="H199" i="160"/>
  <c r="G199" i="160"/>
  <c r="F199" i="160"/>
  <c r="E199" i="160"/>
  <c r="D199" i="160"/>
  <c r="C199" i="160"/>
  <c r="N198" i="160"/>
  <c r="M198" i="160"/>
  <c r="L198" i="160"/>
  <c r="K198" i="160"/>
  <c r="J198" i="160"/>
  <c r="I198" i="160"/>
  <c r="H198" i="160"/>
  <c r="G198" i="160"/>
  <c r="F198" i="160"/>
  <c r="E198" i="160"/>
  <c r="D198" i="160"/>
  <c r="C198" i="160"/>
  <c r="K196" i="160"/>
  <c r="H196" i="160"/>
  <c r="C195" i="160"/>
  <c r="N194" i="160"/>
  <c r="M194" i="160"/>
  <c r="L194" i="160"/>
  <c r="N193" i="160"/>
  <c r="M193" i="160"/>
  <c r="L193" i="160"/>
  <c r="K193" i="160"/>
  <c r="I193" i="160"/>
  <c r="G193" i="160"/>
  <c r="N192" i="160"/>
  <c r="M192" i="160"/>
  <c r="L192" i="160"/>
  <c r="K192" i="160"/>
  <c r="I192" i="160"/>
  <c r="H192" i="160"/>
  <c r="G192" i="160"/>
  <c r="F192" i="160"/>
  <c r="F195" i="160" s="1"/>
  <c r="E192" i="160"/>
  <c r="E195" i="160" s="1"/>
  <c r="D192" i="160"/>
  <c r="N191" i="160"/>
  <c r="M191" i="160"/>
  <c r="K191" i="160"/>
  <c r="N190" i="160"/>
  <c r="M190" i="160"/>
  <c r="L190" i="160"/>
  <c r="K190" i="160"/>
  <c r="K195" i="160" s="1"/>
  <c r="J190" i="160"/>
  <c r="J195" i="160" s="1"/>
  <c r="I190" i="160"/>
  <c r="H190" i="160"/>
  <c r="G190" i="160"/>
  <c r="D190" i="160"/>
  <c r="N188" i="160"/>
  <c r="M188" i="160"/>
  <c r="L188" i="160"/>
  <c r="K188" i="160"/>
  <c r="J188" i="160"/>
  <c r="I188" i="160"/>
  <c r="H188" i="160"/>
  <c r="G188" i="160"/>
  <c r="F188" i="160"/>
  <c r="E188" i="160"/>
  <c r="D188" i="160"/>
  <c r="C188" i="160"/>
  <c r="C187" i="160"/>
  <c r="N186" i="160"/>
  <c r="N187" i="160" s="1"/>
  <c r="M186" i="160"/>
  <c r="L186" i="160"/>
  <c r="L187" i="160" s="1"/>
  <c r="K186" i="160"/>
  <c r="K187" i="160" s="1"/>
  <c r="J186" i="160"/>
  <c r="I186" i="160"/>
  <c r="H186" i="160"/>
  <c r="G186" i="160"/>
  <c r="F186" i="160"/>
  <c r="E186" i="160"/>
  <c r="D186" i="160"/>
  <c r="D187" i="160" s="1"/>
  <c r="C186" i="160"/>
  <c r="M185" i="160"/>
  <c r="J185" i="160"/>
  <c r="I185" i="160"/>
  <c r="H185" i="160"/>
  <c r="G185" i="160"/>
  <c r="F185" i="160"/>
  <c r="F187" i="160" s="1"/>
  <c r="E185" i="160"/>
  <c r="E187" i="160" s="1"/>
  <c r="M184" i="160"/>
  <c r="L184" i="160"/>
  <c r="J184" i="160"/>
  <c r="N183" i="160"/>
  <c r="M183" i="160"/>
  <c r="L183" i="160"/>
  <c r="K183" i="160"/>
  <c r="J183" i="160"/>
  <c r="I183" i="160"/>
  <c r="H183" i="160"/>
  <c r="G183" i="160"/>
  <c r="F183" i="160"/>
  <c r="E183" i="160"/>
  <c r="D183" i="160"/>
  <c r="C183" i="160"/>
  <c r="N182" i="160"/>
  <c r="K182" i="160"/>
  <c r="J182" i="160"/>
  <c r="H182" i="160"/>
  <c r="G182" i="160"/>
  <c r="F182" i="160"/>
  <c r="J181" i="160"/>
  <c r="C181" i="160"/>
  <c r="N179" i="160"/>
  <c r="M179" i="160"/>
  <c r="L179" i="160"/>
  <c r="K179" i="160"/>
  <c r="J179" i="160"/>
  <c r="I179" i="160"/>
  <c r="H179" i="160"/>
  <c r="G179" i="160"/>
  <c r="F179" i="160"/>
  <c r="E179" i="160"/>
  <c r="D179" i="160"/>
  <c r="C179" i="160"/>
  <c r="N178" i="160"/>
  <c r="M178" i="160"/>
  <c r="L178" i="160"/>
  <c r="K178" i="160"/>
  <c r="J178" i="160"/>
  <c r="I178" i="160"/>
  <c r="H178" i="160"/>
  <c r="G178" i="160"/>
  <c r="F178" i="160"/>
  <c r="D178" i="160"/>
  <c r="C178" i="160"/>
  <c r="N177" i="160"/>
  <c r="M177" i="160"/>
  <c r="L177" i="160"/>
  <c r="K177" i="160"/>
  <c r="J177" i="160"/>
  <c r="I177" i="160"/>
  <c r="H177" i="160"/>
  <c r="G177" i="160"/>
  <c r="F177" i="160"/>
  <c r="E177" i="160"/>
  <c r="D177" i="160"/>
  <c r="C177" i="160"/>
  <c r="N176" i="160"/>
  <c r="M176" i="160"/>
  <c r="L176" i="160"/>
  <c r="K176" i="160"/>
  <c r="J176" i="160"/>
  <c r="I176" i="160"/>
  <c r="H176" i="160"/>
  <c r="G176" i="160"/>
  <c r="F176" i="160"/>
  <c r="E176" i="160"/>
  <c r="D176" i="160"/>
  <c r="C176" i="160"/>
  <c r="N174" i="160"/>
  <c r="M174" i="160"/>
  <c r="L174" i="160"/>
  <c r="K174" i="160"/>
  <c r="J174" i="160"/>
  <c r="I174" i="160"/>
  <c r="H174" i="160"/>
  <c r="G174" i="160"/>
  <c r="F174" i="160"/>
  <c r="E174" i="160"/>
  <c r="D174" i="160"/>
  <c r="C174" i="160"/>
  <c r="N172" i="160"/>
  <c r="M172" i="160"/>
  <c r="L172" i="160"/>
  <c r="K172" i="160"/>
  <c r="J172" i="160"/>
  <c r="I172" i="160"/>
  <c r="H172" i="160"/>
  <c r="G172" i="160"/>
  <c r="F172" i="160"/>
  <c r="E172" i="160"/>
  <c r="D172" i="160"/>
  <c r="C172" i="160"/>
  <c r="N171" i="160"/>
  <c r="M171" i="160"/>
  <c r="L171" i="160"/>
  <c r="K171" i="160"/>
  <c r="J171" i="160"/>
  <c r="I171" i="160"/>
  <c r="H171" i="160"/>
  <c r="G171" i="160"/>
  <c r="F171" i="160"/>
  <c r="E171" i="160"/>
  <c r="D171" i="160"/>
  <c r="C171" i="160"/>
  <c r="N170" i="160"/>
  <c r="M170" i="160"/>
  <c r="L170" i="160"/>
  <c r="K170" i="160"/>
  <c r="J170" i="160"/>
  <c r="I170" i="160"/>
  <c r="H170" i="160"/>
  <c r="G170" i="160"/>
  <c r="F170" i="160"/>
  <c r="E170" i="160"/>
  <c r="D170" i="160"/>
  <c r="C170" i="160"/>
  <c r="M168" i="160"/>
  <c r="K168" i="160"/>
  <c r="J168" i="160"/>
  <c r="I168" i="160"/>
  <c r="N166" i="160"/>
  <c r="J166" i="160"/>
  <c r="F166" i="160"/>
  <c r="C166" i="160"/>
  <c r="N165" i="160"/>
  <c r="M165" i="160"/>
  <c r="L165" i="160"/>
  <c r="K165" i="160"/>
  <c r="K167" i="160" s="1"/>
  <c r="J165" i="160"/>
  <c r="I165" i="160"/>
  <c r="H165" i="160"/>
  <c r="G165" i="160"/>
  <c r="F165" i="160"/>
  <c r="E165" i="160"/>
  <c r="D165" i="160"/>
  <c r="C165" i="160"/>
  <c r="C167" i="160" s="1"/>
  <c r="N164" i="160"/>
  <c r="M164" i="160"/>
  <c r="L164" i="160"/>
  <c r="K164" i="160"/>
  <c r="J164" i="160"/>
  <c r="I164" i="160"/>
  <c r="H164" i="160"/>
  <c r="G164" i="160"/>
  <c r="F164" i="160"/>
  <c r="E164" i="160"/>
  <c r="D164" i="160"/>
  <c r="C164" i="160"/>
  <c r="M162" i="160"/>
  <c r="L162" i="160"/>
  <c r="K162" i="160"/>
  <c r="J162" i="160"/>
  <c r="I162" i="160"/>
  <c r="G162" i="160"/>
  <c r="F162" i="160"/>
  <c r="E162" i="160"/>
  <c r="D162" i="160"/>
  <c r="C162" i="160"/>
  <c r="F160" i="160"/>
  <c r="I159" i="160"/>
  <c r="H159" i="160"/>
  <c r="E159" i="160"/>
  <c r="D159" i="160"/>
  <c r="N158" i="160"/>
  <c r="M158" i="160"/>
  <c r="L158" i="160"/>
  <c r="K158" i="160"/>
  <c r="J158" i="160"/>
  <c r="I158" i="160"/>
  <c r="H158" i="160"/>
  <c r="G158" i="160"/>
  <c r="F158" i="160"/>
  <c r="E158" i="160"/>
  <c r="D158" i="160"/>
  <c r="C158" i="160"/>
  <c r="N156" i="160"/>
  <c r="M156" i="160"/>
  <c r="L156" i="160"/>
  <c r="K156" i="160"/>
  <c r="J156" i="160"/>
  <c r="I156" i="160"/>
  <c r="H156" i="160"/>
  <c r="G156" i="160"/>
  <c r="F156" i="160"/>
  <c r="E156" i="160"/>
  <c r="D156" i="160"/>
  <c r="C156" i="160"/>
  <c r="N155" i="160"/>
  <c r="M155" i="160"/>
  <c r="L155" i="160"/>
  <c r="K155" i="160"/>
  <c r="J155" i="160"/>
  <c r="I155" i="160"/>
  <c r="H155" i="160"/>
  <c r="G155" i="160"/>
  <c r="F155" i="160"/>
  <c r="E155" i="160"/>
  <c r="D155" i="160"/>
  <c r="C155" i="160"/>
  <c r="N153" i="160"/>
  <c r="M153" i="160"/>
  <c r="L153" i="160"/>
  <c r="K153" i="160"/>
  <c r="J153" i="160"/>
  <c r="I153" i="160"/>
  <c r="H153" i="160"/>
  <c r="G153" i="160"/>
  <c r="F153" i="160"/>
  <c r="E153" i="160"/>
  <c r="D153" i="160"/>
  <c r="C153" i="160"/>
  <c r="N151" i="160"/>
  <c r="C151" i="160"/>
  <c r="N150" i="160"/>
  <c r="M150" i="160"/>
  <c r="L150" i="160"/>
  <c r="K150" i="160"/>
  <c r="K154" i="160" s="1"/>
  <c r="J150" i="160"/>
  <c r="J154" i="160" s="1"/>
  <c r="I150" i="160"/>
  <c r="I154" i="160" s="1"/>
  <c r="H150" i="160"/>
  <c r="G150" i="160"/>
  <c r="F150" i="160"/>
  <c r="E150" i="160"/>
  <c r="D150" i="160"/>
  <c r="C150" i="160"/>
  <c r="K147" i="160"/>
  <c r="J147" i="160"/>
  <c r="I147" i="160"/>
  <c r="H147" i="160"/>
  <c r="N144" i="160"/>
  <c r="N143" i="160"/>
  <c r="M143" i="160"/>
  <c r="L143" i="160"/>
  <c r="K143" i="160"/>
  <c r="J143" i="160"/>
  <c r="I143" i="160"/>
  <c r="H143" i="160"/>
  <c r="G143" i="160"/>
  <c r="F143" i="160"/>
  <c r="E143" i="160"/>
  <c r="D143" i="160"/>
  <c r="C143" i="160"/>
  <c r="N141" i="160"/>
  <c r="M141" i="160"/>
  <c r="L141" i="160"/>
  <c r="K141" i="160"/>
  <c r="J141" i="160"/>
  <c r="I141" i="160"/>
  <c r="H141" i="160"/>
  <c r="G141" i="160"/>
  <c r="F141" i="160"/>
  <c r="E141" i="160"/>
  <c r="D141" i="160"/>
  <c r="C141" i="160"/>
  <c r="M140" i="160"/>
  <c r="L140" i="160"/>
  <c r="J140" i="160"/>
  <c r="I140" i="160"/>
  <c r="H140" i="160"/>
  <c r="G140" i="160"/>
  <c r="M139" i="160"/>
  <c r="D139" i="160"/>
  <c r="N138" i="160"/>
  <c r="M138" i="160"/>
  <c r="L138" i="160"/>
  <c r="K138" i="160"/>
  <c r="J138" i="160"/>
  <c r="I138" i="160"/>
  <c r="H138" i="160"/>
  <c r="G138" i="160"/>
  <c r="F138" i="160"/>
  <c r="E138" i="160"/>
  <c r="D138" i="160"/>
  <c r="C138" i="160"/>
  <c r="N136" i="160"/>
  <c r="M136" i="160"/>
  <c r="L136" i="160"/>
  <c r="K136" i="160"/>
  <c r="J136" i="160"/>
  <c r="I136" i="160"/>
  <c r="H136" i="160"/>
  <c r="G136" i="160"/>
  <c r="F136" i="160"/>
  <c r="E136" i="160"/>
  <c r="D136" i="160"/>
  <c r="C136" i="160"/>
  <c r="N135" i="160"/>
  <c r="M135" i="160"/>
  <c r="M137" i="160" s="1"/>
  <c r="L135" i="160"/>
  <c r="K135" i="160"/>
  <c r="J135" i="160"/>
  <c r="I135" i="160"/>
  <c r="H135" i="160"/>
  <c r="G135" i="160"/>
  <c r="F135" i="160"/>
  <c r="E135" i="160"/>
  <c r="D135" i="160"/>
  <c r="C135" i="160"/>
  <c r="N134" i="160"/>
  <c r="M134" i="160"/>
  <c r="L134" i="160"/>
  <c r="K134" i="160"/>
  <c r="J134" i="160"/>
  <c r="I134" i="160"/>
  <c r="H134" i="160"/>
  <c r="G134" i="160"/>
  <c r="F134" i="160"/>
  <c r="E134" i="160"/>
  <c r="D134" i="160"/>
  <c r="C134" i="160"/>
  <c r="N132" i="160"/>
  <c r="M132" i="160"/>
  <c r="L132" i="160"/>
  <c r="K132" i="160"/>
  <c r="J132" i="160"/>
  <c r="I132" i="160"/>
  <c r="H132" i="160"/>
  <c r="G132" i="160"/>
  <c r="F132" i="160"/>
  <c r="E132" i="160"/>
  <c r="D132" i="160"/>
  <c r="C132" i="160"/>
  <c r="C131" i="160"/>
  <c r="N130" i="160"/>
  <c r="M130" i="160"/>
  <c r="K130" i="160"/>
  <c r="J130" i="160"/>
  <c r="I130" i="160"/>
  <c r="G130" i="160"/>
  <c r="F130" i="160"/>
  <c r="E130" i="160"/>
  <c r="D130" i="160"/>
  <c r="C130" i="160"/>
  <c r="N129" i="160"/>
  <c r="M129" i="160"/>
  <c r="L129" i="160"/>
  <c r="K129" i="160"/>
  <c r="J129" i="160"/>
  <c r="I129" i="160"/>
  <c r="H129" i="160"/>
  <c r="G129" i="160"/>
  <c r="F129" i="160"/>
  <c r="E129" i="160"/>
  <c r="D129" i="160"/>
  <c r="C129" i="160"/>
  <c r="M128" i="160"/>
  <c r="L128" i="160"/>
  <c r="L127" i="160"/>
  <c r="I127" i="160"/>
  <c r="F127" i="160"/>
  <c r="E127" i="160"/>
  <c r="D127" i="160"/>
  <c r="C127" i="160"/>
  <c r="J126" i="160"/>
  <c r="G126" i="160"/>
  <c r="D126" i="160"/>
  <c r="C126" i="160"/>
  <c r="N125" i="160"/>
  <c r="M125" i="160"/>
  <c r="L125" i="160"/>
  <c r="K125" i="160"/>
  <c r="J125" i="160"/>
  <c r="I125" i="160"/>
  <c r="H125" i="160"/>
  <c r="G125" i="160"/>
  <c r="F125" i="160"/>
  <c r="E125" i="160"/>
  <c r="D125" i="160"/>
  <c r="C125" i="160"/>
  <c r="N123" i="160"/>
  <c r="M123" i="160"/>
  <c r="L123" i="160"/>
  <c r="K123" i="160"/>
  <c r="J123" i="160"/>
  <c r="I123" i="160"/>
  <c r="H123" i="160"/>
  <c r="N122" i="160"/>
  <c r="M122" i="160"/>
  <c r="L122" i="160"/>
  <c r="K122" i="160"/>
  <c r="J122" i="160"/>
  <c r="I122" i="160"/>
  <c r="H122" i="160"/>
  <c r="G122" i="160"/>
  <c r="F122" i="160"/>
  <c r="E122" i="160"/>
  <c r="D122" i="160"/>
  <c r="C122" i="160"/>
  <c r="N121" i="160"/>
  <c r="M121" i="160"/>
  <c r="L121" i="160"/>
  <c r="K121" i="160"/>
  <c r="J121" i="160"/>
  <c r="I121" i="160"/>
  <c r="H121" i="160"/>
  <c r="G121" i="160"/>
  <c r="F121" i="160"/>
  <c r="E121" i="160"/>
  <c r="D121" i="160"/>
  <c r="C121" i="160"/>
  <c r="N119" i="160"/>
  <c r="M119" i="160"/>
  <c r="L119" i="160"/>
  <c r="K119" i="160"/>
  <c r="J119" i="160"/>
  <c r="I119" i="160"/>
  <c r="H119" i="160"/>
  <c r="G119" i="160"/>
  <c r="F119" i="160"/>
  <c r="E119" i="160"/>
  <c r="D119" i="160"/>
  <c r="C119" i="160"/>
  <c r="N117" i="160"/>
  <c r="M117" i="160"/>
  <c r="L117" i="160"/>
  <c r="K117" i="160"/>
  <c r="J117" i="160"/>
  <c r="I117" i="160"/>
  <c r="H117" i="160"/>
  <c r="G117" i="160"/>
  <c r="F117" i="160"/>
  <c r="C117" i="160"/>
  <c r="N116" i="160"/>
  <c r="M116" i="160"/>
  <c r="M120" i="160" s="1"/>
  <c r="M124" i="160" s="1"/>
  <c r="L116" i="160"/>
  <c r="K116" i="160"/>
  <c r="J116" i="160"/>
  <c r="I116" i="160"/>
  <c r="H116" i="160"/>
  <c r="G116" i="160"/>
  <c r="F116" i="160"/>
  <c r="E116" i="160"/>
  <c r="E120" i="160" s="1"/>
  <c r="E124" i="160" s="1"/>
  <c r="D116" i="160"/>
  <c r="C116" i="160"/>
  <c r="C120" i="160" s="1"/>
  <c r="N111" i="160"/>
  <c r="M111" i="160"/>
  <c r="N110" i="160"/>
  <c r="N109" i="160"/>
  <c r="M109" i="160"/>
  <c r="L109" i="160"/>
  <c r="K109" i="160"/>
  <c r="J109" i="160"/>
  <c r="I109" i="160"/>
  <c r="H109" i="160"/>
  <c r="G109" i="160"/>
  <c r="F109" i="160"/>
  <c r="E109" i="160"/>
  <c r="D109" i="160"/>
  <c r="C109" i="160"/>
  <c r="N108" i="160"/>
  <c r="M108" i="160"/>
  <c r="L108" i="160"/>
  <c r="J108" i="160"/>
  <c r="C107" i="160"/>
  <c r="M106" i="160"/>
  <c r="L106" i="160"/>
  <c r="K106" i="160"/>
  <c r="J106" i="160"/>
  <c r="H106" i="160"/>
  <c r="G106" i="160"/>
  <c r="F106" i="160"/>
  <c r="E106" i="160"/>
  <c r="D106" i="160"/>
  <c r="N105" i="160"/>
  <c r="M105" i="160"/>
  <c r="L105" i="160"/>
  <c r="K105" i="160"/>
  <c r="J105" i="160"/>
  <c r="I105" i="160"/>
  <c r="H105" i="160"/>
  <c r="G105" i="160"/>
  <c r="F105" i="160"/>
  <c r="E105" i="160"/>
  <c r="D105" i="160"/>
  <c r="N104" i="160"/>
  <c r="M104" i="160"/>
  <c r="L104" i="160"/>
  <c r="K104" i="160"/>
  <c r="J104" i="160"/>
  <c r="I104" i="160"/>
  <c r="H104" i="160"/>
  <c r="G104" i="160"/>
  <c r="F104" i="160"/>
  <c r="E104" i="160"/>
  <c r="D104" i="160"/>
  <c r="N103" i="160"/>
  <c r="M103" i="160"/>
  <c r="L103" i="160"/>
  <c r="K103" i="160"/>
  <c r="J103" i="160"/>
  <c r="I103" i="160"/>
  <c r="H103" i="160"/>
  <c r="G103" i="160"/>
  <c r="F103" i="160"/>
  <c r="E103" i="160"/>
  <c r="D103" i="160"/>
  <c r="D107" i="160" s="1"/>
  <c r="N101" i="160"/>
  <c r="M101" i="160"/>
  <c r="N100" i="160"/>
  <c r="M100" i="160"/>
  <c r="L100" i="160"/>
  <c r="K100" i="160"/>
  <c r="J100" i="160"/>
  <c r="I100" i="160"/>
  <c r="H100" i="160"/>
  <c r="G100" i="160"/>
  <c r="F100" i="160"/>
  <c r="E100" i="160"/>
  <c r="D100" i="160"/>
  <c r="N99" i="160"/>
  <c r="M99" i="160"/>
  <c r="L99" i="160"/>
  <c r="K99" i="160"/>
  <c r="J99" i="160"/>
  <c r="I99" i="160"/>
  <c r="H99" i="160"/>
  <c r="G99" i="160"/>
  <c r="F99" i="160"/>
  <c r="N97" i="160"/>
  <c r="M97" i="160"/>
  <c r="L97" i="160"/>
  <c r="K97" i="160"/>
  <c r="I96" i="160"/>
  <c r="D96" i="160"/>
  <c r="N95" i="160"/>
  <c r="M95" i="160"/>
  <c r="L95" i="160"/>
  <c r="K95" i="160"/>
  <c r="J95" i="160"/>
  <c r="I95" i="160"/>
  <c r="H95" i="160"/>
  <c r="G95" i="160"/>
  <c r="F95" i="160"/>
  <c r="E95" i="160"/>
  <c r="D95" i="160"/>
  <c r="C95" i="160"/>
  <c r="N94" i="160"/>
  <c r="M94" i="160"/>
  <c r="L94" i="160"/>
  <c r="K94" i="160"/>
  <c r="J94" i="160"/>
  <c r="I94" i="160"/>
  <c r="H94" i="160"/>
  <c r="G94" i="160"/>
  <c r="F94" i="160"/>
  <c r="E94" i="160"/>
  <c r="D94" i="160"/>
  <c r="C94" i="160"/>
  <c r="N92" i="160"/>
  <c r="M92" i="160"/>
  <c r="L92" i="160"/>
  <c r="K92" i="160"/>
  <c r="J92" i="160"/>
  <c r="I92" i="160"/>
  <c r="H92" i="160"/>
  <c r="G92" i="160"/>
  <c r="F92" i="160"/>
  <c r="E92" i="160"/>
  <c r="D92" i="160"/>
  <c r="C92" i="160"/>
  <c r="N91" i="160"/>
  <c r="N89" i="160"/>
  <c r="M89" i="160"/>
  <c r="L89" i="160"/>
  <c r="J89" i="160"/>
  <c r="N88" i="160"/>
  <c r="M88" i="160"/>
  <c r="L88" i="160"/>
  <c r="K88" i="160"/>
  <c r="J88" i="160"/>
  <c r="I88" i="160"/>
  <c r="H88" i="160"/>
  <c r="G88" i="160"/>
  <c r="F88" i="160"/>
  <c r="E88" i="160"/>
  <c r="D88" i="160"/>
  <c r="C88" i="160"/>
  <c r="M87" i="160"/>
  <c r="E86" i="160"/>
  <c r="N84" i="160"/>
  <c r="N87" i="160" s="1"/>
  <c r="M84" i="160"/>
  <c r="L84" i="160"/>
  <c r="L87" i="160" s="1"/>
  <c r="K84" i="160"/>
  <c r="K87" i="160" s="1"/>
  <c r="J84" i="160"/>
  <c r="J87" i="160" s="1"/>
  <c r="I84" i="160"/>
  <c r="I87" i="160" s="1"/>
  <c r="H84" i="160"/>
  <c r="H87" i="160" s="1"/>
  <c r="G84" i="160"/>
  <c r="G87" i="160" s="1"/>
  <c r="F84" i="160"/>
  <c r="F87" i="160" s="1"/>
  <c r="E84" i="160"/>
  <c r="D84" i="160"/>
  <c r="D87" i="160" s="1"/>
  <c r="C84" i="160"/>
  <c r="C87" i="160" s="1"/>
  <c r="N83" i="160"/>
  <c r="M83" i="160"/>
  <c r="L83" i="160"/>
  <c r="J83" i="160"/>
  <c r="I83" i="160"/>
  <c r="H83" i="160"/>
  <c r="E83" i="160"/>
  <c r="N81" i="160"/>
  <c r="M81" i="160"/>
  <c r="L81" i="160"/>
  <c r="K81" i="160"/>
  <c r="J81" i="160"/>
  <c r="I81" i="160"/>
  <c r="H81" i="160"/>
  <c r="N80" i="160"/>
  <c r="M80" i="160"/>
  <c r="L80" i="160"/>
  <c r="K80" i="160"/>
  <c r="J80" i="160"/>
  <c r="I80" i="160"/>
  <c r="H80" i="160"/>
  <c r="G80" i="160"/>
  <c r="F80" i="160"/>
  <c r="E80" i="160"/>
  <c r="D80" i="160"/>
  <c r="C80" i="160"/>
  <c r="N79" i="160"/>
  <c r="M79" i="160"/>
  <c r="L79" i="160"/>
  <c r="K79" i="160"/>
  <c r="J79" i="160"/>
  <c r="I79" i="160"/>
  <c r="H79" i="160"/>
  <c r="G79" i="160"/>
  <c r="F79" i="160"/>
  <c r="E79" i="160"/>
  <c r="D79" i="160"/>
  <c r="C79" i="160"/>
  <c r="J78" i="160"/>
  <c r="J82" i="160" s="1"/>
  <c r="N77" i="160"/>
  <c r="M77" i="160"/>
  <c r="L77" i="160"/>
  <c r="K77" i="160"/>
  <c r="J77" i="160"/>
  <c r="I77" i="160"/>
  <c r="H77" i="160"/>
  <c r="G77" i="160"/>
  <c r="F77" i="160"/>
  <c r="E77" i="160"/>
  <c r="D77" i="160"/>
  <c r="C77" i="160"/>
  <c r="N75" i="160"/>
  <c r="L75" i="160"/>
  <c r="I75" i="160"/>
  <c r="C75" i="160"/>
  <c r="N74" i="160"/>
  <c r="N78" i="160" s="1"/>
  <c r="M74" i="160"/>
  <c r="L74" i="160"/>
  <c r="K74" i="160"/>
  <c r="J74" i="160"/>
  <c r="I74" i="160"/>
  <c r="I78" i="160" s="1"/>
  <c r="H74" i="160"/>
  <c r="H78" i="160" s="1"/>
  <c r="G74" i="160"/>
  <c r="G78" i="160" s="1"/>
  <c r="F74" i="160"/>
  <c r="F78" i="160" s="1"/>
  <c r="E74" i="160"/>
  <c r="D74" i="160"/>
  <c r="C74" i="160"/>
  <c r="N69" i="160"/>
  <c r="M69" i="160"/>
  <c r="L69" i="160"/>
  <c r="K69" i="160"/>
  <c r="J69" i="160"/>
  <c r="I69" i="160"/>
  <c r="H69" i="160"/>
  <c r="G69" i="160"/>
  <c r="F69" i="160"/>
  <c r="E69" i="160"/>
  <c r="D69" i="160"/>
  <c r="C69" i="160"/>
  <c r="N66" i="160"/>
  <c r="M66" i="160"/>
  <c r="L66" i="160"/>
  <c r="K66" i="160"/>
  <c r="J66" i="160"/>
  <c r="I66" i="160"/>
  <c r="H66" i="160"/>
  <c r="G66" i="160"/>
  <c r="F66" i="160"/>
  <c r="E66" i="160"/>
  <c r="D66" i="160"/>
  <c r="C66" i="160"/>
  <c r="M65" i="160"/>
  <c r="K65" i="160"/>
  <c r="J65" i="160"/>
  <c r="I65" i="160"/>
  <c r="E65" i="160"/>
  <c r="D65" i="160"/>
  <c r="N64" i="160"/>
  <c r="J64" i="160"/>
  <c r="D64" i="160"/>
  <c r="N62" i="160"/>
  <c r="M62" i="160"/>
  <c r="L62" i="160"/>
  <c r="K62" i="160"/>
  <c r="J62" i="160"/>
  <c r="J63" i="160" s="1"/>
  <c r="I62" i="160"/>
  <c r="H62" i="160"/>
  <c r="G62" i="160"/>
  <c r="F62" i="160"/>
  <c r="E62" i="160"/>
  <c r="D62" i="160"/>
  <c r="C62" i="160"/>
  <c r="N61" i="160"/>
  <c r="N63" i="160" s="1"/>
  <c r="M61" i="160"/>
  <c r="L61" i="160"/>
  <c r="K61" i="160"/>
  <c r="J61" i="160"/>
  <c r="I61" i="160"/>
  <c r="I63" i="160" s="1"/>
  <c r="H61" i="160"/>
  <c r="G61" i="160"/>
  <c r="F61" i="160"/>
  <c r="E61" i="160"/>
  <c r="D61" i="160"/>
  <c r="C61" i="160"/>
  <c r="M59" i="160"/>
  <c r="L59" i="160"/>
  <c r="K59" i="160"/>
  <c r="J59" i="160"/>
  <c r="I59" i="160"/>
  <c r="H59" i="160"/>
  <c r="G59" i="160"/>
  <c r="F59" i="160"/>
  <c r="E59" i="160"/>
  <c r="D59" i="160"/>
  <c r="C59" i="160"/>
  <c r="N58" i="160"/>
  <c r="N57" i="160"/>
  <c r="N56" i="160"/>
  <c r="K54" i="160"/>
  <c r="J54" i="160"/>
  <c r="I54" i="160"/>
  <c r="G54" i="160"/>
  <c r="F54" i="160"/>
  <c r="E54" i="160"/>
  <c r="D54" i="160"/>
  <c r="C54" i="160"/>
  <c r="N52" i="160"/>
  <c r="N51" i="160"/>
  <c r="M51" i="160"/>
  <c r="L51" i="160"/>
  <c r="K51" i="160"/>
  <c r="J51" i="160"/>
  <c r="I51" i="160"/>
  <c r="H51" i="160"/>
  <c r="N50" i="160"/>
  <c r="M50" i="160"/>
  <c r="L50" i="160"/>
  <c r="K50" i="160"/>
  <c r="J50" i="160"/>
  <c r="I50" i="160"/>
  <c r="H50" i="160"/>
  <c r="G50" i="160"/>
  <c r="F50" i="160"/>
  <c r="E50" i="160"/>
  <c r="D50" i="160"/>
  <c r="C50" i="160"/>
  <c r="N49" i="160"/>
  <c r="M49" i="160"/>
  <c r="L49" i="160"/>
  <c r="K49" i="160"/>
  <c r="J49" i="160"/>
  <c r="I49" i="160"/>
  <c r="H49" i="160"/>
  <c r="G49" i="160"/>
  <c r="F49" i="160"/>
  <c r="E49" i="160"/>
  <c r="D49" i="160"/>
  <c r="C49" i="160"/>
  <c r="N45" i="160"/>
  <c r="M45" i="160"/>
  <c r="L45" i="160"/>
  <c r="K45" i="160"/>
  <c r="J45" i="160"/>
  <c r="I45" i="160"/>
  <c r="H45" i="160"/>
  <c r="G45" i="160"/>
  <c r="F45" i="160"/>
  <c r="E45" i="160"/>
  <c r="D45" i="160"/>
  <c r="C45" i="160"/>
  <c r="N43" i="160"/>
  <c r="M43" i="160"/>
  <c r="L43" i="160"/>
  <c r="I43" i="160"/>
  <c r="F43" i="160"/>
  <c r="C43" i="160"/>
  <c r="N42" i="160"/>
  <c r="M42" i="160"/>
  <c r="L42" i="160"/>
  <c r="K42" i="160"/>
  <c r="K48" i="160" s="1"/>
  <c r="J42" i="160"/>
  <c r="I42" i="160"/>
  <c r="H42" i="160"/>
  <c r="G42" i="160"/>
  <c r="G48" i="160" s="1"/>
  <c r="F42" i="160"/>
  <c r="E42" i="160"/>
  <c r="E48" i="160" s="1"/>
  <c r="D42" i="160"/>
  <c r="C42" i="160"/>
  <c r="N34" i="160"/>
  <c r="K34" i="160"/>
  <c r="D34" i="160"/>
  <c r="C34" i="160"/>
  <c r="N32" i="160"/>
  <c r="M32" i="160"/>
  <c r="L32" i="160"/>
  <c r="K32" i="160"/>
  <c r="J32" i="160"/>
  <c r="I32" i="160"/>
  <c r="H32" i="160"/>
  <c r="G32" i="160"/>
  <c r="F32" i="160"/>
  <c r="E32" i="160"/>
  <c r="D32" i="160"/>
  <c r="C32" i="160"/>
  <c r="N31" i="160"/>
  <c r="M31" i="160"/>
  <c r="L31" i="160"/>
  <c r="K31" i="160"/>
  <c r="J31" i="160"/>
  <c r="I31" i="160"/>
  <c r="H31" i="160"/>
  <c r="G31" i="160"/>
  <c r="F31" i="160"/>
  <c r="E31" i="160"/>
  <c r="D31" i="160"/>
  <c r="C31" i="160"/>
  <c r="N30" i="160"/>
  <c r="M30" i="160"/>
  <c r="L30" i="160"/>
  <c r="L33" i="160" s="1"/>
  <c r="K30" i="160"/>
  <c r="J30" i="160"/>
  <c r="I30" i="160"/>
  <c r="I33" i="160" s="1"/>
  <c r="H30" i="160"/>
  <c r="G30" i="160"/>
  <c r="F30" i="160"/>
  <c r="E30" i="160"/>
  <c r="D30" i="160"/>
  <c r="C30" i="160"/>
  <c r="I28" i="160"/>
  <c r="G28" i="160"/>
  <c r="F28" i="160"/>
  <c r="E28" i="160"/>
  <c r="D28" i="160"/>
  <c r="C28" i="160"/>
  <c r="N26" i="160"/>
  <c r="M26" i="160"/>
  <c r="L26" i="160"/>
  <c r="K26" i="160"/>
  <c r="J26" i="160"/>
  <c r="I26" i="160"/>
  <c r="H26" i="160"/>
  <c r="N25" i="160"/>
  <c r="M25" i="160"/>
  <c r="L25" i="160"/>
  <c r="K25" i="160"/>
  <c r="J25" i="160"/>
  <c r="I25" i="160"/>
  <c r="H25" i="160"/>
  <c r="G25" i="160"/>
  <c r="F25" i="160"/>
  <c r="E25" i="160"/>
  <c r="D25" i="160"/>
  <c r="C25" i="160"/>
  <c r="N24" i="160"/>
  <c r="M24" i="160"/>
  <c r="L24" i="160"/>
  <c r="K24" i="160"/>
  <c r="J24" i="160"/>
  <c r="I24" i="160"/>
  <c r="H24" i="160"/>
  <c r="G24" i="160"/>
  <c r="F24" i="160"/>
  <c r="E24" i="160"/>
  <c r="D24" i="160"/>
  <c r="C24" i="160"/>
  <c r="N23" i="160"/>
  <c r="M23" i="160"/>
  <c r="L23" i="160"/>
  <c r="K23" i="160"/>
  <c r="J23" i="160"/>
  <c r="I23" i="160"/>
  <c r="H23" i="160"/>
  <c r="G23" i="160"/>
  <c r="F23" i="160"/>
  <c r="E23" i="160"/>
  <c r="D23" i="160"/>
  <c r="C23" i="160"/>
  <c r="N21" i="160"/>
  <c r="M21" i="160"/>
  <c r="L21" i="160"/>
  <c r="K21" i="160"/>
  <c r="J21" i="160"/>
  <c r="I21" i="160"/>
  <c r="F21" i="160"/>
  <c r="D21" i="160"/>
  <c r="C21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N18" i="160"/>
  <c r="M18" i="160"/>
  <c r="K18" i="160"/>
  <c r="J18" i="160"/>
  <c r="I18" i="160"/>
  <c r="H18" i="160"/>
  <c r="G18" i="160"/>
  <c r="F18" i="160"/>
  <c r="E18" i="160"/>
  <c r="D18" i="160"/>
  <c r="C18" i="160"/>
  <c r="L17" i="160"/>
  <c r="L18" i="160" s="1"/>
  <c r="N15" i="160"/>
  <c r="M15" i="160"/>
  <c r="L15" i="160"/>
  <c r="K15" i="160"/>
  <c r="J15" i="160"/>
  <c r="I15" i="160"/>
  <c r="H15" i="160"/>
  <c r="G15" i="160"/>
  <c r="F15" i="160"/>
  <c r="E15" i="160"/>
  <c r="D15" i="160"/>
  <c r="C15" i="160"/>
  <c r="N14" i="160"/>
  <c r="M14" i="160"/>
  <c r="L14" i="160"/>
  <c r="K14" i="160"/>
  <c r="J14" i="160"/>
  <c r="I14" i="160"/>
  <c r="H14" i="160"/>
  <c r="G14" i="160"/>
  <c r="F14" i="160"/>
  <c r="E14" i="160"/>
  <c r="D14" i="160"/>
  <c r="C14" i="160"/>
  <c r="L9" i="160"/>
  <c r="D9" i="160"/>
  <c r="N8" i="160"/>
  <c r="M8" i="160"/>
  <c r="L8" i="160"/>
  <c r="K8" i="160"/>
  <c r="J8" i="160"/>
  <c r="H8" i="160"/>
  <c r="G8" i="160"/>
  <c r="F8" i="160"/>
  <c r="E8" i="160"/>
  <c r="D8" i="160"/>
  <c r="C8" i="160"/>
  <c r="N7" i="160"/>
  <c r="M7" i="160"/>
  <c r="L7" i="160"/>
  <c r="K7" i="160"/>
  <c r="J7" i="160"/>
  <c r="I7" i="160"/>
  <c r="H7" i="160"/>
  <c r="G7" i="160"/>
  <c r="F7" i="160"/>
  <c r="E7" i="160"/>
  <c r="D7" i="160"/>
  <c r="C7" i="160"/>
  <c r="N6" i="160"/>
  <c r="M6" i="160"/>
  <c r="L6" i="160"/>
  <c r="K6" i="160"/>
  <c r="J6" i="160"/>
  <c r="I6" i="160"/>
  <c r="H6" i="160"/>
  <c r="G6" i="160"/>
  <c r="F6" i="160"/>
  <c r="E6" i="160"/>
  <c r="D6" i="160"/>
  <c r="C6" i="160"/>
  <c r="N5" i="160"/>
  <c r="M5" i="160"/>
  <c r="L5" i="160"/>
  <c r="K5" i="160"/>
  <c r="J5" i="160"/>
  <c r="I5" i="160"/>
  <c r="H5" i="160"/>
  <c r="G5" i="160"/>
  <c r="F5" i="160"/>
  <c r="E5" i="160"/>
  <c r="D5" i="160"/>
  <c r="C5" i="160"/>
  <c r="N4" i="160"/>
  <c r="M4" i="160"/>
  <c r="L4" i="160"/>
  <c r="K4" i="160"/>
  <c r="J4" i="160"/>
  <c r="I4" i="160"/>
  <c r="H4" i="160"/>
  <c r="G4" i="160"/>
  <c r="F4" i="160"/>
  <c r="E4" i="160"/>
  <c r="D4" i="160"/>
  <c r="C4" i="160"/>
  <c r="A231" i="159"/>
  <c r="L230" i="159"/>
  <c r="J230" i="159"/>
  <c r="H230" i="159"/>
  <c r="E230" i="159"/>
  <c r="D230" i="159"/>
  <c r="N228" i="159"/>
  <c r="N227" i="159"/>
  <c r="M227" i="159"/>
  <c r="M230" i="159" s="1"/>
  <c r="K227" i="159"/>
  <c r="K230" i="159" s="1"/>
  <c r="I227" i="159"/>
  <c r="I230" i="159" s="1"/>
  <c r="G227" i="159"/>
  <c r="G230" i="159" s="1"/>
  <c r="G231" i="159" s="1"/>
  <c r="F227" i="159"/>
  <c r="F230" i="159" s="1"/>
  <c r="E227" i="159"/>
  <c r="C227" i="159"/>
  <c r="C230" i="159" s="1"/>
  <c r="N224" i="159"/>
  <c r="K224" i="159"/>
  <c r="N223" i="159"/>
  <c r="M223" i="159"/>
  <c r="M225" i="159" s="1"/>
  <c r="M231" i="159" s="1"/>
  <c r="L223" i="159"/>
  <c r="L225" i="159" s="1"/>
  <c r="K223" i="159"/>
  <c r="K225" i="159" s="1"/>
  <c r="K231" i="159" s="1"/>
  <c r="J223" i="159"/>
  <c r="J225" i="159" s="1"/>
  <c r="J231" i="159" s="1"/>
  <c r="I223" i="159"/>
  <c r="I225" i="159" s="1"/>
  <c r="H223" i="159"/>
  <c r="H225" i="159" s="1"/>
  <c r="G223" i="159"/>
  <c r="G225" i="159" s="1"/>
  <c r="F223" i="159"/>
  <c r="F225" i="159" s="1"/>
  <c r="E223" i="159"/>
  <c r="E225" i="159" s="1"/>
  <c r="E231" i="159" s="1"/>
  <c r="D223" i="159"/>
  <c r="D225" i="159" s="1"/>
  <c r="D231" i="159" s="1"/>
  <c r="C223" i="159"/>
  <c r="C225" i="159" s="1"/>
  <c r="C231" i="159" s="1"/>
  <c r="N219" i="159"/>
  <c r="J219" i="159"/>
  <c r="N218" i="159"/>
  <c r="N217" i="159"/>
  <c r="M217" i="159"/>
  <c r="L217" i="159"/>
  <c r="K217" i="159"/>
  <c r="J217" i="159"/>
  <c r="I217" i="159"/>
  <c r="H217" i="159"/>
  <c r="C215" i="159"/>
  <c r="N213" i="159"/>
  <c r="M213" i="159"/>
  <c r="M214" i="159" s="1"/>
  <c r="L213" i="159"/>
  <c r="K213" i="159"/>
  <c r="J213" i="159"/>
  <c r="I213" i="159"/>
  <c r="H213" i="159"/>
  <c r="G213" i="159"/>
  <c r="F213" i="159"/>
  <c r="E213" i="159"/>
  <c r="E214" i="159" s="1"/>
  <c r="D213" i="159"/>
  <c r="C213" i="159"/>
  <c r="N212" i="159"/>
  <c r="N214" i="159" s="1"/>
  <c r="M212" i="159"/>
  <c r="L212" i="159"/>
  <c r="K212" i="159"/>
  <c r="J212" i="159"/>
  <c r="J214" i="159" s="1"/>
  <c r="I212" i="159"/>
  <c r="H212" i="159"/>
  <c r="H214" i="159" s="1"/>
  <c r="G212" i="159"/>
  <c r="F212" i="159"/>
  <c r="F214" i="159" s="1"/>
  <c r="E212" i="159"/>
  <c r="D212" i="159"/>
  <c r="C212" i="159"/>
  <c r="N210" i="159"/>
  <c r="L210" i="159"/>
  <c r="K210" i="159"/>
  <c r="G210" i="159"/>
  <c r="F210" i="159"/>
  <c r="E210" i="159"/>
  <c r="D210" i="159"/>
  <c r="C210" i="159"/>
  <c r="E209" i="159"/>
  <c r="N208" i="159"/>
  <c r="N209" i="159" s="1"/>
  <c r="M208" i="159"/>
  <c r="L208" i="159"/>
  <c r="K208" i="159"/>
  <c r="N207" i="159"/>
  <c r="M207" i="159"/>
  <c r="M209" i="159" s="1"/>
  <c r="L207" i="159"/>
  <c r="L209" i="159" s="1"/>
  <c r="K207" i="159"/>
  <c r="J207" i="159"/>
  <c r="J209" i="159" s="1"/>
  <c r="I207" i="159"/>
  <c r="I209" i="159" s="1"/>
  <c r="H207" i="159"/>
  <c r="H209" i="159" s="1"/>
  <c r="G207" i="159"/>
  <c r="G209" i="159" s="1"/>
  <c r="F207" i="159"/>
  <c r="F209" i="159" s="1"/>
  <c r="E207" i="159"/>
  <c r="D207" i="159"/>
  <c r="D209" i="159" s="1"/>
  <c r="C207" i="159"/>
  <c r="C209" i="159" s="1"/>
  <c r="D206" i="159"/>
  <c r="N205" i="159"/>
  <c r="M205" i="159"/>
  <c r="L205" i="159"/>
  <c r="K205" i="159"/>
  <c r="J205" i="159"/>
  <c r="I205" i="159"/>
  <c r="H205" i="159"/>
  <c r="G205" i="159"/>
  <c r="F205" i="159"/>
  <c r="E205" i="159"/>
  <c r="N204" i="159"/>
  <c r="M204" i="159"/>
  <c r="L204" i="159"/>
  <c r="K204" i="159"/>
  <c r="J204" i="159"/>
  <c r="I204" i="159"/>
  <c r="H204" i="159"/>
  <c r="G204" i="159"/>
  <c r="F204" i="159"/>
  <c r="E204" i="159"/>
  <c r="D204" i="159"/>
  <c r="C204" i="159"/>
  <c r="N203" i="159"/>
  <c r="M203" i="159"/>
  <c r="L203" i="159"/>
  <c r="K203" i="159"/>
  <c r="J203" i="159"/>
  <c r="I203" i="159"/>
  <c r="H203" i="159"/>
  <c r="G203" i="159"/>
  <c r="F203" i="159"/>
  <c r="E203" i="159"/>
  <c r="D203" i="159"/>
  <c r="C203" i="159"/>
  <c r="N200" i="159"/>
  <c r="M200" i="159"/>
  <c r="L200" i="159"/>
  <c r="K200" i="159"/>
  <c r="J200" i="159"/>
  <c r="I200" i="159"/>
  <c r="H200" i="159"/>
  <c r="G200" i="159"/>
  <c r="G202" i="159" s="1"/>
  <c r="F200" i="159"/>
  <c r="E200" i="159"/>
  <c r="D200" i="159"/>
  <c r="C200" i="159"/>
  <c r="N199" i="159"/>
  <c r="M199" i="159"/>
  <c r="L199" i="159"/>
  <c r="J199" i="159"/>
  <c r="I199" i="159"/>
  <c r="H199" i="159"/>
  <c r="E199" i="159"/>
  <c r="E202" i="159" s="1"/>
  <c r="C199" i="159"/>
  <c r="N198" i="159"/>
  <c r="N202" i="159" s="1"/>
  <c r="M198" i="159"/>
  <c r="L198" i="159"/>
  <c r="K198" i="159"/>
  <c r="J198" i="159"/>
  <c r="I198" i="159"/>
  <c r="H198" i="159"/>
  <c r="H202" i="159" s="1"/>
  <c r="F198" i="159"/>
  <c r="F202" i="159" s="1"/>
  <c r="D198" i="159"/>
  <c r="D202" i="159" s="1"/>
  <c r="C198" i="159"/>
  <c r="K194" i="159"/>
  <c r="N193" i="159"/>
  <c r="I193" i="159"/>
  <c r="D193" i="159"/>
  <c r="N192" i="159"/>
  <c r="N195" i="159" s="1"/>
  <c r="M192" i="159"/>
  <c r="L192" i="159"/>
  <c r="K192" i="159"/>
  <c r="J192" i="159"/>
  <c r="I192" i="159"/>
  <c r="H192" i="159"/>
  <c r="H195" i="159" s="1"/>
  <c r="G192" i="159"/>
  <c r="G195" i="159" s="1"/>
  <c r="F192" i="159"/>
  <c r="F195" i="159" s="1"/>
  <c r="E192" i="159"/>
  <c r="D192" i="159"/>
  <c r="C192" i="159"/>
  <c r="C195" i="159" s="1"/>
  <c r="M190" i="159"/>
  <c r="L190" i="159"/>
  <c r="K190" i="159"/>
  <c r="J190" i="159"/>
  <c r="I190" i="159"/>
  <c r="E190" i="159"/>
  <c r="N188" i="159"/>
  <c r="M188" i="159"/>
  <c r="L188" i="159"/>
  <c r="K188" i="159"/>
  <c r="I188" i="159"/>
  <c r="F188" i="159"/>
  <c r="E188" i="159"/>
  <c r="C187" i="159"/>
  <c r="N186" i="159"/>
  <c r="N187" i="159" s="1"/>
  <c r="M186" i="159"/>
  <c r="M187" i="159" s="1"/>
  <c r="L186" i="159"/>
  <c r="L187" i="159" s="1"/>
  <c r="K186" i="159"/>
  <c r="J186" i="159"/>
  <c r="J187" i="159" s="1"/>
  <c r="I186" i="159"/>
  <c r="H186" i="159"/>
  <c r="H187" i="159" s="1"/>
  <c r="G186" i="159"/>
  <c r="G187" i="159" s="1"/>
  <c r="F186" i="159"/>
  <c r="F187" i="159" s="1"/>
  <c r="E186" i="159"/>
  <c r="E187" i="159" s="1"/>
  <c r="D186" i="159"/>
  <c r="D187" i="159" s="1"/>
  <c r="C186" i="159"/>
  <c r="K185" i="159"/>
  <c r="K187" i="159" s="1"/>
  <c r="I185" i="159"/>
  <c r="K184" i="159"/>
  <c r="N183" i="159"/>
  <c r="M183" i="159"/>
  <c r="L183" i="159"/>
  <c r="K183" i="159"/>
  <c r="J183" i="159"/>
  <c r="I183" i="159"/>
  <c r="H183" i="159"/>
  <c r="G183" i="159"/>
  <c r="F183" i="159"/>
  <c r="E183" i="159"/>
  <c r="M181" i="159"/>
  <c r="L181" i="159"/>
  <c r="H181" i="159"/>
  <c r="E181" i="159"/>
  <c r="N179" i="159"/>
  <c r="M179" i="159"/>
  <c r="L179" i="159"/>
  <c r="K179" i="159"/>
  <c r="J179" i="159"/>
  <c r="I179" i="159"/>
  <c r="H179" i="159"/>
  <c r="G179" i="159"/>
  <c r="F179" i="159"/>
  <c r="E179" i="159"/>
  <c r="D179" i="159"/>
  <c r="C179" i="159"/>
  <c r="N178" i="159"/>
  <c r="M178" i="159"/>
  <c r="L178" i="159"/>
  <c r="K178" i="159"/>
  <c r="J178" i="159"/>
  <c r="I178" i="159"/>
  <c r="H178" i="159"/>
  <c r="G178" i="159"/>
  <c r="G180" i="159" s="1"/>
  <c r="F178" i="159"/>
  <c r="E178" i="159"/>
  <c r="D178" i="159"/>
  <c r="C178" i="159"/>
  <c r="N177" i="159"/>
  <c r="N180" i="159" s="1"/>
  <c r="M177" i="159"/>
  <c r="L177" i="159"/>
  <c r="K177" i="159"/>
  <c r="J177" i="159"/>
  <c r="I177" i="159"/>
  <c r="H177" i="159"/>
  <c r="G177" i="159"/>
  <c r="F177" i="159"/>
  <c r="E177" i="159"/>
  <c r="D177" i="159"/>
  <c r="C177" i="159"/>
  <c r="I176" i="159"/>
  <c r="H176" i="159"/>
  <c r="F176" i="159"/>
  <c r="E176" i="159"/>
  <c r="D176" i="159"/>
  <c r="C176" i="159"/>
  <c r="C180" i="159" s="1"/>
  <c r="N174" i="159"/>
  <c r="M174" i="159"/>
  <c r="L174" i="159"/>
  <c r="K174" i="159"/>
  <c r="J174" i="159"/>
  <c r="I174" i="159"/>
  <c r="H174" i="159"/>
  <c r="G174" i="159"/>
  <c r="E174" i="159"/>
  <c r="N172" i="159"/>
  <c r="M172" i="159"/>
  <c r="L172" i="159"/>
  <c r="K172" i="159"/>
  <c r="J172" i="159"/>
  <c r="I172" i="159"/>
  <c r="H172" i="159"/>
  <c r="G172" i="159"/>
  <c r="F172" i="159"/>
  <c r="E172" i="159"/>
  <c r="D172" i="159"/>
  <c r="C172" i="159"/>
  <c r="N171" i="159"/>
  <c r="M171" i="159"/>
  <c r="L171" i="159"/>
  <c r="K171" i="159"/>
  <c r="J171" i="159"/>
  <c r="J173" i="159" s="1"/>
  <c r="I171" i="159"/>
  <c r="H171" i="159"/>
  <c r="G171" i="159"/>
  <c r="F171" i="159"/>
  <c r="E171" i="159"/>
  <c r="D171" i="159"/>
  <c r="C171" i="159"/>
  <c r="N170" i="159"/>
  <c r="M170" i="159"/>
  <c r="L170" i="159"/>
  <c r="K170" i="159"/>
  <c r="J170" i="159"/>
  <c r="I170" i="159"/>
  <c r="I173" i="159" s="1"/>
  <c r="H170" i="159"/>
  <c r="G170" i="159"/>
  <c r="F170" i="159"/>
  <c r="E170" i="159"/>
  <c r="D170" i="159"/>
  <c r="C170" i="159"/>
  <c r="N165" i="159"/>
  <c r="M165" i="159"/>
  <c r="L165" i="159"/>
  <c r="K165" i="159"/>
  <c r="K167" i="159" s="1"/>
  <c r="J165" i="159"/>
  <c r="I165" i="159"/>
  <c r="H165" i="159"/>
  <c r="G165" i="159"/>
  <c r="F165" i="159"/>
  <c r="C165" i="159"/>
  <c r="N164" i="159"/>
  <c r="N167" i="159" s="1"/>
  <c r="M164" i="159"/>
  <c r="L164" i="159"/>
  <c r="K164" i="159"/>
  <c r="J164" i="159"/>
  <c r="I164" i="159"/>
  <c r="H164" i="159"/>
  <c r="H167" i="159" s="1"/>
  <c r="G164" i="159"/>
  <c r="F164" i="159"/>
  <c r="F167" i="159" s="1"/>
  <c r="E164" i="159"/>
  <c r="E167" i="159" s="1"/>
  <c r="D164" i="159"/>
  <c r="D167" i="159" s="1"/>
  <c r="C164" i="159"/>
  <c r="N162" i="159"/>
  <c r="J162" i="159"/>
  <c r="G162" i="159"/>
  <c r="N158" i="159"/>
  <c r="N156" i="159"/>
  <c r="M156" i="159"/>
  <c r="L156" i="159"/>
  <c r="K156" i="159"/>
  <c r="J156" i="159"/>
  <c r="I156" i="159"/>
  <c r="H156" i="159"/>
  <c r="G156" i="159"/>
  <c r="F156" i="159"/>
  <c r="E156" i="159"/>
  <c r="D156" i="159"/>
  <c r="C156" i="159"/>
  <c r="N155" i="159"/>
  <c r="M155" i="159"/>
  <c r="L155" i="159"/>
  <c r="K155" i="159"/>
  <c r="J155" i="159"/>
  <c r="I155" i="159"/>
  <c r="H155" i="159"/>
  <c r="G155" i="159"/>
  <c r="F155" i="159"/>
  <c r="E155" i="159"/>
  <c r="D155" i="159"/>
  <c r="C155" i="159"/>
  <c r="J154" i="159"/>
  <c r="N153" i="159"/>
  <c r="C153" i="159"/>
  <c r="N152" i="159"/>
  <c r="N151" i="159"/>
  <c r="N150" i="159"/>
  <c r="M150" i="159"/>
  <c r="M154" i="159" s="1"/>
  <c r="L150" i="159"/>
  <c r="L154" i="159" s="1"/>
  <c r="K150" i="159"/>
  <c r="K154" i="159" s="1"/>
  <c r="K161" i="159" s="1"/>
  <c r="J150" i="159"/>
  <c r="I150" i="159"/>
  <c r="I154" i="159" s="1"/>
  <c r="H150" i="159"/>
  <c r="H154" i="159" s="1"/>
  <c r="G150" i="159"/>
  <c r="G154" i="159" s="1"/>
  <c r="F150" i="159"/>
  <c r="F154" i="159" s="1"/>
  <c r="E150" i="159"/>
  <c r="E154" i="159" s="1"/>
  <c r="E161" i="159" s="1"/>
  <c r="D150" i="159"/>
  <c r="D154" i="159" s="1"/>
  <c r="D161" i="159" s="1"/>
  <c r="C150" i="159"/>
  <c r="C154" i="159" s="1"/>
  <c r="C161" i="159" s="1"/>
  <c r="H143" i="159"/>
  <c r="F143" i="159"/>
  <c r="E143" i="159"/>
  <c r="D143" i="159"/>
  <c r="C143" i="159"/>
  <c r="N142" i="159"/>
  <c r="N141" i="159"/>
  <c r="M141" i="159"/>
  <c r="L141" i="159"/>
  <c r="K141" i="159"/>
  <c r="J141" i="159"/>
  <c r="I141" i="159"/>
  <c r="H141" i="159"/>
  <c r="G141" i="159"/>
  <c r="F141" i="159"/>
  <c r="E141" i="159"/>
  <c r="D141" i="159"/>
  <c r="C141" i="159"/>
  <c r="N140" i="159"/>
  <c r="M140" i="159"/>
  <c r="J140" i="159"/>
  <c r="G140" i="159"/>
  <c r="E140" i="159"/>
  <c r="D140" i="159"/>
  <c r="N139" i="159"/>
  <c r="M139" i="159"/>
  <c r="L139" i="159"/>
  <c r="H139" i="159"/>
  <c r="G139" i="159"/>
  <c r="F139" i="159"/>
  <c r="N138" i="159"/>
  <c r="M138" i="159"/>
  <c r="L138" i="159"/>
  <c r="K138" i="159"/>
  <c r="J138" i="159"/>
  <c r="I138" i="159"/>
  <c r="H138" i="159"/>
  <c r="G138" i="159"/>
  <c r="F138" i="159"/>
  <c r="E138" i="159"/>
  <c r="D138" i="159"/>
  <c r="C138" i="159"/>
  <c r="N136" i="159"/>
  <c r="M136" i="159"/>
  <c r="L136" i="159"/>
  <c r="K136" i="159"/>
  <c r="J136" i="159"/>
  <c r="I136" i="159"/>
  <c r="H136" i="159"/>
  <c r="G136" i="159"/>
  <c r="F136" i="159"/>
  <c r="E136" i="159"/>
  <c r="D136" i="159"/>
  <c r="C136" i="159"/>
  <c r="N135" i="159"/>
  <c r="M135" i="159"/>
  <c r="L135" i="159"/>
  <c r="K135" i="159"/>
  <c r="J135" i="159"/>
  <c r="I135" i="159"/>
  <c r="H135" i="159"/>
  <c r="G135" i="159"/>
  <c r="F135" i="159"/>
  <c r="E135" i="159"/>
  <c r="D135" i="159"/>
  <c r="C135" i="159"/>
  <c r="N134" i="159"/>
  <c r="M134" i="159"/>
  <c r="L134" i="159"/>
  <c r="K134" i="159"/>
  <c r="K137" i="159" s="1"/>
  <c r="J134" i="159"/>
  <c r="I134" i="159"/>
  <c r="H134" i="159"/>
  <c r="G134" i="159"/>
  <c r="F134" i="159"/>
  <c r="F137" i="159" s="1"/>
  <c r="E134" i="159"/>
  <c r="E137" i="159" s="1"/>
  <c r="D134" i="159"/>
  <c r="C134" i="159"/>
  <c r="C137" i="159" s="1"/>
  <c r="N132" i="159"/>
  <c r="M132" i="159"/>
  <c r="L132" i="159"/>
  <c r="K132" i="159"/>
  <c r="J132" i="159"/>
  <c r="I132" i="159"/>
  <c r="H132" i="159"/>
  <c r="G132" i="159"/>
  <c r="F132" i="159"/>
  <c r="E132" i="159"/>
  <c r="D132" i="159"/>
  <c r="C132" i="159"/>
  <c r="N131" i="159"/>
  <c r="C131" i="159"/>
  <c r="L130" i="159"/>
  <c r="J130" i="159"/>
  <c r="I130" i="159"/>
  <c r="H130" i="159"/>
  <c r="F130" i="159"/>
  <c r="D130" i="159"/>
  <c r="C130" i="159"/>
  <c r="N129" i="159"/>
  <c r="M129" i="159"/>
  <c r="L129" i="159"/>
  <c r="K129" i="159"/>
  <c r="G129" i="159"/>
  <c r="C129" i="159"/>
  <c r="N127" i="159"/>
  <c r="M127" i="159"/>
  <c r="L127" i="159"/>
  <c r="K127" i="159"/>
  <c r="J127" i="159"/>
  <c r="I127" i="159"/>
  <c r="H127" i="159"/>
  <c r="G127" i="159"/>
  <c r="F127" i="159"/>
  <c r="C127" i="159"/>
  <c r="N126" i="159"/>
  <c r="M126" i="159"/>
  <c r="K126" i="159"/>
  <c r="H126" i="159"/>
  <c r="G126" i="159"/>
  <c r="F126" i="159"/>
  <c r="N125" i="159"/>
  <c r="M125" i="159"/>
  <c r="L125" i="159"/>
  <c r="K125" i="159"/>
  <c r="J125" i="159"/>
  <c r="I125" i="159"/>
  <c r="H125" i="159"/>
  <c r="G125" i="159"/>
  <c r="F125" i="159"/>
  <c r="E125" i="159"/>
  <c r="D125" i="159"/>
  <c r="C125" i="159"/>
  <c r="N122" i="159"/>
  <c r="M122" i="159"/>
  <c r="L122" i="159"/>
  <c r="K122" i="159"/>
  <c r="J122" i="159"/>
  <c r="I122" i="159"/>
  <c r="H122" i="159"/>
  <c r="G122" i="159"/>
  <c r="F122" i="159"/>
  <c r="E122" i="159"/>
  <c r="D122" i="159"/>
  <c r="C122" i="159"/>
  <c r="N121" i="159"/>
  <c r="M121" i="159"/>
  <c r="L121" i="159"/>
  <c r="K121" i="159"/>
  <c r="J121" i="159"/>
  <c r="I121" i="159"/>
  <c r="H121" i="159"/>
  <c r="G121" i="159"/>
  <c r="F121" i="159"/>
  <c r="E121" i="159"/>
  <c r="D121" i="159"/>
  <c r="C121" i="159"/>
  <c r="N119" i="159"/>
  <c r="C119" i="159"/>
  <c r="N118" i="159"/>
  <c r="M118" i="159"/>
  <c r="N117" i="159"/>
  <c r="N116" i="159"/>
  <c r="M116" i="159"/>
  <c r="L116" i="159"/>
  <c r="L120" i="159" s="1"/>
  <c r="K116" i="159"/>
  <c r="K120" i="159" s="1"/>
  <c r="K124" i="159" s="1"/>
  <c r="J116" i="159"/>
  <c r="J120" i="159" s="1"/>
  <c r="J124" i="159" s="1"/>
  <c r="I116" i="159"/>
  <c r="I120" i="159" s="1"/>
  <c r="H116" i="159"/>
  <c r="H120" i="159" s="1"/>
  <c r="G116" i="159"/>
  <c r="G120" i="159" s="1"/>
  <c r="F116" i="159"/>
  <c r="F120" i="159" s="1"/>
  <c r="E116" i="159"/>
  <c r="E120" i="159" s="1"/>
  <c r="D116" i="159"/>
  <c r="D120" i="159" s="1"/>
  <c r="C116" i="159"/>
  <c r="N109" i="159"/>
  <c r="M109" i="159"/>
  <c r="L109" i="159"/>
  <c r="K109" i="159"/>
  <c r="J109" i="159"/>
  <c r="I109" i="159"/>
  <c r="H109" i="159"/>
  <c r="L106" i="159"/>
  <c r="K106" i="159"/>
  <c r="J106" i="159"/>
  <c r="H106" i="159"/>
  <c r="G106" i="159"/>
  <c r="F106" i="159"/>
  <c r="E106" i="159"/>
  <c r="D106" i="159"/>
  <c r="M105" i="159"/>
  <c r="L105" i="159"/>
  <c r="K105" i="159"/>
  <c r="J105" i="159"/>
  <c r="H105" i="159"/>
  <c r="G105" i="159"/>
  <c r="F105" i="159"/>
  <c r="E105" i="159"/>
  <c r="D105" i="159"/>
  <c r="C105" i="159"/>
  <c r="N104" i="159"/>
  <c r="M104" i="159"/>
  <c r="L104" i="159"/>
  <c r="K104" i="159"/>
  <c r="J104" i="159"/>
  <c r="I104" i="159"/>
  <c r="H104" i="159"/>
  <c r="G104" i="159"/>
  <c r="F104" i="159"/>
  <c r="E104" i="159"/>
  <c r="D104" i="159"/>
  <c r="C104" i="159"/>
  <c r="N103" i="159"/>
  <c r="N107" i="159" s="1"/>
  <c r="M103" i="159"/>
  <c r="L103" i="159"/>
  <c r="K103" i="159"/>
  <c r="J103" i="159"/>
  <c r="I103" i="159"/>
  <c r="H103" i="159"/>
  <c r="G103" i="159"/>
  <c r="F103" i="159"/>
  <c r="F107" i="159" s="1"/>
  <c r="E103" i="159"/>
  <c r="D103" i="159"/>
  <c r="C103" i="159"/>
  <c r="N100" i="159"/>
  <c r="M100" i="159"/>
  <c r="L100" i="159"/>
  <c r="K100" i="159"/>
  <c r="J100" i="159"/>
  <c r="I100" i="159"/>
  <c r="H100" i="159"/>
  <c r="G100" i="159"/>
  <c r="F100" i="159"/>
  <c r="E100" i="159"/>
  <c r="D100" i="159"/>
  <c r="C100" i="159"/>
  <c r="K98" i="159"/>
  <c r="H98" i="159"/>
  <c r="F98" i="159"/>
  <c r="E98" i="159"/>
  <c r="C98" i="159"/>
  <c r="M96" i="159"/>
  <c r="G96" i="159"/>
  <c r="G98" i="159" s="1"/>
  <c r="N95" i="159"/>
  <c r="M95" i="159"/>
  <c r="L95" i="159"/>
  <c r="L98" i="159" s="1"/>
  <c r="J95" i="159"/>
  <c r="J98" i="159" s="1"/>
  <c r="I95" i="159"/>
  <c r="I98" i="159" s="1"/>
  <c r="N94" i="159"/>
  <c r="N98" i="159" s="1"/>
  <c r="D94" i="159"/>
  <c r="D98" i="159" s="1"/>
  <c r="N92" i="159"/>
  <c r="M92" i="159"/>
  <c r="L92" i="159"/>
  <c r="K92" i="159"/>
  <c r="J92" i="159"/>
  <c r="I92" i="159"/>
  <c r="H92" i="159"/>
  <c r="G92" i="159"/>
  <c r="F92" i="159"/>
  <c r="E92" i="159"/>
  <c r="D92" i="159"/>
  <c r="C92" i="159"/>
  <c r="N88" i="159"/>
  <c r="M88" i="159"/>
  <c r="L88" i="159"/>
  <c r="J88" i="159"/>
  <c r="H88" i="159"/>
  <c r="N86" i="159"/>
  <c r="M86" i="159"/>
  <c r="M87" i="159" s="1"/>
  <c r="L86" i="159"/>
  <c r="K86" i="159"/>
  <c r="J86" i="159"/>
  <c r="I86" i="159"/>
  <c r="H86" i="159"/>
  <c r="G86" i="159"/>
  <c r="F86" i="159"/>
  <c r="E86" i="159"/>
  <c r="D86" i="159"/>
  <c r="C86" i="159"/>
  <c r="C87" i="159" s="1"/>
  <c r="L85" i="159"/>
  <c r="K85" i="159"/>
  <c r="J85" i="159"/>
  <c r="I85" i="159"/>
  <c r="I87" i="159" s="1"/>
  <c r="H85" i="159"/>
  <c r="H87" i="159" s="1"/>
  <c r="G85" i="159"/>
  <c r="F85" i="159"/>
  <c r="E85" i="159"/>
  <c r="D85" i="159"/>
  <c r="N84" i="159"/>
  <c r="M84" i="159"/>
  <c r="L84" i="159"/>
  <c r="L87" i="159" s="1"/>
  <c r="N83" i="159"/>
  <c r="L83" i="159"/>
  <c r="I83" i="159"/>
  <c r="G83" i="159"/>
  <c r="F83" i="159"/>
  <c r="E83" i="159"/>
  <c r="D83" i="159"/>
  <c r="N80" i="159"/>
  <c r="M80" i="159"/>
  <c r="L80" i="159"/>
  <c r="K80" i="159"/>
  <c r="J80" i="159"/>
  <c r="I80" i="159"/>
  <c r="H80" i="159"/>
  <c r="G80" i="159"/>
  <c r="F80" i="159"/>
  <c r="N79" i="159"/>
  <c r="M79" i="159"/>
  <c r="L79" i="159"/>
  <c r="K79" i="159"/>
  <c r="J79" i="159"/>
  <c r="I79" i="159"/>
  <c r="H79" i="159"/>
  <c r="G79" i="159"/>
  <c r="F79" i="159"/>
  <c r="E78" i="159"/>
  <c r="E82" i="159" s="1"/>
  <c r="D78" i="159"/>
  <c r="D82" i="159" s="1"/>
  <c r="C78" i="159"/>
  <c r="C82" i="159" s="1"/>
  <c r="N77" i="159"/>
  <c r="N76" i="159"/>
  <c r="M76" i="159"/>
  <c r="N75" i="159"/>
  <c r="N74" i="159"/>
  <c r="M74" i="159"/>
  <c r="M78" i="159" s="1"/>
  <c r="L74" i="159"/>
  <c r="L78" i="159" s="1"/>
  <c r="L82" i="159" s="1"/>
  <c r="K74" i="159"/>
  <c r="K78" i="159" s="1"/>
  <c r="J74" i="159"/>
  <c r="J78" i="159" s="1"/>
  <c r="I74" i="159"/>
  <c r="I78" i="159" s="1"/>
  <c r="I82" i="159" s="1"/>
  <c r="H74" i="159"/>
  <c r="H78" i="159" s="1"/>
  <c r="H82" i="159" s="1"/>
  <c r="G74" i="159"/>
  <c r="G78" i="159" s="1"/>
  <c r="F74" i="159"/>
  <c r="F78" i="159" s="1"/>
  <c r="F82" i="159" s="1"/>
  <c r="N69" i="159"/>
  <c r="M69" i="159"/>
  <c r="L69" i="159"/>
  <c r="K69" i="159"/>
  <c r="J69" i="159"/>
  <c r="I69" i="159"/>
  <c r="H69" i="159"/>
  <c r="G68" i="159"/>
  <c r="N66" i="159"/>
  <c r="M66" i="159"/>
  <c r="L66" i="159"/>
  <c r="K66" i="159"/>
  <c r="J66" i="159"/>
  <c r="I66" i="159"/>
  <c r="F63" i="159"/>
  <c r="N62" i="159"/>
  <c r="M62" i="159"/>
  <c r="L62" i="159"/>
  <c r="K62" i="159"/>
  <c r="J62" i="159"/>
  <c r="I62" i="159"/>
  <c r="H62" i="159"/>
  <c r="G62" i="159"/>
  <c r="F62" i="159"/>
  <c r="E62" i="159"/>
  <c r="D62" i="159"/>
  <c r="C62" i="159"/>
  <c r="N61" i="159"/>
  <c r="N63" i="159" s="1"/>
  <c r="M61" i="159"/>
  <c r="M63" i="159" s="1"/>
  <c r="L61" i="159"/>
  <c r="L63" i="159" s="1"/>
  <c r="K61" i="159"/>
  <c r="K63" i="159" s="1"/>
  <c r="J61" i="159"/>
  <c r="J63" i="159" s="1"/>
  <c r="I61" i="159"/>
  <c r="H61" i="159"/>
  <c r="G61" i="159"/>
  <c r="F61" i="159"/>
  <c r="E61" i="159"/>
  <c r="E63" i="159" s="1"/>
  <c r="D61" i="159"/>
  <c r="D63" i="159" s="1"/>
  <c r="C61" i="159"/>
  <c r="N59" i="159"/>
  <c r="M59" i="159"/>
  <c r="L59" i="159"/>
  <c r="K59" i="159"/>
  <c r="J59" i="159"/>
  <c r="I59" i="159"/>
  <c r="H59" i="159"/>
  <c r="G59" i="159"/>
  <c r="F59" i="159"/>
  <c r="E59" i="159"/>
  <c r="D59" i="159"/>
  <c r="C59" i="159"/>
  <c r="N54" i="159"/>
  <c r="M54" i="159"/>
  <c r="L54" i="159"/>
  <c r="N50" i="159"/>
  <c r="M50" i="159"/>
  <c r="L50" i="159"/>
  <c r="K50" i="159"/>
  <c r="J50" i="159"/>
  <c r="I50" i="159"/>
  <c r="H50" i="159"/>
  <c r="G50" i="159"/>
  <c r="F50" i="159"/>
  <c r="E50" i="159"/>
  <c r="D50" i="159"/>
  <c r="C50" i="159"/>
  <c r="N49" i="159"/>
  <c r="M49" i="159"/>
  <c r="L49" i="159"/>
  <c r="K49" i="159"/>
  <c r="J49" i="159"/>
  <c r="I49" i="159"/>
  <c r="H49" i="159"/>
  <c r="G49" i="159"/>
  <c r="F49" i="159"/>
  <c r="E49" i="159"/>
  <c r="D49" i="159"/>
  <c r="C49" i="159"/>
  <c r="N45" i="159"/>
  <c r="C45" i="159"/>
  <c r="N44" i="159"/>
  <c r="M44" i="159"/>
  <c r="N43" i="159"/>
  <c r="N42" i="159"/>
  <c r="N48" i="159" s="1"/>
  <c r="N53" i="159" s="1"/>
  <c r="M42" i="159"/>
  <c r="L42" i="159"/>
  <c r="L48" i="159" s="1"/>
  <c r="L53" i="159" s="1"/>
  <c r="K42" i="159"/>
  <c r="K48" i="159" s="1"/>
  <c r="J42" i="159"/>
  <c r="J48" i="159" s="1"/>
  <c r="J53" i="159" s="1"/>
  <c r="I42" i="159"/>
  <c r="I48" i="159" s="1"/>
  <c r="I53" i="159" s="1"/>
  <c r="H42" i="159"/>
  <c r="H48" i="159" s="1"/>
  <c r="H53" i="159" s="1"/>
  <c r="G42" i="159"/>
  <c r="G48" i="159" s="1"/>
  <c r="F42" i="159"/>
  <c r="F48" i="159" s="1"/>
  <c r="F53" i="159" s="1"/>
  <c r="E42" i="159"/>
  <c r="E48" i="159" s="1"/>
  <c r="D42" i="159"/>
  <c r="D48" i="159" s="1"/>
  <c r="D53" i="159" s="1"/>
  <c r="C42" i="159"/>
  <c r="N34" i="159"/>
  <c r="I33" i="159"/>
  <c r="H33" i="159"/>
  <c r="G33" i="159"/>
  <c r="F33" i="159"/>
  <c r="E33" i="159"/>
  <c r="D33" i="159"/>
  <c r="C33" i="159"/>
  <c r="N32" i="159"/>
  <c r="M32" i="159"/>
  <c r="L32" i="159"/>
  <c r="K32" i="159"/>
  <c r="N31" i="159"/>
  <c r="N33" i="159" s="1"/>
  <c r="M31" i="159"/>
  <c r="L31" i="159"/>
  <c r="K31" i="159"/>
  <c r="N30" i="159"/>
  <c r="M30" i="159"/>
  <c r="L30" i="159"/>
  <c r="K30" i="159"/>
  <c r="K33" i="159" s="1"/>
  <c r="J30" i="159"/>
  <c r="J33" i="159" s="1"/>
  <c r="N28" i="159"/>
  <c r="M28" i="159"/>
  <c r="L28" i="159"/>
  <c r="K28" i="159"/>
  <c r="J28" i="159"/>
  <c r="I28" i="159"/>
  <c r="H28" i="159"/>
  <c r="G28" i="159"/>
  <c r="F28" i="159"/>
  <c r="F27" i="159"/>
  <c r="N25" i="159"/>
  <c r="M25" i="159"/>
  <c r="L25" i="159"/>
  <c r="K25" i="159"/>
  <c r="J25" i="159"/>
  <c r="I25" i="159"/>
  <c r="H25" i="159"/>
  <c r="G25" i="159"/>
  <c r="F25" i="159"/>
  <c r="E25" i="159"/>
  <c r="D25" i="159"/>
  <c r="C25" i="159"/>
  <c r="N24" i="159"/>
  <c r="M24" i="159"/>
  <c r="L24" i="159"/>
  <c r="K24" i="159"/>
  <c r="J24" i="159"/>
  <c r="I24" i="159"/>
  <c r="H24" i="159"/>
  <c r="G24" i="159"/>
  <c r="F24" i="159"/>
  <c r="E24" i="159"/>
  <c r="D24" i="159"/>
  <c r="C24" i="159"/>
  <c r="N23" i="159"/>
  <c r="C23" i="159"/>
  <c r="N22" i="159"/>
  <c r="M22" i="159"/>
  <c r="N21" i="159"/>
  <c r="N20" i="159"/>
  <c r="M20" i="159"/>
  <c r="L20" i="159"/>
  <c r="K20" i="159"/>
  <c r="J20" i="159"/>
  <c r="I20" i="159"/>
  <c r="H20" i="159"/>
  <c r="H27" i="159" s="1"/>
  <c r="G20" i="159"/>
  <c r="F20" i="159"/>
  <c r="E20" i="159"/>
  <c r="D20" i="159"/>
  <c r="C20" i="159"/>
  <c r="N18" i="159"/>
  <c r="M18" i="159"/>
  <c r="L18" i="159"/>
  <c r="K18" i="159"/>
  <c r="J18" i="159"/>
  <c r="I18" i="159"/>
  <c r="H18" i="159"/>
  <c r="G18" i="159"/>
  <c r="F18" i="159"/>
  <c r="E18" i="159"/>
  <c r="D18" i="159"/>
  <c r="C18" i="159"/>
  <c r="N15" i="159"/>
  <c r="M15" i="159"/>
  <c r="L15" i="159"/>
  <c r="K15" i="159"/>
  <c r="J15" i="159"/>
  <c r="I15" i="159"/>
  <c r="H15" i="159"/>
  <c r="N14" i="159"/>
  <c r="M14" i="159"/>
  <c r="L14" i="159"/>
  <c r="K14" i="159"/>
  <c r="J14" i="159"/>
  <c r="I14" i="159"/>
  <c r="H14" i="159"/>
  <c r="G14" i="159"/>
  <c r="F14" i="159"/>
  <c r="E14" i="159"/>
  <c r="D14" i="159"/>
  <c r="C14" i="159"/>
  <c r="K9" i="159"/>
  <c r="J9" i="159"/>
  <c r="I9" i="159"/>
  <c r="N8" i="159"/>
  <c r="M8" i="159"/>
  <c r="L8" i="159"/>
  <c r="K8" i="159"/>
  <c r="J8" i="159"/>
  <c r="I8" i="159"/>
  <c r="H8" i="159"/>
  <c r="G8" i="159"/>
  <c r="F8" i="159"/>
  <c r="E8" i="159"/>
  <c r="D8" i="159"/>
  <c r="C8" i="159"/>
  <c r="N7" i="159"/>
  <c r="M7" i="159"/>
  <c r="L7" i="159"/>
  <c r="K7" i="159"/>
  <c r="J7" i="159"/>
  <c r="I7" i="159"/>
  <c r="H7" i="159"/>
  <c r="G7" i="159"/>
  <c r="F7" i="159"/>
  <c r="E7" i="159"/>
  <c r="D7" i="159"/>
  <c r="C7" i="159"/>
  <c r="N6" i="159"/>
  <c r="M6" i="159"/>
  <c r="L6" i="159"/>
  <c r="K6" i="159"/>
  <c r="J6" i="159"/>
  <c r="I6" i="159"/>
  <c r="H6" i="159"/>
  <c r="G6" i="159"/>
  <c r="F6" i="159"/>
  <c r="E6" i="159"/>
  <c r="D6" i="159"/>
  <c r="C6" i="159"/>
  <c r="N5" i="159"/>
  <c r="M5" i="159"/>
  <c r="L5" i="159"/>
  <c r="K5" i="159"/>
  <c r="J5" i="159"/>
  <c r="I5" i="159"/>
  <c r="H5" i="159"/>
  <c r="G5" i="159"/>
  <c r="F5" i="159"/>
  <c r="E5" i="159"/>
  <c r="D5" i="159"/>
  <c r="C5" i="159"/>
  <c r="N4" i="159"/>
  <c r="M4" i="159"/>
  <c r="M10" i="159" s="1"/>
  <c r="M11" i="159" s="1"/>
  <c r="L4" i="159"/>
  <c r="K4" i="159"/>
  <c r="J4" i="159"/>
  <c r="I4" i="159"/>
  <c r="H4" i="159"/>
  <c r="G4" i="159"/>
  <c r="G10" i="159" s="1"/>
  <c r="G11" i="159" s="1"/>
  <c r="F4" i="159"/>
  <c r="E4" i="159"/>
  <c r="E10" i="159" s="1"/>
  <c r="E11" i="159" s="1"/>
  <c r="D4" i="159"/>
  <c r="C4" i="159"/>
  <c r="E195" i="159" l="1"/>
  <c r="E27" i="159"/>
  <c r="M27" i="159"/>
  <c r="C120" i="159"/>
  <c r="C124" i="159" s="1"/>
  <c r="F70" i="159"/>
  <c r="N70" i="159"/>
  <c r="E87" i="159"/>
  <c r="E112" i="159" s="1"/>
  <c r="E220" i="159" s="1"/>
  <c r="H112" i="159"/>
  <c r="E124" i="159"/>
  <c r="F161" i="159"/>
  <c r="E180" i="159"/>
  <c r="K180" i="159"/>
  <c r="I202" i="159"/>
  <c r="F10" i="159"/>
  <c r="F11" i="159" s="1"/>
  <c r="L33" i="159"/>
  <c r="H63" i="159"/>
  <c r="G87" i="159"/>
  <c r="N137" i="159"/>
  <c r="G161" i="159"/>
  <c r="F180" i="159"/>
  <c r="L195" i="159"/>
  <c r="C214" i="159"/>
  <c r="C216" i="159" s="1"/>
  <c r="K214" i="159"/>
  <c r="H231" i="159"/>
  <c r="J82" i="159"/>
  <c r="H107" i="159"/>
  <c r="C167" i="159"/>
  <c r="D173" i="159"/>
  <c r="L173" i="159"/>
  <c r="J195" i="159"/>
  <c r="K202" i="159"/>
  <c r="K209" i="159"/>
  <c r="D214" i="159"/>
  <c r="L214" i="159"/>
  <c r="H10" i="159"/>
  <c r="H11" i="159" s="1"/>
  <c r="K82" i="159"/>
  <c r="K87" i="159"/>
  <c r="M98" i="159"/>
  <c r="C63" i="159"/>
  <c r="D87" i="159"/>
  <c r="D112" i="159" s="1"/>
  <c r="I124" i="159"/>
  <c r="M167" i="159"/>
  <c r="C202" i="159"/>
  <c r="M137" i="159"/>
  <c r="G27" i="159"/>
  <c r="G35" i="159" s="1"/>
  <c r="G36" i="159" s="1"/>
  <c r="G37" i="159" s="1"/>
  <c r="C145" i="159"/>
  <c r="K145" i="159"/>
  <c r="E35" i="159"/>
  <c r="E36" i="159" s="1"/>
  <c r="E37" i="159" s="1"/>
  <c r="H35" i="159"/>
  <c r="H36" i="159" s="1"/>
  <c r="G82" i="159"/>
  <c r="I107" i="159"/>
  <c r="I112" i="159" s="1"/>
  <c r="D124" i="159"/>
  <c r="L124" i="159"/>
  <c r="L161" i="159"/>
  <c r="D195" i="159"/>
  <c r="J202" i="159"/>
  <c r="G137" i="159"/>
  <c r="M161" i="159"/>
  <c r="I161" i="159"/>
  <c r="E173" i="159"/>
  <c r="E216" i="159" s="1"/>
  <c r="M173" i="159"/>
  <c r="I187" i="159"/>
  <c r="N10" i="159"/>
  <c r="N11" i="159" s="1"/>
  <c r="I27" i="159"/>
  <c r="I35" i="159" s="1"/>
  <c r="I36" i="159" s="1"/>
  <c r="F87" i="159"/>
  <c r="N87" i="159"/>
  <c r="C48" i="159"/>
  <c r="C53" i="159" s="1"/>
  <c r="C70" i="159" s="1"/>
  <c r="K53" i="159"/>
  <c r="K70" i="159" s="1"/>
  <c r="F124" i="159"/>
  <c r="F145" i="159" s="1"/>
  <c r="H137" i="159"/>
  <c r="L167" i="159"/>
  <c r="C173" i="159"/>
  <c r="K173" i="159"/>
  <c r="H173" i="159"/>
  <c r="I180" i="159"/>
  <c r="I195" i="159"/>
  <c r="H70" i="159"/>
  <c r="F35" i="159"/>
  <c r="F36" i="159" s="1"/>
  <c r="F37" i="159" s="1"/>
  <c r="J70" i="159"/>
  <c r="E145" i="159"/>
  <c r="J10" i="159"/>
  <c r="J11" i="159" s="1"/>
  <c r="D70" i="159"/>
  <c r="L70" i="159"/>
  <c r="J87" i="159"/>
  <c r="D107" i="159"/>
  <c r="L107" i="159"/>
  <c r="L112" i="159" s="1"/>
  <c r="J107" i="159"/>
  <c r="G124" i="159"/>
  <c r="I137" i="159"/>
  <c r="I145" i="159" s="1"/>
  <c r="G173" i="159"/>
  <c r="L180" i="159"/>
  <c r="M202" i="159"/>
  <c r="D27" i="159"/>
  <c r="L27" i="159"/>
  <c r="L35" i="159" s="1"/>
  <c r="L36" i="159" s="1"/>
  <c r="E53" i="159"/>
  <c r="E70" i="159" s="1"/>
  <c r="M48" i="159"/>
  <c r="M53" i="159" s="1"/>
  <c r="M70" i="159" s="1"/>
  <c r="G63" i="159"/>
  <c r="M82" i="159"/>
  <c r="E107" i="159"/>
  <c r="M107" i="159"/>
  <c r="C107" i="159"/>
  <c r="C112" i="159" s="1"/>
  <c r="K107" i="159"/>
  <c r="K112" i="159" s="1"/>
  <c r="H124" i="159"/>
  <c r="J137" i="159"/>
  <c r="G167" i="159"/>
  <c r="M180" i="159"/>
  <c r="K195" i="159"/>
  <c r="N78" i="159"/>
  <c r="N82" i="159" s="1"/>
  <c r="N112" i="159" s="1"/>
  <c r="F112" i="159"/>
  <c r="N27" i="159"/>
  <c r="N35" i="159" s="1"/>
  <c r="N36" i="159" s="1"/>
  <c r="N37" i="159" s="1"/>
  <c r="M33" i="159"/>
  <c r="G53" i="159"/>
  <c r="I63" i="159"/>
  <c r="I70" i="159" s="1"/>
  <c r="G107" i="159"/>
  <c r="J145" i="159"/>
  <c r="D137" i="159"/>
  <c r="L137" i="159"/>
  <c r="N154" i="159"/>
  <c r="N161" i="159" s="1"/>
  <c r="I167" i="159"/>
  <c r="D180" i="159"/>
  <c r="M195" i="159"/>
  <c r="L231" i="159"/>
  <c r="D173" i="160"/>
  <c r="L154" i="160"/>
  <c r="J187" i="160"/>
  <c r="N180" i="160"/>
  <c r="E231" i="160"/>
  <c r="E10" i="160"/>
  <c r="E11" i="160" s="1"/>
  <c r="J33" i="160"/>
  <c r="D154" i="160"/>
  <c r="D161" i="160" s="1"/>
  <c r="C63" i="160"/>
  <c r="K63" i="160"/>
  <c r="J167" i="160"/>
  <c r="D195" i="160"/>
  <c r="I202" i="160"/>
  <c r="L173" i="160"/>
  <c r="H48" i="160"/>
  <c r="H53" i="160" s="1"/>
  <c r="F137" i="160"/>
  <c r="F145" i="160" s="1"/>
  <c r="N137" i="160"/>
  <c r="J173" i="160"/>
  <c r="F180" i="160"/>
  <c r="C124" i="160"/>
  <c r="F10" i="160"/>
  <c r="F11" i="160" s="1"/>
  <c r="N10" i="160"/>
  <c r="N11" i="160" s="1"/>
  <c r="L27" i="160"/>
  <c r="L35" i="160" s="1"/>
  <c r="L36" i="160" s="1"/>
  <c r="L37" i="160" s="1"/>
  <c r="J209" i="160"/>
  <c r="J214" i="160"/>
  <c r="C231" i="160"/>
  <c r="K231" i="160"/>
  <c r="L225" i="160"/>
  <c r="H120" i="160"/>
  <c r="M10" i="160"/>
  <c r="M11" i="160" s="1"/>
  <c r="D63" i="160"/>
  <c r="L63" i="160"/>
  <c r="G98" i="160"/>
  <c r="F120" i="160"/>
  <c r="F124" i="160" s="1"/>
  <c r="N120" i="160"/>
  <c r="M231" i="160"/>
  <c r="I82" i="160"/>
  <c r="C48" i="160"/>
  <c r="C53" i="160" s="1"/>
  <c r="H98" i="160"/>
  <c r="K107" i="160"/>
  <c r="J137" i="160"/>
  <c r="J202" i="160"/>
  <c r="C137" i="160"/>
  <c r="C145" i="160" s="1"/>
  <c r="K137" i="160"/>
  <c r="L161" i="160"/>
  <c r="M145" i="160"/>
  <c r="M48" i="160"/>
  <c r="D137" i="160"/>
  <c r="L137" i="160"/>
  <c r="E154" i="160"/>
  <c r="M154" i="160"/>
  <c r="M161" i="160" s="1"/>
  <c r="D180" i="160"/>
  <c r="L180" i="160"/>
  <c r="M187" i="160"/>
  <c r="L195" i="160"/>
  <c r="F82" i="160"/>
  <c r="N167" i="160"/>
  <c r="I173" i="160"/>
  <c r="M195" i="160"/>
  <c r="I209" i="160"/>
  <c r="D231" i="160"/>
  <c r="L231" i="160"/>
  <c r="N231" i="160"/>
  <c r="F231" i="160"/>
  <c r="M63" i="160"/>
  <c r="C173" i="160"/>
  <c r="F63" i="160"/>
  <c r="I161" i="160"/>
  <c r="I167" i="160"/>
  <c r="C214" i="160"/>
  <c r="K214" i="160"/>
  <c r="M53" i="160"/>
  <c r="M70" i="160" s="1"/>
  <c r="J161" i="160"/>
  <c r="E173" i="160"/>
  <c r="D209" i="160"/>
  <c r="H82" i="160"/>
  <c r="K202" i="160"/>
  <c r="D27" i="160"/>
  <c r="D33" i="160"/>
  <c r="D35" i="160" s="1"/>
  <c r="D36" i="160" s="1"/>
  <c r="G82" i="160"/>
  <c r="D202" i="160"/>
  <c r="L202" i="160"/>
  <c r="E202" i="160"/>
  <c r="M202" i="160"/>
  <c r="E63" i="160"/>
  <c r="K173" i="160"/>
  <c r="E53" i="160"/>
  <c r="I98" i="160"/>
  <c r="M173" i="160"/>
  <c r="L209" i="160"/>
  <c r="J98" i="160"/>
  <c r="E107" i="160"/>
  <c r="C154" i="160"/>
  <c r="C161" i="160" s="1"/>
  <c r="K161" i="160"/>
  <c r="E209" i="160"/>
  <c r="M209" i="160"/>
  <c r="H107" i="160"/>
  <c r="C202" i="160"/>
  <c r="H10" i="160"/>
  <c r="H11" i="160" s="1"/>
  <c r="E137" i="160"/>
  <c r="E145" i="160" s="1"/>
  <c r="E180" i="160"/>
  <c r="M180" i="160"/>
  <c r="L214" i="160"/>
  <c r="I10" i="160"/>
  <c r="I11" i="160" s="1"/>
  <c r="C10" i="160"/>
  <c r="C11" i="160" s="1"/>
  <c r="K10" i="160"/>
  <c r="K11" i="160" s="1"/>
  <c r="D10" i="160"/>
  <c r="D11" i="160" s="1"/>
  <c r="L10" i="160"/>
  <c r="L11" i="160" s="1"/>
  <c r="M33" i="160"/>
  <c r="G53" i="160"/>
  <c r="G63" i="160"/>
  <c r="G70" i="160" s="1"/>
  <c r="C98" i="160"/>
  <c r="K98" i="160"/>
  <c r="F107" i="160"/>
  <c r="N107" i="160"/>
  <c r="M107" i="160"/>
  <c r="K120" i="160"/>
  <c r="K124" i="160" s="1"/>
  <c r="K145" i="160" s="1"/>
  <c r="G137" i="160"/>
  <c r="G180" i="160"/>
  <c r="F209" i="160"/>
  <c r="N209" i="160"/>
  <c r="E214" i="160"/>
  <c r="M214" i="160"/>
  <c r="C27" i="160"/>
  <c r="N33" i="160"/>
  <c r="C78" i="160"/>
  <c r="C82" i="160" s="1"/>
  <c r="J10" i="160"/>
  <c r="J11" i="160" s="1"/>
  <c r="F27" i="160"/>
  <c r="L98" i="160"/>
  <c r="G107" i="160"/>
  <c r="D214" i="160"/>
  <c r="E33" i="160"/>
  <c r="N27" i="160"/>
  <c r="F33" i="160"/>
  <c r="F35" i="160" s="1"/>
  <c r="F36" i="160" s="1"/>
  <c r="F37" i="160" s="1"/>
  <c r="K78" i="160"/>
  <c r="K82" i="160" s="1"/>
  <c r="D98" i="160"/>
  <c r="I107" i="160"/>
  <c r="I120" i="160"/>
  <c r="I124" i="160" s="1"/>
  <c r="E161" i="160"/>
  <c r="F173" i="160"/>
  <c r="N173" i="160"/>
  <c r="H180" i="160"/>
  <c r="I180" i="160"/>
  <c r="G187" i="160"/>
  <c r="G195" i="160"/>
  <c r="N195" i="160"/>
  <c r="F202" i="160"/>
  <c r="N202" i="160"/>
  <c r="G209" i="160"/>
  <c r="F214" i="160"/>
  <c r="N214" i="160"/>
  <c r="K27" i="160"/>
  <c r="G33" i="160"/>
  <c r="I48" i="160"/>
  <c r="I53" i="160" s="1"/>
  <c r="I70" i="160" s="1"/>
  <c r="D78" i="160"/>
  <c r="D82" i="160" s="1"/>
  <c r="L78" i="160"/>
  <c r="L82" i="160" s="1"/>
  <c r="E87" i="160"/>
  <c r="J120" i="160"/>
  <c r="J124" i="160" s="1"/>
  <c r="J145" i="160" s="1"/>
  <c r="G120" i="160"/>
  <c r="G124" i="160" s="1"/>
  <c r="F154" i="160"/>
  <c r="F161" i="160" s="1"/>
  <c r="N154" i="160"/>
  <c r="N161" i="160" s="1"/>
  <c r="D167" i="160"/>
  <c r="L167" i="160"/>
  <c r="G173" i="160"/>
  <c r="H187" i="160"/>
  <c r="H195" i="160"/>
  <c r="G202" i="160"/>
  <c r="H209" i="160"/>
  <c r="H27" i="160"/>
  <c r="E27" i="160"/>
  <c r="H33" i="160"/>
  <c r="N59" i="160"/>
  <c r="E78" i="160"/>
  <c r="E82" i="160" s="1"/>
  <c r="M78" i="160"/>
  <c r="M82" i="160" s="1"/>
  <c r="F98" i="160"/>
  <c r="N98" i="160"/>
  <c r="G154" i="160"/>
  <c r="G161" i="160" s="1"/>
  <c r="E167" i="160"/>
  <c r="M167" i="160"/>
  <c r="H173" i="160"/>
  <c r="J180" i="160"/>
  <c r="I187" i="160"/>
  <c r="I195" i="160"/>
  <c r="H202" i="160"/>
  <c r="G10" i="160"/>
  <c r="G11" i="160" s="1"/>
  <c r="C70" i="160"/>
  <c r="K53" i="160"/>
  <c r="K70" i="160" s="1"/>
  <c r="J107" i="160"/>
  <c r="D120" i="160"/>
  <c r="D124" i="160" s="1"/>
  <c r="L120" i="160"/>
  <c r="L124" i="160" s="1"/>
  <c r="L145" i="160" s="1"/>
  <c r="H154" i="160"/>
  <c r="H161" i="160" s="1"/>
  <c r="F167" i="160"/>
  <c r="C180" i="160"/>
  <c r="K180" i="160"/>
  <c r="J231" i="160"/>
  <c r="D27" i="161"/>
  <c r="C59" i="161"/>
  <c r="C63" i="161"/>
  <c r="C70" i="161" s="1"/>
  <c r="E78" i="161"/>
  <c r="E82" i="161" s="1"/>
  <c r="E112" i="161" s="1"/>
  <c r="C120" i="161"/>
  <c r="C124" i="161" s="1"/>
  <c r="C145" i="161" s="1"/>
  <c r="D173" i="161"/>
  <c r="D120" i="161"/>
  <c r="D124" i="161" s="1"/>
  <c r="E180" i="161"/>
  <c r="C187" i="161"/>
  <c r="C214" i="161"/>
  <c r="C98" i="161"/>
  <c r="E124" i="161"/>
  <c r="E145" i="161" s="1"/>
  <c r="C154" i="161"/>
  <c r="C161" i="161" s="1"/>
  <c r="C216" i="161" s="1"/>
  <c r="D209" i="161"/>
  <c r="D10" i="161"/>
  <c r="D11" i="161" s="1"/>
  <c r="E33" i="161"/>
  <c r="E98" i="161"/>
  <c r="E154" i="161"/>
  <c r="E161" i="161" s="1"/>
  <c r="C180" i="161"/>
  <c r="E195" i="161"/>
  <c r="E202" i="161"/>
  <c r="E10" i="161"/>
  <c r="E11" i="161" s="1"/>
  <c r="D107" i="161"/>
  <c r="D112" i="161" s="1"/>
  <c r="C167" i="161"/>
  <c r="D180" i="161"/>
  <c r="C82" i="161"/>
  <c r="E107" i="161"/>
  <c r="D167" i="161"/>
  <c r="D216" i="161" s="1"/>
  <c r="E231" i="161"/>
  <c r="D137" i="161"/>
  <c r="E167" i="161"/>
  <c r="E216" i="161" s="1"/>
  <c r="E209" i="161"/>
  <c r="E70" i="161"/>
  <c r="D35" i="161"/>
  <c r="D36" i="161" s="1"/>
  <c r="E35" i="161"/>
  <c r="E36" i="161" s="1"/>
  <c r="E37" i="161" s="1"/>
  <c r="C27" i="161"/>
  <c r="C35" i="161" s="1"/>
  <c r="C36" i="161" s="1"/>
  <c r="C37" i="161" s="1"/>
  <c r="C112" i="161"/>
  <c r="D48" i="161"/>
  <c r="D53" i="161" s="1"/>
  <c r="D70" i="161" s="1"/>
  <c r="D231" i="161"/>
  <c r="M27" i="160"/>
  <c r="M35" i="160" s="1"/>
  <c r="M36" i="160" s="1"/>
  <c r="M37" i="160" s="1"/>
  <c r="D48" i="160"/>
  <c r="D53" i="160" s="1"/>
  <c r="D70" i="160" s="1"/>
  <c r="L48" i="160"/>
  <c r="L53" i="160" s="1"/>
  <c r="G27" i="160"/>
  <c r="F48" i="160"/>
  <c r="F53" i="160" s="1"/>
  <c r="N48" i="160"/>
  <c r="N53" i="160" s="1"/>
  <c r="N124" i="160"/>
  <c r="N145" i="160" s="1"/>
  <c r="H124" i="160"/>
  <c r="N82" i="160"/>
  <c r="N112" i="160" s="1"/>
  <c r="E98" i="160"/>
  <c r="M98" i="160"/>
  <c r="I27" i="160"/>
  <c r="I35" i="160" s="1"/>
  <c r="I36" i="160" s="1"/>
  <c r="J27" i="160"/>
  <c r="L107" i="160"/>
  <c r="H137" i="160"/>
  <c r="C33" i="160"/>
  <c r="K33" i="160"/>
  <c r="K35" i="160" s="1"/>
  <c r="K36" i="160" s="1"/>
  <c r="J48" i="160"/>
  <c r="J53" i="160" s="1"/>
  <c r="J70" i="160" s="1"/>
  <c r="H63" i="160"/>
  <c r="I137" i="160"/>
  <c r="G167" i="160"/>
  <c r="H167" i="160"/>
  <c r="G231" i="160"/>
  <c r="H231" i="160"/>
  <c r="I231" i="160"/>
  <c r="H37" i="159"/>
  <c r="D10" i="159"/>
  <c r="D11" i="159" s="1"/>
  <c r="C10" i="159"/>
  <c r="C11" i="159" s="1"/>
  <c r="J27" i="159"/>
  <c r="J35" i="159" s="1"/>
  <c r="J36" i="159" s="1"/>
  <c r="J37" i="159" s="1"/>
  <c r="L10" i="159"/>
  <c r="L11" i="159" s="1"/>
  <c r="L216" i="159"/>
  <c r="J112" i="159"/>
  <c r="M35" i="159"/>
  <c r="M36" i="159" s="1"/>
  <c r="M37" i="159" s="1"/>
  <c r="K10" i="159"/>
  <c r="K11" i="159" s="1"/>
  <c r="D35" i="159"/>
  <c r="D36" i="159" s="1"/>
  <c r="C27" i="159"/>
  <c r="C35" i="159" s="1"/>
  <c r="C36" i="159" s="1"/>
  <c r="K27" i="159"/>
  <c r="K35" i="159" s="1"/>
  <c r="K36" i="159" s="1"/>
  <c r="I10" i="159"/>
  <c r="I11" i="159" s="1"/>
  <c r="M120" i="159"/>
  <c r="M124" i="159" s="1"/>
  <c r="I231" i="159"/>
  <c r="N120" i="159"/>
  <c r="N124" i="159" s="1"/>
  <c r="N145" i="159" s="1"/>
  <c r="M216" i="159"/>
  <c r="G145" i="159"/>
  <c r="N230" i="159"/>
  <c r="D216" i="159"/>
  <c r="F231" i="159"/>
  <c r="F173" i="159"/>
  <c r="F216" i="159" s="1"/>
  <c r="N173" i="159"/>
  <c r="N216" i="159" s="1"/>
  <c r="J167" i="159"/>
  <c r="H161" i="159"/>
  <c r="H180" i="159"/>
  <c r="G214" i="159"/>
  <c r="G216" i="159" s="1"/>
  <c r="J161" i="159"/>
  <c r="L202" i="159"/>
  <c r="I214" i="159"/>
  <c r="N225" i="159"/>
  <c r="J180" i="159"/>
  <c r="A17" i="155"/>
  <c r="A20" i="155"/>
  <c r="A2" i="156"/>
  <c r="A4" i="156"/>
  <c r="A5" i="156"/>
  <c r="A6" i="156"/>
  <c r="A7" i="156"/>
  <c r="A8" i="156"/>
  <c r="A11" i="156"/>
  <c r="A12" i="156"/>
  <c r="A13" i="156"/>
  <c r="A16" i="156"/>
  <c r="A17" i="156"/>
  <c r="J4" i="153"/>
  <c r="K4" i="153"/>
  <c r="L4" i="153"/>
  <c r="M4" i="153"/>
  <c r="N4" i="153"/>
  <c r="J5" i="153"/>
  <c r="K5" i="153"/>
  <c r="L5" i="153"/>
  <c r="M5" i="153"/>
  <c r="N5" i="153"/>
  <c r="C6" i="153"/>
  <c r="D6" i="153"/>
  <c r="E6" i="153"/>
  <c r="F6" i="153"/>
  <c r="G6" i="153"/>
  <c r="H6" i="153"/>
  <c r="I6" i="153"/>
  <c r="J6" i="153"/>
  <c r="K6" i="153"/>
  <c r="L6" i="153"/>
  <c r="M6" i="153"/>
  <c r="N6" i="153"/>
  <c r="C7" i="153"/>
  <c r="D7" i="153"/>
  <c r="E7" i="153"/>
  <c r="F7" i="153"/>
  <c r="G7" i="153"/>
  <c r="G10" i="153" s="1"/>
  <c r="G11" i="153" s="1"/>
  <c r="H7" i="153"/>
  <c r="I7" i="153"/>
  <c r="J7" i="153"/>
  <c r="K7" i="153"/>
  <c r="L7" i="153"/>
  <c r="M7" i="153"/>
  <c r="N7" i="153"/>
  <c r="C8" i="153"/>
  <c r="D8" i="153"/>
  <c r="F8" i="153"/>
  <c r="H8" i="153"/>
  <c r="J8" i="153"/>
  <c r="K8" i="153"/>
  <c r="M8" i="153"/>
  <c r="E14" i="153"/>
  <c r="F14" i="153"/>
  <c r="G14" i="153"/>
  <c r="H14" i="153"/>
  <c r="I14" i="153"/>
  <c r="J14" i="153"/>
  <c r="K14" i="153"/>
  <c r="L14" i="153"/>
  <c r="M14" i="153"/>
  <c r="N14" i="153"/>
  <c r="C18" i="153"/>
  <c r="D18" i="153"/>
  <c r="E18" i="153"/>
  <c r="F18" i="153"/>
  <c r="G18" i="153"/>
  <c r="H18" i="153"/>
  <c r="I18" i="153"/>
  <c r="J18" i="153"/>
  <c r="K18" i="153"/>
  <c r="L18" i="153"/>
  <c r="M18" i="153"/>
  <c r="N18" i="153"/>
  <c r="N20" i="153"/>
  <c r="N23" i="153"/>
  <c r="N24" i="153"/>
  <c r="C27" i="153"/>
  <c r="D27" i="153"/>
  <c r="E27" i="153"/>
  <c r="F27" i="153"/>
  <c r="F35" i="153" s="1"/>
  <c r="F36" i="153" s="1"/>
  <c r="G27" i="153"/>
  <c r="H27" i="153"/>
  <c r="I27" i="153"/>
  <c r="J27" i="153"/>
  <c r="K27" i="153"/>
  <c r="L27" i="153"/>
  <c r="M27" i="153"/>
  <c r="C28" i="153"/>
  <c r="G28" i="153"/>
  <c r="C33" i="153"/>
  <c r="D33" i="153"/>
  <c r="E33" i="153"/>
  <c r="F33" i="153"/>
  <c r="G33" i="153"/>
  <c r="H33" i="153"/>
  <c r="I33" i="153"/>
  <c r="J33" i="153"/>
  <c r="K33" i="153"/>
  <c r="L33" i="153"/>
  <c r="M33" i="153"/>
  <c r="N33" i="153"/>
  <c r="C42" i="153"/>
  <c r="C48" i="153" s="1"/>
  <c r="D42" i="153"/>
  <c r="E42" i="153"/>
  <c r="F42" i="153"/>
  <c r="G42" i="153"/>
  <c r="G48" i="153" s="1"/>
  <c r="H42" i="153"/>
  <c r="I42" i="153"/>
  <c r="J42" i="153"/>
  <c r="K42" i="153"/>
  <c r="L42" i="153"/>
  <c r="M42" i="153"/>
  <c r="N42" i="153"/>
  <c r="N44" i="153"/>
  <c r="N45" i="153"/>
  <c r="D46" i="153"/>
  <c r="E46" i="153"/>
  <c r="H46" i="153"/>
  <c r="I46" i="153"/>
  <c r="J46" i="153"/>
  <c r="K46" i="153"/>
  <c r="L46" i="153"/>
  <c r="N46" i="153"/>
  <c r="M47" i="153"/>
  <c r="N47" i="153"/>
  <c r="C49" i="153"/>
  <c r="D49" i="153"/>
  <c r="E49" i="153"/>
  <c r="F49" i="153"/>
  <c r="G49" i="153"/>
  <c r="H49" i="153"/>
  <c r="I49" i="153"/>
  <c r="J49" i="153"/>
  <c r="K49" i="153"/>
  <c r="L49" i="153"/>
  <c r="M49" i="153"/>
  <c r="N49" i="153"/>
  <c r="N50" i="153"/>
  <c r="M54" i="153"/>
  <c r="C59" i="153"/>
  <c r="D59" i="153"/>
  <c r="E59" i="153"/>
  <c r="F59" i="153"/>
  <c r="G59" i="153"/>
  <c r="H59" i="153"/>
  <c r="I59" i="153"/>
  <c r="J59" i="153"/>
  <c r="K59" i="153"/>
  <c r="L59" i="153"/>
  <c r="M59" i="153"/>
  <c r="N59" i="153"/>
  <c r="C60" i="153"/>
  <c r="D61" i="153"/>
  <c r="E61" i="153"/>
  <c r="F61" i="153"/>
  <c r="G61" i="153"/>
  <c r="H61" i="153"/>
  <c r="H63" i="153" s="1"/>
  <c r="I61" i="153"/>
  <c r="I63" i="153" s="1"/>
  <c r="J61" i="153"/>
  <c r="K61" i="153"/>
  <c r="L61" i="153"/>
  <c r="M61" i="153"/>
  <c r="N61" i="153"/>
  <c r="C62" i="153"/>
  <c r="D62" i="153"/>
  <c r="E62" i="153"/>
  <c r="F62" i="153"/>
  <c r="G62" i="153"/>
  <c r="H62" i="153"/>
  <c r="I62" i="153"/>
  <c r="J62" i="153"/>
  <c r="K62" i="153"/>
  <c r="L62" i="153"/>
  <c r="M62" i="153"/>
  <c r="N62" i="153"/>
  <c r="K63" i="153"/>
  <c r="K66" i="153"/>
  <c r="H68" i="153"/>
  <c r="K68" i="153"/>
  <c r="G69" i="153"/>
  <c r="M69" i="153"/>
  <c r="N69" i="153"/>
  <c r="C78" i="153"/>
  <c r="D78" i="153"/>
  <c r="D82" i="153" s="1"/>
  <c r="E78" i="153"/>
  <c r="E82" i="153" s="1"/>
  <c r="F78" i="153"/>
  <c r="F82" i="153" s="1"/>
  <c r="G78" i="153"/>
  <c r="G82" i="153" s="1"/>
  <c r="H78" i="153"/>
  <c r="H82" i="153" s="1"/>
  <c r="I78" i="153"/>
  <c r="I82" i="153" s="1"/>
  <c r="J78" i="153"/>
  <c r="J82" i="153" s="1"/>
  <c r="K78" i="153"/>
  <c r="K82" i="153" s="1"/>
  <c r="L78" i="153"/>
  <c r="L82" i="153" s="1"/>
  <c r="M78" i="153"/>
  <c r="M82" i="153" s="1"/>
  <c r="N78" i="153"/>
  <c r="N82" i="153" s="1"/>
  <c r="F85" i="153"/>
  <c r="G85" i="153"/>
  <c r="I85" i="153"/>
  <c r="J85" i="153"/>
  <c r="K85" i="153"/>
  <c r="L85" i="153"/>
  <c r="M85" i="153"/>
  <c r="M87" i="153" s="1"/>
  <c r="C86" i="153"/>
  <c r="C87" i="153" s="1"/>
  <c r="D86" i="153"/>
  <c r="D87" i="153" s="1"/>
  <c r="E86" i="153"/>
  <c r="E87" i="153" s="1"/>
  <c r="F86" i="153"/>
  <c r="G86" i="153"/>
  <c r="H86" i="153"/>
  <c r="I86" i="153"/>
  <c r="J86" i="153"/>
  <c r="K86" i="153"/>
  <c r="L86" i="153"/>
  <c r="N86" i="153"/>
  <c r="N87" i="153" s="1"/>
  <c r="C92" i="153"/>
  <c r="F92" i="153"/>
  <c r="I92" i="153"/>
  <c r="K92" i="153"/>
  <c r="N92" i="153"/>
  <c r="M94" i="153"/>
  <c r="M98" i="153" s="1"/>
  <c r="N94" i="153"/>
  <c r="N98" i="153" s="1"/>
  <c r="C96" i="153"/>
  <c r="C98" i="153" s="1"/>
  <c r="K96" i="153"/>
  <c r="K98" i="153" s="1"/>
  <c r="D98" i="153"/>
  <c r="E98" i="153"/>
  <c r="F98" i="153"/>
  <c r="G98" i="153"/>
  <c r="H98" i="153"/>
  <c r="I98" i="153"/>
  <c r="J98" i="153"/>
  <c r="L98" i="153"/>
  <c r="C100" i="153"/>
  <c r="D100" i="153"/>
  <c r="E100" i="153"/>
  <c r="G100" i="153"/>
  <c r="H100" i="153"/>
  <c r="J100" i="153"/>
  <c r="K100" i="153"/>
  <c r="M100" i="153"/>
  <c r="N100" i="153"/>
  <c r="C107" i="153"/>
  <c r="D107" i="153"/>
  <c r="E107" i="153"/>
  <c r="F107" i="153"/>
  <c r="G107" i="153"/>
  <c r="H107" i="153"/>
  <c r="I107" i="153"/>
  <c r="J107" i="153"/>
  <c r="K107" i="153"/>
  <c r="L107" i="153"/>
  <c r="M107" i="153"/>
  <c r="N107" i="153"/>
  <c r="N116" i="153"/>
  <c r="N118" i="153"/>
  <c r="N119" i="153"/>
  <c r="C120" i="153"/>
  <c r="D120" i="153"/>
  <c r="D124" i="153" s="1"/>
  <c r="E120" i="153"/>
  <c r="E124" i="153" s="1"/>
  <c r="F120" i="153"/>
  <c r="F124" i="153" s="1"/>
  <c r="G120" i="153"/>
  <c r="G124" i="153" s="1"/>
  <c r="H120" i="153"/>
  <c r="H124" i="153" s="1"/>
  <c r="I120" i="153"/>
  <c r="I124" i="153" s="1"/>
  <c r="J120" i="153"/>
  <c r="J124" i="153" s="1"/>
  <c r="K120" i="153"/>
  <c r="K124" i="153" s="1"/>
  <c r="L120" i="153"/>
  <c r="L124" i="153" s="1"/>
  <c r="M120" i="153"/>
  <c r="M124" i="153" s="1"/>
  <c r="N121" i="153"/>
  <c r="N122" i="153"/>
  <c r="E125" i="153"/>
  <c r="H125" i="153"/>
  <c r="K125" i="153"/>
  <c r="M125" i="153"/>
  <c r="N125" i="153"/>
  <c r="C126" i="153"/>
  <c r="E126" i="153"/>
  <c r="F126" i="153"/>
  <c r="K126" i="153"/>
  <c r="L126" i="153"/>
  <c r="M126" i="153"/>
  <c r="N126" i="153"/>
  <c r="N127" i="153"/>
  <c r="F129" i="153"/>
  <c r="L129" i="153"/>
  <c r="N129" i="153"/>
  <c r="N131" i="153"/>
  <c r="E132" i="153"/>
  <c r="F132" i="153"/>
  <c r="H132" i="153"/>
  <c r="J132" i="153"/>
  <c r="L132" i="153"/>
  <c r="M132" i="153"/>
  <c r="N132" i="153"/>
  <c r="C134" i="153"/>
  <c r="D134" i="153"/>
  <c r="E134" i="153"/>
  <c r="F134" i="153"/>
  <c r="G134" i="153"/>
  <c r="H134" i="153"/>
  <c r="I134" i="153"/>
  <c r="J134" i="153"/>
  <c r="K134" i="153"/>
  <c r="L134" i="153"/>
  <c r="M134" i="153"/>
  <c r="N134" i="153"/>
  <c r="C135" i="153"/>
  <c r="D135" i="153"/>
  <c r="E135" i="153"/>
  <c r="F135" i="153"/>
  <c r="G135" i="153"/>
  <c r="H135" i="153"/>
  <c r="I135" i="153"/>
  <c r="J135" i="153"/>
  <c r="K135" i="153"/>
  <c r="L135" i="153"/>
  <c r="M135" i="153"/>
  <c r="N135" i="153"/>
  <c r="C136" i="153"/>
  <c r="D136" i="153"/>
  <c r="E136" i="153"/>
  <c r="F136" i="153"/>
  <c r="G136" i="153"/>
  <c r="H136" i="153"/>
  <c r="I136" i="153"/>
  <c r="J136" i="153"/>
  <c r="K136" i="153"/>
  <c r="L136" i="153"/>
  <c r="M136" i="153"/>
  <c r="N136" i="153"/>
  <c r="C138" i="153"/>
  <c r="D138" i="153"/>
  <c r="E138" i="153"/>
  <c r="F138" i="153"/>
  <c r="G138" i="153"/>
  <c r="H138" i="153"/>
  <c r="I138" i="153"/>
  <c r="J138" i="153"/>
  <c r="K138" i="153"/>
  <c r="L138" i="153"/>
  <c r="M138" i="153"/>
  <c r="N138" i="153"/>
  <c r="D142" i="153"/>
  <c r="F142" i="153"/>
  <c r="N142" i="153"/>
  <c r="C143" i="153"/>
  <c r="E143" i="153"/>
  <c r="F143" i="153"/>
  <c r="G143" i="153"/>
  <c r="H143" i="153"/>
  <c r="I143" i="153"/>
  <c r="J143" i="153"/>
  <c r="K143" i="153"/>
  <c r="L143" i="153"/>
  <c r="M143" i="153"/>
  <c r="N143" i="153"/>
  <c r="N150" i="153"/>
  <c r="N152" i="153"/>
  <c r="N153" i="153"/>
  <c r="C154" i="153"/>
  <c r="D154" i="153"/>
  <c r="E154" i="153"/>
  <c r="F154" i="153"/>
  <c r="G154" i="153"/>
  <c r="H154" i="153"/>
  <c r="I154" i="153"/>
  <c r="J154" i="153"/>
  <c r="K154" i="153"/>
  <c r="L154" i="153"/>
  <c r="M154" i="153"/>
  <c r="N155" i="153"/>
  <c r="N156" i="153"/>
  <c r="C157" i="153"/>
  <c r="D157" i="153"/>
  <c r="E157" i="153"/>
  <c r="F157" i="153"/>
  <c r="G157" i="153"/>
  <c r="H157" i="153"/>
  <c r="I157" i="153"/>
  <c r="J157" i="153"/>
  <c r="K157" i="153"/>
  <c r="L157" i="153"/>
  <c r="M157" i="153"/>
  <c r="N157" i="153"/>
  <c r="E164" i="153"/>
  <c r="N164" i="153"/>
  <c r="N167" i="153" s="1"/>
  <c r="C165" i="153"/>
  <c r="D165" i="153"/>
  <c r="D167" i="153" s="1"/>
  <c r="H165" i="153"/>
  <c r="H167" i="153" s="1"/>
  <c r="I165" i="153"/>
  <c r="I167" i="153" s="1"/>
  <c r="F167" i="153"/>
  <c r="G167" i="153"/>
  <c r="J167" i="153"/>
  <c r="K167" i="153"/>
  <c r="L167" i="153"/>
  <c r="M167" i="153"/>
  <c r="C173" i="153"/>
  <c r="D173" i="153"/>
  <c r="E173" i="153"/>
  <c r="F173" i="153"/>
  <c r="G173" i="153"/>
  <c r="H173" i="153"/>
  <c r="I173" i="153"/>
  <c r="J173" i="153"/>
  <c r="K173" i="153"/>
  <c r="L173" i="153"/>
  <c r="M173" i="153"/>
  <c r="N173" i="153"/>
  <c r="F174" i="153"/>
  <c r="H174" i="153"/>
  <c r="K174" i="153"/>
  <c r="M174" i="153"/>
  <c r="N174" i="153"/>
  <c r="I175" i="153"/>
  <c r="M175" i="153"/>
  <c r="N175" i="153"/>
  <c r="C177" i="153"/>
  <c r="G177" i="153"/>
  <c r="J177" i="153"/>
  <c r="N178" i="153"/>
  <c r="C179" i="153"/>
  <c r="D179" i="153"/>
  <c r="D180" i="153" s="1"/>
  <c r="E179" i="153"/>
  <c r="E180" i="153" s="1"/>
  <c r="F179" i="153"/>
  <c r="F180" i="153" s="1"/>
  <c r="G179" i="153"/>
  <c r="H179" i="153"/>
  <c r="H180" i="153" s="1"/>
  <c r="I179" i="153"/>
  <c r="J179" i="153"/>
  <c r="K179" i="153"/>
  <c r="K180" i="153" s="1"/>
  <c r="L179" i="153"/>
  <c r="L180" i="153" s="1"/>
  <c r="M179" i="153"/>
  <c r="N179" i="153"/>
  <c r="J181" i="153"/>
  <c r="D183" i="153"/>
  <c r="F183" i="153"/>
  <c r="G183" i="153"/>
  <c r="H183" i="153"/>
  <c r="I183" i="153"/>
  <c r="J183" i="153"/>
  <c r="K183" i="153"/>
  <c r="M183" i="153"/>
  <c r="N183" i="153"/>
  <c r="D184" i="153"/>
  <c r="K184" i="153"/>
  <c r="M184" i="153"/>
  <c r="H185" i="153"/>
  <c r="C186" i="153"/>
  <c r="C187" i="153" s="1"/>
  <c r="D186" i="153"/>
  <c r="E186" i="153"/>
  <c r="E187" i="153" s="1"/>
  <c r="F186" i="153"/>
  <c r="F187" i="153" s="1"/>
  <c r="G186" i="153"/>
  <c r="H186" i="153"/>
  <c r="I186" i="153"/>
  <c r="I187" i="153" s="1"/>
  <c r="J186" i="153"/>
  <c r="J187" i="153" s="1"/>
  <c r="K186" i="153"/>
  <c r="K187" i="153" s="1"/>
  <c r="L186" i="153"/>
  <c r="L187" i="153" s="1"/>
  <c r="M186" i="153"/>
  <c r="M187" i="153" s="1"/>
  <c r="N186" i="153"/>
  <c r="N187" i="153" s="1"/>
  <c r="G187" i="153"/>
  <c r="E188" i="153"/>
  <c r="N188" i="153"/>
  <c r="D190" i="153"/>
  <c r="G190" i="153"/>
  <c r="H190" i="153"/>
  <c r="M190" i="153"/>
  <c r="C192" i="153"/>
  <c r="C195" i="153" s="1"/>
  <c r="D192" i="153"/>
  <c r="E192" i="153"/>
  <c r="E195" i="153" s="1"/>
  <c r="F192" i="153"/>
  <c r="F195" i="153" s="1"/>
  <c r="G192" i="153"/>
  <c r="H192" i="153"/>
  <c r="J192" i="153"/>
  <c r="J195" i="153" s="1"/>
  <c r="L192" i="153"/>
  <c r="L195" i="153" s="1"/>
  <c r="M192" i="153"/>
  <c r="N192" i="153"/>
  <c r="N195" i="153" s="1"/>
  <c r="K194" i="153"/>
  <c r="K195" i="153" s="1"/>
  <c r="I195" i="153"/>
  <c r="G198" i="153"/>
  <c r="I199" i="153"/>
  <c r="J199" i="153"/>
  <c r="M199" i="153"/>
  <c r="N199" i="153"/>
  <c r="C200" i="153"/>
  <c r="C202" i="153" s="1"/>
  <c r="E200" i="153"/>
  <c r="E202" i="153" s="1"/>
  <c r="F200" i="153"/>
  <c r="F202" i="153" s="1"/>
  <c r="G200" i="153"/>
  <c r="I200" i="153"/>
  <c r="J200" i="153"/>
  <c r="K200" i="153"/>
  <c r="K202" i="153" s="1"/>
  <c r="L200" i="153"/>
  <c r="L202" i="153" s="1"/>
  <c r="M200" i="153"/>
  <c r="N200" i="153"/>
  <c r="D202" i="153"/>
  <c r="H202" i="153"/>
  <c r="C203" i="153"/>
  <c r="D203" i="153"/>
  <c r="E203" i="153"/>
  <c r="F203" i="153"/>
  <c r="G203" i="153"/>
  <c r="H203" i="153"/>
  <c r="I203" i="153"/>
  <c r="J203" i="153"/>
  <c r="K203" i="153"/>
  <c r="L203" i="153"/>
  <c r="M203" i="153"/>
  <c r="N203" i="153"/>
  <c r="C204" i="153"/>
  <c r="E204" i="153"/>
  <c r="F204" i="153"/>
  <c r="G204" i="153"/>
  <c r="H204" i="153"/>
  <c r="J204" i="153"/>
  <c r="K204" i="153"/>
  <c r="L204" i="153"/>
  <c r="N204" i="153"/>
  <c r="D205" i="153"/>
  <c r="H205" i="153"/>
  <c r="I205" i="153"/>
  <c r="J205" i="153"/>
  <c r="L205" i="153"/>
  <c r="M205" i="153"/>
  <c r="N205" i="153"/>
  <c r="D206" i="153"/>
  <c r="J206" i="153"/>
  <c r="E207" i="153"/>
  <c r="F207" i="153"/>
  <c r="F209" i="153" s="1"/>
  <c r="G207" i="153"/>
  <c r="G209" i="153" s="1"/>
  <c r="H207" i="153"/>
  <c r="I207" i="153"/>
  <c r="I209" i="153" s="1"/>
  <c r="J207" i="153"/>
  <c r="K207" i="153"/>
  <c r="K209" i="153" s="1"/>
  <c r="L207" i="153"/>
  <c r="L209" i="153" s="1"/>
  <c r="M207" i="153"/>
  <c r="M209" i="153" s="1"/>
  <c r="N207" i="153"/>
  <c r="N209" i="153" s="1"/>
  <c r="C209" i="153"/>
  <c r="D209" i="153"/>
  <c r="H209" i="153"/>
  <c r="J209" i="153"/>
  <c r="E210" i="153"/>
  <c r="G210" i="153"/>
  <c r="N210" i="153"/>
  <c r="C212" i="153"/>
  <c r="D212" i="153"/>
  <c r="E212" i="153"/>
  <c r="F212" i="153"/>
  <c r="G212" i="153"/>
  <c r="H212" i="153"/>
  <c r="I212" i="153"/>
  <c r="J212" i="153"/>
  <c r="K212" i="153"/>
  <c r="L212" i="153"/>
  <c r="M212" i="153"/>
  <c r="N212" i="153"/>
  <c r="C213" i="153"/>
  <c r="D213" i="153"/>
  <c r="E213" i="153"/>
  <c r="F213" i="153"/>
  <c r="G213" i="153"/>
  <c r="H213" i="153"/>
  <c r="H214" i="153" s="1"/>
  <c r="I213" i="153"/>
  <c r="J213" i="153"/>
  <c r="K213" i="153"/>
  <c r="L213" i="153"/>
  <c r="M213" i="153"/>
  <c r="N213" i="153"/>
  <c r="N217" i="153"/>
  <c r="N218" i="153"/>
  <c r="N219" i="153"/>
  <c r="I223" i="153"/>
  <c r="I225" i="153" s="1"/>
  <c r="J223" i="153"/>
  <c r="J225" i="153" s="1"/>
  <c r="K223" i="153"/>
  <c r="K225" i="153" s="1"/>
  <c r="L223" i="153"/>
  <c r="L225" i="153" s="1"/>
  <c r="M223" i="153"/>
  <c r="M225" i="153" s="1"/>
  <c r="N223" i="153"/>
  <c r="N225" i="153" s="1"/>
  <c r="C224" i="153"/>
  <c r="D224" i="153"/>
  <c r="D225" i="153" s="1"/>
  <c r="E224" i="153"/>
  <c r="E225" i="153" s="1"/>
  <c r="F224" i="153"/>
  <c r="F225" i="153" s="1"/>
  <c r="G225" i="153"/>
  <c r="H225" i="153"/>
  <c r="E227" i="153"/>
  <c r="E230" i="153" s="1"/>
  <c r="F227" i="153"/>
  <c r="F230" i="153" s="1"/>
  <c r="H227" i="153"/>
  <c r="H230" i="153" s="1"/>
  <c r="J227" i="153"/>
  <c r="J230" i="153" s="1"/>
  <c r="K227" i="153"/>
  <c r="K230" i="153" s="1"/>
  <c r="C230" i="153"/>
  <c r="D230" i="153"/>
  <c r="G230" i="153"/>
  <c r="I230" i="153"/>
  <c r="L230" i="153"/>
  <c r="M230" i="153"/>
  <c r="N230" i="153"/>
  <c r="A231" i="153"/>
  <c r="I10" i="153" l="1"/>
  <c r="I11" i="153" s="1"/>
  <c r="F214" i="153"/>
  <c r="N231" i="153"/>
  <c r="J214" i="153"/>
  <c r="I214" i="153"/>
  <c r="D10" i="153"/>
  <c r="D11" i="153" s="1"/>
  <c r="K137" i="153"/>
  <c r="J137" i="153"/>
  <c r="G63" i="153"/>
  <c r="D48" i="153"/>
  <c r="I48" i="153"/>
  <c r="I53" i="153" s="1"/>
  <c r="I70" i="153" s="1"/>
  <c r="M35" i="153"/>
  <c r="M36" i="153" s="1"/>
  <c r="E35" i="153"/>
  <c r="E36" i="153" s="1"/>
  <c r="N10" i="153"/>
  <c r="N11" i="153" s="1"/>
  <c r="F10" i="153"/>
  <c r="F11" i="153" s="1"/>
  <c r="M202" i="153"/>
  <c r="L48" i="153"/>
  <c r="H195" i="153"/>
  <c r="L63" i="153"/>
  <c r="J10" i="153"/>
  <c r="J11" i="153" s="1"/>
  <c r="C220" i="159"/>
  <c r="L145" i="159"/>
  <c r="L220" i="159" s="1"/>
  <c r="L221" i="159" s="1"/>
  <c r="L232" i="159" s="1"/>
  <c r="D145" i="159"/>
  <c r="D220" i="159" s="1"/>
  <c r="I216" i="159"/>
  <c r="I220" i="159" s="1"/>
  <c r="F220" i="159"/>
  <c r="F221" i="159" s="1"/>
  <c r="F232" i="159" s="1"/>
  <c r="M112" i="159"/>
  <c r="M220" i="159" s="1"/>
  <c r="M221" i="159" s="1"/>
  <c r="M232" i="159" s="1"/>
  <c r="M145" i="159"/>
  <c r="K216" i="159"/>
  <c r="K220" i="159" s="1"/>
  <c r="E221" i="159"/>
  <c r="E232" i="159" s="1"/>
  <c r="L37" i="159"/>
  <c r="I37" i="159"/>
  <c r="I221" i="159" s="1"/>
  <c r="I232" i="159" s="1"/>
  <c r="H216" i="159"/>
  <c r="G70" i="159"/>
  <c r="H145" i="159"/>
  <c r="G112" i="159"/>
  <c r="D145" i="160"/>
  <c r="J35" i="160"/>
  <c r="J36" i="160" s="1"/>
  <c r="J37" i="160" s="1"/>
  <c r="G216" i="160"/>
  <c r="J112" i="160"/>
  <c r="G35" i="160"/>
  <c r="G36" i="160" s="1"/>
  <c r="G37" i="160" s="1"/>
  <c r="F112" i="160"/>
  <c r="K112" i="160"/>
  <c r="G145" i="160"/>
  <c r="H35" i="160"/>
  <c r="H36" i="160" s="1"/>
  <c r="H37" i="160" s="1"/>
  <c r="L216" i="160"/>
  <c r="J216" i="160"/>
  <c r="K216" i="160"/>
  <c r="D37" i="160"/>
  <c r="M216" i="160"/>
  <c r="N35" i="160"/>
  <c r="N36" i="160" s="1"/>
  <c r="N37" i="160" s="1"/>
  <c r="D216" i="160"/>
  <c r="I37" i="160"/>
  <c r="L70" i="160"/>
  <c r="F216" i="160"/>
  <c r="C35" i="160"/>
  <c r="C36" i="160" s="1"/>
  <c r="C37" i="160" s="1"/>
  <c r="N70" i="160"/>
  <c r="F70" i="160"/>
  <c r="F220" i="160" s="1"/>
  <c r="F221" i="160" s="1"/>
  <c r="F232" i="160" s="1"/>
  <c r="K37" i="160"/>
  <c r="C216" i="160"/>
  <c r="M112" i="160"/>
  <c r="E216" i="160"/>
  <c r="E35" i="160"/>
  <c r="E36" i="160" s="1"/>
  <c r="E37" i="160" s="1"/>
  <c r="I112" i="160"/>
  <c r="I216" i="160"/>
  <c r="D112" i="160"/>
  <c r="D220" i="160" s="1"/>
  <c r="D221" i="160" s="1"/>
  <c r="D232" i="160" s="1"/>
  <c r="C112" i="160"/>
  <c r="E70" i="160"/>
  <c r="G112" i="160"/>
  <c r="I145" i="160"/>
  <c r="N216" i="160"/>
  <c r="N220" i="160" s="1"/>
  <c r="H216" i="160"/>
  <c r="L112" i="160"/>
  <c r="L220" i="160" s="1"/>
  <c r="L221" i="160" s="1"/>
  <c r="L232" i="160" s="1"/>
  <c r="H70" i="160"/>
  <c r="J221" i="160"/>
  <c r="J232" i="160" s="1"/>
  <c r="E112" i="160"/>
  <c r="H112" i="160"/>
  <c r="J220" i="160"/>
  <c r="D145" i="161"/>
  <c r="D220" i="161" s="1"/>
  <c r="D221" i="161" s="1"/>
  <c r="D232" i="161" s="1"/>
  <c r="D37" i="161"/>
  <c r="C220" i="161"/>
  <c r="C221" i="161" s="1"/>
  <c r="C232" i="161" s="1"/>
  <c r="E220" i="161"/>
  <c r="E221" i="161" s="1"/>
  <c r="E232" i="161" s="1"/>
  <c r="I220" i="160"/>
  <c r="I221" i="160" s="1"/>
  <c r="I232" i="160" s="1"/>
  <c r="H145" i="160"/>
  <c r="N220" i="159"/>
  <c r="N221" i="159" s="1"/>
  <c r="G220" i="159"/>
  <c r="G221" i="159" s="1"/>
  <c r="G232" i="159" s="1"/>
  <c r="C37" i="159"/>
  <c r="D37" i="159"/>
  <c r="N231" i="159"/>
  <c r="K37" i="159"/>
  <c r="J216" i="159"/>
  <c r="J220" i="159" s="1"/>
  <c r="J221" i="159" s="1"/>
  <c r="J232" i="159" s="1"/>
  <c r="K231" i="153"/>
  <c r="M10" i="153"/>
  <c r="M11" i="153" s="1"/>
  <c r="M37" i="153" s="1"/>
  <c r="E10" i="153"/>
  <c r="E11" i="153" s="1"/>
  <c r="E37" i="153" s="1"/>
  <c r="D195" i="153"/>
  <c r="J35" i="153"/>
  <c r="J36" i="153" s="1"/>
  <c r="K10" i="153"/>
  <c r="K11" i="153" s="1"/>
  <c r="F161" i="153"/>
  <c r="I137" i="153"/>
  <c r="I161" i="153"/>
  <c r="I87" i="153"/>
  <c r="I112" i="153" s="1"/>
  <c r="E63" i="153"/>
  <c r="C161" i="153"/>
  <c r="K161" i="153"/>
  <c r="H161" i="153"/>
  <c r="D35" i="153"/>
  <c r="D36" i="153" s="1"/>
  <c r="H10" i="153"/>
  <c r="H11" i="153" s="1"/>
  <c r="G214" i="153"/>
  <c r="L137" i="153"/>
  <c r="L145" i="153" s="1"/>
  <c r="D137" i="153"/>
  <c r="F87" i="153"/>
  <c r="H48" i="153"/>
  <c r="C137" i="153"/>
  <c r="K87" i="153"/>
  <c r="K112" i="153" s="1"/>
  <c r="I35" i="153"/>
  <c r="I36" i="153" s="1"/>
  <c r="I37" i="153" s="1"/>
  <c r="J37" i="153"/>
  <c r="F37" i="153"/>
  <c r="L231" i="153"/>
  <c r="H231" i="153"/>
  <c r="D231" i="153"/>
  <c r="I202" i="153"/>
  <c r="G161" i="153"/>
  <c r="N120" i="153"/>
  <c r="N124" i="153" s="1"/>
  <c r="K48" i="153"/>
  <c r="K53" i="153" s="1"/>
  <c r="K70" i="153" s="1"/>
  <c r="I231" i="153"/>
  <c r="E231" i="153"/>
  <c r="M195" i="153"/>
  <c r="F231" i="153"/>
  <c r="N214" i="153"/>
  <c r="M161" i="153"/>
  <c r="E161" i="153"/>
  <c r="L87" i="153"/>
  <c r="L112" i="153" s="1"/>
  <c r="L214" i="153"/>
  <c r="D214" i="153"/>
  <c r="G195" i="153"/>
  <c r="I180" i="153"/>
  <c r="G137" i="153"/>
  <c r="G145" i="153" s="1"/>
  <c r="J87" i="153"/>
  <c r="J112" i="153" s="1"/>
  <c r="D112" i="153"/>
  <c r="C53" i="153"/>
  <c r="C70" i="153" s="1"/>
  <c r="J231" i="153"/>
  <c r="N202" i="153"/>
  <c r="M63" i="153"/>
  <c r="E209" i="153"/>
  <c r="L161" i="153"/>
  <c r="L216" i="153" s="1"/>
  <c r="M214" i="153"/>
  <c r="E214" i="153"/>
  <c r="J180" i="153"/>
  <c r="D63" i="153"/>
  <c r="G231" i="153"/>
  <c r="C225" i="153"/>
  <c r="K214" i="153"/>
  <c r="D161" i="153"/>
  <c r="M231" i="153"/>
  <c r="H137" i="153"/>
  <c r="H145" i="153" s="1"/>
  <c r="F48" i="153"/>
  <c r="F53" i="153" s="1"/>
  <c r="F70" i="153" s="1"/>
  <c r="H187" i="153"/>
  <c r="H87" i="153"/>
  <c r="H112" i="153" s="1"/>
  <c r="N27" i="153"/>
  <c r="N35" i="153" s="1"/>
  <c r="N36" i="153" s="1"/>
  <c r="F216" i="153"/>
  <c r="N137" i="153"/>
  <c r="N145" i="153" s="1"/>
  <c r="F137" i="153"/>
  <c r="F145" i="153" s="1"/>
  <c r="K145" i="153"/>
  <c r="M137" i="153"/>
  <c r="M145" i="153" s="1"/>
  <c r="E137" i="153"/>
  <c r="E145" i="153" s="1"/>
  <c r="G53" i="153"/>
  <c r="I145" i="153"/>
  <c r="J63" i="153"/>
  <c r="J145" i="153"/>
  <c r="G70" i="153"/>
  <c r="J48" i="153"/>
  <c r="J53" i="153" s="1"/>
  <c r="L35" i="153"/>
  <c r="L36" i="153" s="1"/>
  <c r="N63" i="153"/>
  <c r="F63" i="153"/>
  <c r="J161" i="153"/>
  <c r="C10" i="153"/>
  <c r="L10" i="153"/>
  <c r="L11" i="153" s="1"/>
  <c r="C214" i="153"/>
  <c r="G202" i="153"/>
  <c r="D187" i="153"/>
  <c r="M180" i="153"/>
  <c r="D145" i="153"/>
  <c r="J202" i="153"/>
  <c r="C231" i="153"/>
  <c r="K216" i="153"/>
  <c r="N180" i="153"/>
  <c r="C167" i="153"/>
  <c r="C124" i="153"/>
  <c r="F112" i="153"/>
  <c r="E112" i="153"/>
  <c r="M112" i="153"/>
  <c r="G180" i="153"/>
  <c r="C180" i="153"/>
  <c r="E167" i="153"/>
  <c r="N154" i="153"/>
  <c r="G87" i="153"/>
  <c r="G112" i="153" s="1"/>
  <c r="N112" i="153"/>
  <c r="C63" i="153"/>
  <c r="H53" i="153"/>
  <c r="H70" i="153" s="1"/>
  <c r="E48" i="153"/>
  <c r="E53" i="153" s="1"/>
  <c r="M48" i="153"/>
  <c r="M53" i="153" s="1"/>
  <c r="N48" i="153"/>
  <c r="N53" i="153" s="1"/>
  <c r="H35" i="153"/>
  <c r="H36" i="153" s="1"/>
  <c r="C82" i="153"/>
  <c r="L53" i="153"/>
  <c r="L70" i="153" s="1"/>
  <c r="D53" i="153"/>
  <c r="K35" i="153"/>
  <c r="K36" i="153" s="1"/>
  <c r="G35" i="153"/>
  <c r="G36" i="153" s="1"/>
  <c r="C35" i="153"/>
  <c r="H216" i="153" l="1"/>
  <c r="I216" i="153"/>
  <c r="D37" i="153"/>
  <c r="J70" i="153"/>
  <c r="M70" i="153"/>
  <c r="E70" i="153"/>
  <c r="E216" i="153"/>
  <c r="M216" i="153"/>
  <c r="M220" i="153" s="1"/>
  <c r="M221" i="153" s="1"/>
  <c r="M232" i="153" s="1"/>
  <c r="K221" i="159"/>
  <c r="K232" i="159" s="1"/>
  <c r="D221" i="159"/>
  <c r="D232" i="159" s="1"/>
  <c r="C221" i="159"/>
  <c r="C232" i="159" s="1"/>
  <c r="H220" i="159"/>
  <c r="H221" i="159" s="1"/>
  <c r="H232" i="159" s="1"/>
  <c r="N232" i="159"/>
  <c r="N221" i="160"/>
  <c r="N232" i="160" s="1"/>
  <c r="K220" i="160"/>
  <c r="K221" i="160" s="1"/>
  <c r="K232" i="160" s="1"/>
  <c r="G220" i="160"/>
  <c r="M220" i="160"/>
  <c r="M221" i="160" s="1"/>
  <c r="M232" i="160" s="1"/>
  <c r="C220" i="160"/>
  <c r="C221" i="160" s="1"/>
  <c r="C232" i="160" s="1"/>
  <c r="G221" i="160"/>
  <c r="G232" i="160" s="1"/>
  <c r="E220" i="160"/>
  <c r="E221" i="160" s="1"/>
  <c r="E232" i="160" s="1"/>
  <c r="H220" i="160"/>
  <c r="H221" i="160" s="1"/>
  <c r="H232" i="160" s="1"/>
  <c r="N70" i="153"/>
  <c r="L37" i="153"/>
  <c r="G216" i="153"/>
  <c r="G220" i="153" s="1"/>
  <c r="N37" i="153"/>
  <c r="K37" i="153"/>
  <c r="C11" i="153"/>
  <c r="D70" i="153"/>
  <c r="G37" i="153"/>
  <c r="K220" i="153"/>
  <c r="N161" i="153"/>
  <c r="I220" i="153"/>
  <c r="I221" i="153" s="1"/>
  <c r="I232" i="153" s="1"/>
  <c r="C216" i="153"/>
  <c r="J216" i="153"/>
  <c r="C112" i="153"/>
  <c r="H220" i="153"/>
  <c r="C145" i="153"/>
  <c r="D216" i="153"/>
  <c r="C36" i="153"/>
  <c r="L220" i="153"/>
  <c r="L221" i="153" s="1"/>
  <c r="L232" i="153" s="1"/>
  <c r="H37" i="153"/>
  <c r="H221" i="153" s="1"/>
  <c r="H232" i="153" s="1"/>
  <c r="F220" i="153"/>
  <c r="F221" i="153" s="1"/>
  <c r="F232" i="153" s="1"/>
  <c r="E220" i="153" l="1"/>
  <c r="E221" i="153" s="1"/>
  <c r="E232" i="153" s="1"/>
  <c r="K221" i="153"/>
  <c r="K232" i="153" s="1"/>
  <c r="D220" i="153"/>
  <c r="D221" i="153" s="1"/>
  <c r="D232" i="153" s="1"/>
  <c r="J220" i="153"/>
  <c r="J221" i="153" s="1"/>
  <c r="J232" i="153" s="1"/>
  <c r="N216" i="153"/>
  <c r="C220" i="153"/>
  <c r="G221" i="153"/>
  <c r="G232" i="153" s="1"/>
  <c r="C37" i="153"/>
  <c r="C221" i="153" l="1"/>
  <c r="N220" i="153"/>
  <c r="N221" i="153" l="1"/>
  <c r="N232" i="153" s="1"/>
  <c r="C232" i="153"/>
</calcChain>
</file>

<file path=xl/sharedStrings.xml><?xml version="1.0" encoding="utf-8"?>
<sst xmlns="http://schemas.openxmlformats.org/spreadsheetml/2006/main" count="1275" uniqueCount="398">
  <si>
    <t>x</t>
  </si>
  <si>
    <t>Customer</t>
  </si>
  <si>
    <t>Expenses</t>
  </si>
  <si>
    <t>Gross Profit</t>
  </si>
  <si>
    <t>G&amp;A</t>
  </si>
  <si>
    <t>Net Income</t>
  </si>
  <si>
    <t>R&amp;D</t>
  </si>
  <si>
    <t>COGS</t>
  </si>
  <si>
    <t>S&amp;M</t>
  </si>
  <si>
    <t>Net Operating Income</t>
  </si>
  <si>
    <t>Total Expenses</t>
  </si>
  <si>
    <t>Total Cost of Goods Sold</t>
  </si>
  <si>
    <t>Cost of Goods Sold</t>
  </si>
  <si>
    <t>Total Income</t>
  </si>
  <si>
    <t>Income</t>
  </si>
  <si>
    <t>Non-Recurring Revenue</t>
  </si>
  <si>
    <t>Recurring Revenue</t>
  </si>
  <si>
    <t>D&amp;A</t>
  </si>
  <si>
    <t>Cash</t>
  </si>
  <si>
    <t>Other Current Assets</t>
  </si>
  <si>
    <t>Total Current Assets</t>
  </si>
  <si>
    <t>Other Current Liabilities</t>
  </si>
  <si>
    <t>Total Current Liabilities</t>
  </si>
  <si>
    <t>Total Equity</t>
  </si>
  <si>
    <t>AR</t>
  </si>
  <si>
    <t>AP</t>
  </si>
  <si>
    <t>Fixed Assets</t>
  </si>
  <si>
    <t>Other Non-Current Assets</t>
  </si>
  <si>
    <t xml:space="preserve">   11-4006 Sales</t>
  </si>
  <si>
    <t xml:space="preserve">      11-4007 Maintenance Fees</t>
  </si>
  <si>
    <t xml:space="preserve">      11-4008 Product License</t>
  </si>
  <si>
    <t xml:space="preserve">      11-4009 Professional Services</t>
  </si>
  <si>
    <t xml:space="preserve">      11-4010 SaaS Product Income</t>
  </si>
  <si>
    <t xml:space="preserve">      11-4011 Training</t>
  </si>
  <si>
    <t xml:space="preserve">      11-4018 Customer Overage</t>
  </si>
  <si>
    <t xml:space="preserve">   Total 11-4006 Sales</t>
  </si>
  <si>
    <t xml:space="preserve">   11-5000 Cost of Goods Sold</t>
  </si>
  <si>
    <t xml:space="preserve">      11-5001 Cost of Cloud Services</t>
  </si>
  <si>
    <t xml:space="preserve">      11-5101 Cost of Support &amp; Maint Tools</t>
  </si>
  <si>
    <t xml:space="preserve">      11-5200 Customer Experience</t>
  </si>
  <si>
    <t xml:space="preserve">         11-7205 Promotional Materials (Swag)</t>
  </si>
  <si>
    <t xml:space="preserve">      Total 11-5200 Customer Experience</t>
  </si>
  <si>
    <t xml:space="preserve">      11-6000 Cost of Support &amp; Maint Payroll</t>
  </si>
  <si>
    <t xml:space="preserve">         11-6101 Support and Maint Salaries - Gross</t>
  </si>
  <si>
    <t xml:space="preserve">         11-6102 Support and Maint Bonus - Gross</t>
  </si>
  <si>
    <t xml:space="preserve">         11-6103 Support and Maint Stock Compensation</t>
  </si>
  <si>
    <t xml:space="preserve">         11-6106 Support and Maint Unused PTO</t>
  </si>
  <si>
    <t xml:space="preserve">         11-6301 Support and Maint Employer Taxes</t>
  </si>
  <si>
    <t xml:space="preserve">         11-6401 Support and Maint Group Health</t>
  </si>
  <si>
    <t xml:space="preserve">         11-6601 Support and Maint Short Term Disability</t>
  </si>
  <si>
    <t xml:space="preserve">      Total 11-6000 Cost of Support &amp; Maint Payroll</t>
  </si>
  <si>
    <t xml:space="preserve">      11-6201 Contract Labor</t>
  </si>
  <si>
    <t xml:space="preserve">      11-7500 Cost of Support &amp; Maint Travel</t>
  </si>
  <si>
    <t xml:space="preserve">         11-7601 All Transportation (CS)</t>
  </si>
  <si>
    <t xml:space="preserve">         11-7701 Lodging (CS)</t>
  </si>
  <si>
    <t xml:space="preserve">         11-7801 Travel Meals (CS)</t>
  </si>
  <si>
    <t xml:space="preserve">      Total 11-7500 Cost of Support &amp; Maint Travel</t>
  </si>
  <si>
    <t xml:space="preserve">      11-8014 Recruiter/Placement Fees</t>
  </si>
  <si>
    <t xml:space="preserve">   Total 11-5000 Cost of Goods Sold</t>
  </si>
  <si>
    <t xml:space="preserve">   12-8500 Research and Development Expenses</t>
  </si>
  <si>
    <t xml:space="preserve">      12-6000 R&amp;D Payroll</t>
  </si>
  <si>
    <t xml:space="preserve">         12-6100 R&amp;D Salaries</t>
  </si>
  <si>
    <t xml:space="preserve">            12-6101 R&amp;D Salaries Gross</t>
  </si>
  <si>
    <t xml:space="preserve">            12-6102 R&amp;D Bonus Gross</t>
  </si>
  <si>
    <t xml:space="preserve">            12-6103 R&amp;D Stock Compensation</t>
  </si>
  <si>
    <t xml:space="preserve">            12-6106 R&amp;D Unused PTO</t>
  </si>
  <si>
    <t xml:space="preserve">            12-6402 R&amp;D Payroll HSA Contributions</t>
  </si>
  <si>
    <t xml:space="preserve">            12-6501 R&amp;D Payroll 401k Contributions</t>
  </si>
  <si>
    <t xml:space="preserve">         Total 12-6100 R&amp;D Salaries</t>
  </si>
  <si>
    <t xml:space="preserve">         12-6301 R&amp;D Payroll Employer Taxes</t>
  </si>
  <si>
    <t xml:space="preserve">         12-6401 R&amp;D Payroll Group Health</t>
  </si>
  <si>
    <t xml:space="preserve">         12-6601 R&amp;D Payroll Short Term Disability</t>
  </si>
  <si>
    <t xml:space="preserve">         12-6700 R&amp;D Payroll Offset (Capitalized Software)</t>
  </si>
  <si>
    <t xml:space="preserve">      Total 12-6000 R&amp;D Payroll</t>
  </si>
  <si>
    <t xml:space="preserve">      12-6201 Contract Labor - R&amp;D</t>
  </si>
  <si>
    <t xml:space="preserve">      12-7500 R&amp;D Travel</t>
  </si>
  <si>
    <t xml:space="preserve">         12-7601 All Transportation (R&amp;D)</t>
  </si>
  <si>
    <t xml:space="preserve">         12-7701 Lodging (R&amp;D)</t>
  </si>
  <si>
    <t xml:space="preserve">         12-7801 Travel Meals (R&amp;D)</t>
  </si>
  <si>
    <t xml:space="preserve">      Total 12-7500 R&amp;D Travel</t>
  </si>
  <si>
    <t xml:space="preserve">      12-7803 Meals and Entertainment</t>
  </si>
  <si>
    <t xml:space="preserve">         12-7804 Office Stocked Food/Drinks</t>
  </si>
  <si>
    <t xml:space="preserve">         12-7805 Office Employee Meals</t>
  </si>
  <si>
    <t xml:space="preserve">      Total 12-7803 Meals and Entertainment</t>
  </si>
  <si>
    <t xml:space="preserve">      12-8014 Recruiter/Placement Fees</t>
  </si>
  <si>
    <t xml:space="preserve">      12-8018 Professional Development - R&amp;D</t>
  </si>
  <si>
    <t xml:space="preserve">      12-8019 Product and Dev Tools and Subscriptions</t>
  </si>
  <si>
    <t xml:space="preserve">      12-8026 Employee Awards</t>
  </si>
  <si>
    <t xml:space="preserve">      12-8501 Product Integration Fees</t>
  </si>
  <si>
    <t xml:space="preserve">      12-8502 Testing Expense</t>
  </si>
  <si>
    <t xml:space="preserve">   Total 12-8500 Research and Development Expenses</t>
  </si>
  <si>
    <t xml:space="preserve">   13-8000 Marketing Expenses</t>
  </si>
  <si>
    <t xml:space="preserve">      13-6000 Marketing Payroll</t>
  </si>
  <si>
    <t xml:space="preserve">         13-6100 Marketing Salaries</t>
  </si>
  <si>
    <t xml:space="preserve">            13-6101 Marketing Salaries Gross</t>
  </si>
  <si>
    <t xml:space="preserve">            13-6102 Marketing Bonus Gross</t>
  </si>
  <si>
    <t xml:space="preserve">            13-6103 Marketing Stock Compensation</t>
  </si>
  <si>
    <t xml:space="preserve">            13-6106 Marketing Unused PTO</t>
  </si>
  <si>
    <t xml:space="preserve">         Total 13-6100 Marketing Salaries</t>
  </si>
  <si>
    <t xml:space="preserve">         13-6301 Marketing Payroll Employer Taxes</t>
  </si>
  <si>
    <t xml:space="preserve">         13-6401 Marketing Payroll Group Health</t>
  </si>
  <si>
    <t xml:space="preserve">         13-6601 Marketing Payroll Short Term Disability</t>
  </si>
  <si>
    <t xml:space="preserve">      Total 13-6000 Marketing Payroll</t>
  </si>
  <si>
    <t xml:space="preserve">      13-6201 Contract Labor - Marketing</t>
  </si>
  <si>
    <t xml:space="preserve">      13-7100 National Events</t>
  </si>
  <si>
    <t xml:space="preserve">         13-7101 Conference/Trade Show Booth Materials</t>
  </si>
  <si>
    <t xml:space="preserve">         13-7102 Conference/Trade Show Fees</t>
  </si>
  <si>
    <t xml:space="preserve">      Total 13-7100 National Events</t>
  </si>
  <si>
    <t xml:space="preserve">      13-7103 Regional Events</t>
  </si>
  <si>
    <t xml:space="preserve">      13-7104 User Conferences</t>
  </si>
  <si>
    <t xml:space="preserve">      13-7105 User Conference Sponsorships</t>
  </si>
  <si>
    <t xml:space="preserve">      13-7106 Strategic Events</t>
  </si>
  <si>
    <t xml:space="preserve">      13-7120 Marketing Research</t>
  </si>
  <si>
    <t xml:space="preserve">      13-7200 Paid Media Expenses</t>
  </si>
  <si>
    <t xml:space="preserve">         13-7202 Content Creation</t>
  </si>
  <si>
    <t xml:space="preserve">         13-7203 Digital Marketing</t>
  </si>
  <si>
    <t xml:space="preserve">         13-7204 Other Advertising</t>
  </si>
  <si>
    <t xml:space="preserve">         13-7206 Brand Positioning</t>
  </si>
  <si>
    <t xml:space="preserve">      Total 13-7200 Paid Media Expenses</t>
  </si>
  <si>
    <t xml:space="preserve">      13-7201 Brand Awareness, Public Relations &amp; Social Media</t>
  </si>
  <si>
    <t xml:space="preserve">      13-7205 Promotional Materials (Swag)</t>
  </si>
  <si>
    <t xml:space="preserve">      13-7207 Account Based Marketing (ABM)</t>
  </si>
  <si>
    <t xml:space="preserve">      13-7500 Marketing Travel</t>
  </si>
  <si>
    <t xml:space="preserve">         13-7601 All Transportation (Mrktg)</t>
  </si>
  <si>
    <t xml:space="preserve">         13-7701 Lodging (Mrktg)</t>
  </si>
  <si>
    <t xml:space="preserve">         13-7801 Travel Meals (Mrktg)</t>
  </si>
  <si>
    <t xml:space="preserve">         13-7802 Meals with Clients at Events</t>
  </si>
  <si>
    <t xml:space="preserve">      Total 13-7500 Marketing Travel</t>
  </si>
  <si>
    <t xml:space="preserve">      13-8018 Professional Development - Marketing</t>
  </si>
  <si>
    <t xml:space="preserve">      13-8019 Marketing Tools and Subscriptions</t>
  </si>
  <si>
    <t xml:space="preserve">      13-8026 Employee Awards</t>
  </si>
  <si>
    <t xml:space="preserve">      23-7103 Regional Events (EMEA)</t>
  </si>
  <si>
    <t xml:space="preserve">   Total 13-8000 Marketing Expenses</t>
  </si>
  <si>
    <t xml:space="preserve">   14-7300 Sales Expenses</t>
  </si>
  <si>
    <t xml:space="preserve">      14-6000 Sales Payroll</t>
  </si>
  <si>
    <t xml:space="preserve">         14-6100 Sales Salaries</t>
  </si>
  <si>
    <t xml:space="preserve">            14-6101 Sales Salaries Gross</t>
  </si>
  <si>
    <t xml:space="preserve">            14-6102 Sales Bonus Gross</t>
  </si>
  <si>
    <t xml:space="preserve">            14-6103 Sales Stock Compensation</t>
  </si>
  <si>
    <t xml:space="preserve">            14-6106 Sales Unused PTO</t>
  </si>
  <si>
    <t xml:space="preserve">         Total 14-6100 Sales Salaries</t>
  </si>
  <si>
    <t xml:space="preserve">         14-6301 Sales Payroll Employer Taxes</t>
  </si>
  <si>
    <t xml:space="preserve">         14-6401 Sales Payroll Group Health</t>
  </si>
  <si>
    <t xml:space="preserve">         14-6601 Sales Payroll Short Term Disability</t>
  </si>
  <si>
    <t xml:space="preserve">      Total 14-6000 Sales Payroll</t>
  </si>
  <si>
    <t xml:space="preserve">      14-6104 Sales Commissions - Salaried Employees</t>
  </si>
  <si>
    <t xml:space="preserve">      14-6105 Sales Commissions - Partners</t>
  </si>
  <si>
    <t xml:space="preserve">      14-6201 Contract Labor - Sales</t>
  </si>
  <si>
    <t xml:space="preserve">      14-7205 Promotional Materials (Swag)</t>
  </si>
  <si>
    <t xml:space="preserve">      14-7301 Business Gifts Expense</t>
  </si>
  <si>
    <t xml:space="preserve">      14-7302 Entertainment</t>
  </si>
  <si>
    <t xml:space="preserve">      14-7303 Product Integrations for Sales</t>
  </si>
  <si>
    <t xml:space="preserve">      14-7304 Sales Leads Expense</t>
  </si>
  <si>
    <t xml:space="preserve">      14-7500 Sales Travel</t>
  </si>
  <si>
    <t xml:space="preserve">         14-7601 All Transportation (Sales)</t>
  </si>
  <si>
    <t xml:space="preserve">         14-7701 Lodging (Sales)</t>
  </si>
  <si>
    <t xml:space="preserve">         14-7801 Travel Meals (Sales)</t>
  </si>
  <si>
    <t xml:space="preserve">      Total 14-7500 Sales Travel</t>
  </si>
  <si>
    <t xml:space="preserve">      14-7806 Promotional Client/Employee Meals</t>
  </si>
  <si>
    <t xml:space="preserve">      14-8014 Recruiter/Placement Fees</t>
  </si>
  <si>
    <t xml:space="preserve">      14-8018 Professional Development - Sales</t>
  </si>
  <si>
    <t xml:space="preserve">      14-8019 Sales Tools and Subscriptions</t>
  </si>
  <si>
    <t xml:space="preserve">      14-8021 Taxes - Sales Taxes</t>
  </si>
  <si>
    <t xml:space="preserve">      14-8023 Web Meeting Tools</t>
  </si>
  <si>
    <t xml:space="preserve">      14-8026 Employee Awards</t>
  </si>
  <si>
    <t xml:space="preserve">   Total 14-7300 Sales Expenses</t>
  </si>
  <si>
    <t xml:space="preserve">   15-8000 General &amp; Administrative Expenses</t>
  </si>
  <si>
    <t xml:space="preserve">      15-5204 Customer Advisory Board</t>
  </si>
  <si>
    <t xml:space="preserve">      15-6000 G&amp;A Payroll</t>
  </si>
  <si>
    <t xml:space="preserve">         15-6100 G&amp;A Salaries</t>
  </si>
  <si>
    <t xml:space="preserve">            15-6101 G&amp;A Salaries Gross</t>
  </si>
  <si>
    <t xml:space="preserve">            15-6102 G&amp;A Bonus Gross</t>
  </si>
  <si>
    <t xml:space="preserve">            15-6103 G&amp;A Stock Compensation</t>
  </si>
  <si>
    <t xml:space="preserve">            15-6106 G&amp;A Unused PTO</t>
  </si>
  <si>
    <t xml:space="preserve">         Total 15-6100 G&amp;A Salaries</t>
  </si>
  <si>
    <t xml:space="preserve">         15-6301 G&amp;A Payroll Employer Taxes</t>
  </si>
  <si>
    <t xml:space="preserve">         15-6401 G&amp;A Payroll Group Health</t>
  </si>
  <si>
    <t xml:space="preserve">         15-6403 Group Health Insurance</t>
  </si>
  <si>
    <t xml:space="preserve">         15-6601 G&amp;A Payroll Short Term Disability</t>
  </si>
  <si>
    <t xml:space="preserve">         15-6605 Employee Relocation</t>
  </si>
  <si>
    <t xml:space="preserve">         15-6651 Commuter Benefits</t>
  </si>
  <si>
    <t xml:space="preserve">      Total 15-6000 G&amp;A Payroll</t>
  </si>
  <si>
    <t xml:space="preserve">      15-6201 Contract Labor - G&amp;A</t>
  </si>
  <si>
    <t xml:space="preserve">      15-6400 Insurance</t>
  </si>
  <si>
    <t xml:space="preserve">         15-8200 Liability Insurance</t>
  </si>
  <si>
    <t xml:space="preserve">         15-8201 Workers' Comp Insurance</t>
  </si>
  <si>
    <t xml:space="preserve">         15-8202 Other Insurance</t>
  </si>
  <si>
    <t xml:space="preserve">      Total 15-6400 Insurance</t>
  </si>
  <si>
    <t xml:space="preserve">      15-7205 Promotional Materials (Swag)</t>
  </si>
  <si>
    <t xml:space="preserve">      15-7500 G&amp;A Travel</t>
  </si>
  <si>
    <t xml:space="preserve">         15-7601 All Transportation (G&amp;A)</t>
  </si>
  <si>
    <t xml:space="preserve">         15-7701 Lodging (G&amp;A)</t>
  </si>
  <si>
    <t xml:space="preserve">         15-7801 Travel Meals (G&amp;A)</t>
  </si>
  <si>
    <t xml:space="preserve">      Total 15-7500 G&amp;A Travel</t>
  </si>
  <si>
    <t xml:space="preserve">      15-7807 Holiday Party / Team Building Events</t>
  </si>
  <si>
    <t xml:space="preserve">      15-8010 Administration Expenses</t>
  </si>
  <si>
    <t xml:space="preserve">         15-8012 Administrative Expenses - Other</t>
  </si>
  <si>
    <t xml:space="preserve">         15-8014 Recruiter/Placement Fees</t>
  </si>
  <si>
    <t xml:space="preserve">         15-8015 Processing Fees - 401k</t>
  </si>
  <si>
    <t xml:space="preserve">         15-8016 Processing Fees - Payroll</t>
  </si>
  <si>
    <t xml:space="preserve">      Total 15-8010 Administration Expenses</t>
  </si>
  <si>
    <t xml:space="preserve">      15-8017 Background Checks</t>
  </si>
  <si>
    <t xml:space="preserve">      15-8018 Professional Development - G&amp;A</t>
  </si>
  <si>
    <t xml:space="preserve">      15-8020 Bank Charges</t>
  </si>
  <si>
    <t xml:space="preserve">      15-8022 Charitable Contributions</t>
  </si>
  <si>
    <t xml:space="preserve">      15-8024 Dues &amp; Subscriptions</t>
  </si>
  <si>
    <t xml:space="preserve">         15-8100 Software Services Subscriptions</t>
  </si>
  <si>
    <t xml:space="preserve">      Total 15-8024 Dues &amp; Subscriptions</t>
  </si>
  <si>
    <t xml:space="preserve">      15-8026 Employee Awards</t>
  </si>
  <si>
    <t xml:space="preserve">      15-8250 Legal &amp; Professional Fees</t>
  </si>
  <si>
    <t xml:space="preserve">         15-8252 Accounting &amp; Tax Prep</t>
  </si>
  <si>
    <t xml:space="preserve">         15-8253 Audit Fees</t>
  </si>
  <si>
    <t xml:space="preserve">         15-8254 Legal Fees</t>
  </si>
  <si>
    <t xml:space="preserve">         15-8256 Patent Fees</t>
  </si>
  <si>
    <t xml:space="preserve">         15-8258 Securities Management and Valuations</t>
  </si>
  <si>
    <t xml:space="preserve">      Total 15-8250 Legal &amp; Professional Fees</t>
  </si>
  <si>
    <t xml:space="preserve">      15-8264 Maintenance &amp; Repair</t>
  </si>
  <si>
    <t xml:space="preserve">      15-8265 Non capitalized Office Equipment</t>
  </si>
  <si>
    <t xml:space="preserve">         15-8110 Office Software Expense</t>
  </si>
  <si>
    <t xml:space="preserve">         15-8112 Other Computer/IT expense</t>
  </si>
  <si>
    <t xml:space="preserve">         15-8266 Office Hardware Expense</t>
  </si>
  <si>
    <t xml:space="preserve">         15-8267 Office Furniture Expense</t>
  </si>
  <si>
    <t xml:space="preserve">      Total 15-8265 Non capitalized Office Equipment</t>
  </si>
  <si>
    <t xml:space="preserve">      15-8270 Office Cleaning</t>
  </si>
  <si>
    <t xml:space="preserve">      15-8272 Office Supplies</t>
  </si>
  <si>
    <t xml:space="preserve">      15-8274 Postage</t>
  </si>
  <si>
    <t xml:space="preserve">      15-8276 Stationery &amp; Printing</t>
  </si>
  <si>
    <t xml:space="preserve">      15-8280 Rent or Lease</t>
  </si>
  <si>
    <t xml:space="preserve">         15-8282 Parking at Office Rentals</t>
  </si>
  <si>
    <t xml:space="preserve">      Total 15-8280 Rent or Lease</t>
  </si>
  <si>
    <t xml:space="preserve">      15-8290 Taxes &amp; Licenses</t>
  </si>
  <si>
    <t xml:space="preserve">      15-8291 Utilities and Communications</t>
  </si>
  <si>
    <t xml:space="preserve">         15-8292 Internet Service Expenses</t>
  </si>
  <si>
    <t xml:space="preserve">         15-8293 Telephone Expenses</t>
  </si>
  <si>
    <t xml:space="preserve">      Total 15-8291 Utilities and Communications</t>
  </si>
  <si>
    <t xml:space="preserve">      15-9003 (Gain)/Loss on Disposal of Assets</t>
  </si>
  <si>
    <t xml:space="preserve">   Total 15-8000 General &amp; Administrative Expenses</t>
  </si>
  <si>
    <t xml:space="preserve">   15-8030 Uncategorized Expense</t>
  </si>
  <si>
    <t xml:space="preserve">   15-9001 Depreciation &amp; Amortization Expense</t>
  </si>
  <si>
    <t xml:space="preserve">   15-9010 Interest Expense</t>
  </si>
  <si>
    <t>Other Income</t>
  </si>
  <si>
    <t xml:space="preserve">   10-9011 Interest Earned</t>
  </si>
  <si>
    <t xml:space="preserve">   10-9012 Miscellaneous Income</t>
  </si>
  <si>
    <t>Total Other Income</t>
  </si>
  <si>
    <t>Other Expenses</t>
  </si>
  <si>
    <t xml:space="preserve">   10-9014 Miscellaneous</t>
  </si>
  <si>
    <t xml:space="preserve">   10-9016 State Income Tax</t>
  </si>
  <si>
    <t xml:space="preserve">   15-8021 Exchange Gain or Loss</t>
  </si>
  <si>
    <t>Total Other Expenses</t>
  </si>
  <si>
    <t>Net Other Income</t>
  </si>
  <si>
    <t>Thursday, Apr 23, 2020 08:36:03 PM GMT-7 - Accrual Basis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</si>
  <si>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</si>
  <si>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</si>
  <si>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</si>
  <si>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</si>
  <si>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</si>
  <si>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</si>
  <si>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</si>
  <si>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</si>
  <si>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</si>
  <si>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</si>
  <si>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</si>
  <si>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</si>
  <si>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</si>
  <si>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</si>
  <si>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</si>
  <si>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</si>
  <si>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</si>
  <si>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</si>
  <si>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</si>
  <si>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</si>
  <si>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</si>
  <si>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</si>
  <si>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</si>
  <si>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</si>
  <si>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</si>
  <si>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</si>
  <si>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</si>
  <si>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</si>
  <si>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</si>
  <si>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</si>
  <si>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</si>
  <si>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</si>
  <si>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</si>
  <si>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</si>
  <si>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</si>
  <si>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</si>
  <si>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</si>
  <si>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</si>
  <si>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</si>
  <si>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</si>
  <si>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</si>
  <si>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</si>
  <si>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</si>
  <si>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</si>
  <si>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</si>
  <si>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</si>
  <si>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</si>
  <si>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</si>
  <si>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</si>
  <si>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</si>
  <si>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</si>
  <si>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</si>
  <si>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</si>
  <si>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</si>
  <si>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</si>
  <si>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</si>
  <si>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</si>
  <si>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</si>
  <si>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</si>
  <si>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</si>
  <si>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</si>
  <si>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</si>
  <si>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</si>
  <si>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</si>
  <si>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</si>
  <si>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</si>
  <si>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</si>
  <si>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</si>
  <si>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</si>
  <si>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</si>
  <si>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</si>
  <si>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</si>
  <si>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</si>
  <si>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</si>
  <si>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</si>
  <si>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</si>
  <si>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</si>
  <si>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</si>
  <si>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</si>
  <si>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</si>
  <si>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</si>
  <si>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</si>
  <si>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</si>
  <si>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</si>
  <si>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</si>
  <si>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</si>
  <si>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</si>
  <si>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</si>
  <si>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</si>
  <si>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</si>
  <si>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</si>
  <si>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</si>
  <si>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</si>
  <si>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</si>
  <si>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</si>
  <si>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</si>
  <si>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</si>
  <si>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</si>
  <si>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</si>
  <si>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</si>
  <si>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Customer 101</t>
  </si>
  <si>
    <t>Customer 102</t>
  </si>
  <si>
    <t>Customer 103</t>
  </si>
  <si>
    <t>Customer 104</t>
  </si>
  <si>
    <t>Customer 105</t>
  </si>
  <si>
    <t>Customer 106</t>
  </si>
  <si>
    <t>Customer 107</t>
  </si>
  <si>
    <t>Customer 108</t>
  </si>
  <si>
    <t>Customer 109</t>
  </si>
  <si>
    <t>Customer 110</t>
  </si>
  <si>
    <t>Customer 111</t>
  </si>
  <si>
    <t>Customer 112</t>
  </si>
  <si>
    <t>Customer 113</t>
  </si>
  <si>
    <t>Customer 114</t>
  </si>
  <si>
    <t>Customer 115</t>
  </si>
  <si>
    <t>Interest Expense</t>
  </si>
  <si>
    <t>Uncategorized Expense</t>
  </si>
  <si>
    <t>(in 000s)</t>
  </si>
  <si>
    <t>Cash and cash equivalents</t>
  </si>
  <si>
    <t>Accounts receivable</t>
  </si>
  <si>
    <t>Prepaid and Other Current Assets</t>
  </si>
  <si>
    <t>Fixed Assets, Net</t>
  </si>
  <si>
    <t>Other Assets</t>
  </si>
  <si>
    <t>Total Assets</t>
  </si>
  <si>
    <t>Accrued Payroll and Benefits</t>
  </si>
  <si>
    <t>Deferred Revenue</t>
  </si>
  <si>
    <t>Loans Payable</t>
  </si>
  <si>
    <t>Total Liabilities</t>
  </si>
  <si>
    <t>Total Liabilties and Equity</t>
  </si>
  <si>
    <t>Depreciation &amp; Amortization</t>
  </si>
  <si>
    <t>Change in AR</t>
  </si>
  <si>
    <t>Change in Current Assets</t>
  </si>
  <si>
    <t>Change in Deferred Revenue</t>
  </si>
  <si>
    <t>Change in Current Liabilities</t>
  </si>
  <si>
    <t>Operating Cash Flows</t>
  </si>
  <si>
    <t>Capital Expenditures</t>
  </si>
  <si>
    <t>Security Deposits</t>
  </si>
  <si>
    <t>Investments/Advances to Subsidiaries</t>
  </si>
  <si>
    <t>Investing Cash Flows</t>
  </si>
  <si>
    <t>Debt Raise/Payments</t>
  </si>
  <si>
    <t>Equity Raise, Stock Option Exercise and Buyback</t>
  </si>
  <si>
    <t>Financing Cash Flows</t>
  </si>
  <si>
    <t>Net Change in Cash</t>
  </si>
  <si>
    <t>Labels</t>
  </si>
  <si>
    <t>Net cash provided by operating activities</t>
  </si>
  <si>
    <t>Net cash provided by investing activities</t>
  </si>
  <si>
    <t>Net cash provided by financing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</si>
</sst>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_ * #,##0.00_ ;_ * \-#,##0.00_ ;_ * &quot;-&quot;??_ ;_ @_ "/>
    <numFmt numFmtId="167" formatCode="_(&quot;$&quot;* #,##0_);_(&quot;$&quot;* \(#,##0\);_(&quot;$&quot;* &quot;-&quot;??_);_(@_)"/>
    <numFmt numFmtId="168" formatCode="#,##0.00\ _€"/>
    <numFmt numFmtId="169" formatCode="&quot;$&quot;* #,##0.00\ _€"/>
    <numFmt numFmtId="170" formatCode="[$-409]d\-mmm\-yy;@"/>
    <numFmt numFmtId="171" formatCode="&quot;$&quot;#,##0.00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rgb="FF0000FF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rgb="FF000000"/>
      <name val="Calibri"/>
      <family val="2"/>
    </font>
    <font>
      <sz val="10"/>
      <color rgb="FF0000FF"/>
      <name val="Calibri"/>
      <family val="2"/>
      <scheme val="minor"/>
    </font>
    <font>
      <b/>
      <sz val="8"/>
      <color indexed="8"/>
      <name val="Arial"/>
      <family val="2"/>
    </font>
    <font>
      <b/>
      <u/>
      <sz val="11"/>
      <color rgb="FF000000"/>
      <name val="Calibri"/>
      <family val="2"/>
      <scheme val="minor"/>
    </font>
    <font>
      <b/>
      <sz val="9"/>
      <color indexed="8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0" fontId="9" fillId="0" borderId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0" fontId="8" fillId="0" borderId="0"/>
    <xf numFmtId="0" fontId="10" fillId="0" borderId="0"/>
    <xf numFmtId="165" fontId="10" fillId="0" borderId="0" applyFont="0" applyFill="0" applyBorder="0" applyAlignment="0" applyProtection="0"/>
    <xf numFmtId="0" fontId="11" fillId="0" borderId="0"/>
    <xf numFmtId="0" fontId="8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0" borderId="0"/>
    <xf numFmtId="166" fontId="8" fillId="0" borderId="0" applyFont="0" applyFill="0" applyBorder="0" applyAlignment="0" applyProtection="0"/>
    <xf numFmtId="0" fontId="12" fillId="0" borderId="0">
      <alignment wrapText="1"/>
    </xf>
    <xf numFmtId="43" fontId="8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0" borderId="0"/>
    <xf numFmtId="0" fontId="16" fillId="0" borderId="0"/>
    <xf numFmtId="0" fontId="12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43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9" fillId="0" borderId="0"/>
    <xf numFmtId="0" fontId="9" fillId="0" borderId="0"/>
    <xf numFmtId="44" fontId="10" fillId="0" borderId="0" applyFont="0" applyFill="0" applyBorder="0" applyAlignment="0" applyProtection="0"/>
    <xf numFmtId="0" fontId="17" fillId="0" borderId="0"/>
    <xf numFmtId="0" fontId="18" fillId="0" borderId="0"/>
    <xf numFmtId="0" fontId="22" fillId="0" borderId="0"/>
  </cellStyleXfs>
  <cellXfs count="49">
    <xf numFmtId="0" fontId="0" fillId="0" borderId="0" xfId="0"/>
    <xf numFmtId="0" fontId="12" fillId="0" borderId="0" xfId="39"/>
    <xf numFmtId="0" fontId="12" fillId="0" borderId="0" xfId="39" applyAlignment="1"/>
    <xf numFmtId="0" fontId="12" fillId="0" borderId="0" xfId="39" applyAlignment="1">
      <alignment wrapText="1"/>
    </xf>
    <xf numFmtId="0" fontId="12" fillId="0" borderId="0" xfId="39"/>
    <xf numFmtId="0" fontId="20" fillId="0" borderId="0" xfId="39" applyFont="1" applyAlignment="1">
      <alignment horizontal="left" wrapText="1"/>
    </xf>
    <xf numFmtId="168" fontId="21" fillId="0" borderId="0" xfId="39" applyNumberFormat="1" applyFont="1" applyAlignment="1">
      <alignment wrapText="1"/>
    </xf>
    <xf numFmtId="168" fontId="21" fillId="0" borderId="0" xfId="39" applyNumberFormat="1" applyFont="1" applyAlignment="1">
      <alignment horizontal="right" wrapText="1"/>
    </xf>
    <xf numFmtId="169" fontId="20" fillId="0" borderId="1" xfId="39" applyNumberFormat="1" applyFont="1" applyBorder="1" applyAlignment="1">
      <alignment horizontal="right" wrapText="1"/>
    </xf>
    <xf numFmtId="0" fontId="22" fillId="0" borderId="0" xfId="45"/>
    <xf numFmtId="0" fontId="22" fillId="0" borderId="2" xfId="45" applyBorder="1"/>
    <xf numFmtId="0" fontId="12" fillId="0" borderId="0" xfId="39"/>
    <xf numFmtId="164" fontId="13" fillId="0" borderId="0" xfId="17" applyNumberFormat="1" applyFont="1"/>
    <xf numFmtId="0" fontId="23" fillId="3" borderId="0" xfId="39" applyFont="1" applyFill="1"/>
    <xf numFmtId="0" fontId="21" fillId="0" borderId="0" xfId="39" applyFont="1" applyAlignment="1"/>
    <xf numFmtId="0" fontId="20" fillId="3" borderId="0" xfId="39" applyFont="1" applyFill="1" applyAlignment="1">
      <alignment horizontal="left" wrapText="1"/>
    </xf>
    <xf numFmtId="0" fontId="20" fillId="4" borderId="0" xfId="39" applyFont="1" applyFill="1" applyAlignment="1">
      <alignment horizontal="left" wrapText="1"/>
    </xf>
    <xf numFmtId="0" fontId="20" fillId="0" borderId="0" xfId="39" applyFont="1" applyFill="1" applyAlignment="1">
      <alignment horizontal="left" wrapText="1"/>
    </xf>
    <xf numFmtId="0" fontId="13" fillId="0" borderId="0" xfId="0" applyFont="1"/>
    <xf numFmtId="0" fontId="13" fillId="0" borderId="0" xfId="0" applyFont="1" applyAlignment="1">
      <alignment wrapText="1"/>
    </xf>
    <xf numFmtId="0" fontId="24" fillId="0" borderId="0" xfId="0" applyFont="1" applyAlignment="1">
      <alignment horizontal="left"/>
    </xf>
    <xf numFmtId="167" fontId="13" fillId="0" borderId="0" xfId="22" applyNumberFormat="1" applyFont="1"/>
    <xf numFmtId="164" fontId="13" fillId="0" borderId="1" xfId="17" applyNumberFormat="1" applyFont="1" applyBorder="1"/>
    <xf numFmtId="167" fontId="13" fillId="0" borderId="7" xfId="0" applyNumberFormat="1" applyFont="1" applyBorder="1"/>
    <xf numFmtId="44" fontId="13" fillId="0" borderId="0" xfId="22" applyFont="1"/>
    <xf numFmtId="167" fontId="13" fillId="0" borderId="7" xfId="22" applyNumberFormat="1" applyFont="1" applyBorder="1"/>
    <xf numFmtId="0" fontId="24" fillId="0" borderId="0" xfId="0" applyFont="1" applyAlignment="1">
      <alignment horizontal="center"/>
    </xf>
    <xf numFmtId="167" fontId="13" fillId="0" borderId="0" xfId="0" applyNumberFormat="1" applyFont="1"/>
    <xf numFmtId="0" fontId="14" fillId="0" borderId="0" xfId="0" applyFont="1"/>
    <xf numFmtId="43" fontId="13" fillId="0" borderId="0" xfId="0" applyNumberFormat="1" applyFont="1"/>
    <xf numFmtId="0" fontId="15" fillId="3" borderId="0" xfId="0" applyFont="1" applyFill="1"/>
    <xf numFmtId="170" fontId="19" fillId="0" borderId="3" xfId="39" applyNumberFormat="1" applyFont="1" applyBorder="1" applyAlignment="1">
      <alignment horizontal="center" wrapText="1"/>
    </xf>
    <xf numFmtId="0" fontId="25" fillId="2" borderId="0" xfId="45" applyFont="1" applyFill="1"/>
    <xf numFmtId="170" fontId="26" fillId="0" borderId="3" xfId="39" applyNumberFormat="1" applyFont="1" applyBorder="1" applyAlignment="1">
      <alignment horizontal="center" wrapText="1"/>
    </xf>
    <xf numFmtId="0" fontId="27" fillId="0" borderId="0" xfId="45" applyFont="1"/>
    <xf numFmtId="171" fontId="28" fillId="0" borderId="0" xfId="45" applyNumberFormat="1" applyFont="1"/>
    <xf numFmtId="171" fontId="28" fillId="0" borderId="2" xfId="45" applyNumberFormat="1" applyFont="1" applyBorder="1"/>
    <xf numFmtId="0" fontId="8" fillId="0" borderId="0" xfId="45" applyFont="1"/>
    <xf numFmtId="0" fontId="28" fillId="0" borderId="0" xfId="45" applyFont="1"/>
    <xf numFmtId="171" fontId="28" fillId="0" borderId="4" xfId="45" applyNumberFormat="1" applyFont="1" applyBorder="1"/>
    <xf numFmtId="171" fontId="28" fillId="0" borderId="5" xfId="45" applyNumberFormat="1" applyFont="1" applyBorder="1"/>
    <xf numFmtId="171" fontId="1" fillId="0" borderId="0" xfId="45" applyNumberFormat="1" applyFont="1"/>
    <xf numFmtId="171" fontId="1" fillId="0" borderId="2" xfId="45" applyNumberFormat="1" applyFont="1" applyBorder="1"/>
    <xf numFmtId="44" fontId="28" fillId="0" borderId="0" xfId="45" applyNumberFormat="1" applyFont="1"/>
    <xf numFmtId="0" fontId="28" fillId="0" borderId="2" xfId="45" applyFont="1" applyBorder="1"/>
    <xf numFmtId="44" fontId="28" fillId="0" borderId="2" xfId="45" applyNumberFormat="1" applyFont="1" applyBorder="1"/>
    <xf numFmtId="0" fontId="28" fillId="0" borderId="3" xfId="45" applyFont="1" applyBorder="1"/>
    <xf numFmtId="0" fontId="28" fillId="0" borderId="6" xfId="45" applyFont="1" applyBorder="1"/>
    <xf numFmtId="0" fontId="0" fillId="3" borderId="0" xfId="0" applyFill="1"/>
  </cellXfs>
  <cellStyles count="46">
    <cellStyle name="Comma" xfId="17" builtinId="3"/>
    <cellStyle name="Comma 10" xfId="35" xr:uid="{00000000-0005-0000-0000-000001000000}"/>
    <cellStyle name="Comma 2" xfId="5" xr:uid="{00000000-0005-0000-0000-000002000000}"/>
    <cellStyle name="Comma 2 2" xfId="9" xr:uid="{00000000-0005-0000-0000-000003000000}"/>
    <cellStyle name="Comma 2 3" xfId="19" xr:uid="{00000000-0005-0000-0000-000004000000}"/>
    <cellStyle name="Comma 2 3 2" xfId="28" xr:uid="{00000000-0005-0000-0000-000005000000}"/>
    <cellStyle name="Comma 2 3 2 2" xfId="33" xr:uid="{00000000-0005-0000-0000-000006000000}"/>
    <cellStyle name="Comma 3" xfId="13" xr:uid="{00000000-0005-0000-0000-000007000000}"/>
    <cellStyle name="Comma 4" xfId="15" xr:uid="{00000000-0005-0000-0000-000008000000}"/>
    <cellStyle name="Comma 4 2" xfId="21" xr:uid="{00000000-0005-0000-0000-000009000000}"/>
    <cellStyle name="Comma 4 2 2" xfId="29" xr:uid="{00000000-0005-0000-0000-00000A000000}"/>
    <cellStyle name="Comma 5" xfId="38" xr:uid="{00000000-0005-0000-0000-00000B000000}"/>
    <cellStyle name="Comma 7" xfId="36" xr:uid="{00000000-0005-0000-0000-00000C000000}"/>
    <cellStyle name="Currency" xfId="22" builtinId="4"/>
    <cellStyle name="Currency 2" xfId="42" xr:uid="{00000000-0005-0000-0000-00000E000000}"/>
    <cellStyle name="Normal" xfId="0" builtinId="0"/>
    <cellStyle name="Normal 10" xfId="40" xr:uid="{00000000-0005-0000-0000-000010000000}"/>
    <cellStyle name="Normal 2" xfId="3" xr:uid="{00000000-0005-0000-0000-000011000000}"/>
    <cellStyle name="Normal 2 2" xfId="8" xr:uid="{00000000-0005-0000-0000-000012000000}"/>
    <cellStyle name="Normal 2 3" xfId="18" xr:uid="{00000000-0005-0000-0000-000013000000}"/>
    <cellStyle name="Normal 2 3 2" xfId="30" xr:uid="{00000000-0005-0000-0000-000014000000}"/>
    <cellStyle name="Normal 2 4" xfId="31" xr:uid="{00000000-0005-0000-0000-000015000000}"/>
    <cellStyle name="Normal 2 5" xfId="39" xr:uid="{00000000-0005-0000-0000-000016000000}"/>
    <cellStyle name="Normal 2 6" xfId="26" xr:uid="{00000000-0005-0000-0000-000017000000}"/>
    <cellStyle name="Normal 2 6 2" xfId="32" xr:uid="{00000000-0005-0000-0000-000018000000}"/>
    <cellStyle name="Normal 2 7" xfId="41" xr:uid="{00000000-0005-0000-0000-000019000000}"/>
    <cellStyle name="Normal 2 8" xfId="44" xr:uid="{00000000-0005-0000-0000-00001A000000}"/>
    <cellStyle name="Normal 20" xfId="6" xr:uid="{00000000-0005-0000-0000-00001B000000}"/>
    <cellStyle name="Normal 3" xfId="23" xr:uid="{00000000-0005-0000-0000-00001C000000}"/>
    <cellStyle name="Normal 3 2" xfId="10" xr:uid="{00000000-0005-0000-0000-00001D000000}"/>
    <cellStyle name="Normal 3 3" xfId="24" xr:uid="{00000000-0005-0000-0000-00001E000000}"/>
    <cellStyle name="Normal 4" xfId="14" xr:uid="{00000000-0005-0000-0000-00001F000000}"/>
    <cellStyle name="Normal 4 2" xfId="7" xr:uid="{00000000-0005-0000-0000-000020000000}"/>
    <cellStyle name="Normal 4 2 2" xfId="25" xr:uid="{00000000-0005-0000-0000-000021000000}"/>
    <cellStyle name="Normal 5" xfId="43" xr:uid="{00000000-0005-0000-0000-000022000000}"/>
    <cellStyle name="Normal 5 2" xfId="11" xr:uid="{00000000-0005-0000-0000-000023000000}"/>
    <cellStyle name="Normal 6" xfId="45" xr:uid="{F7B2D6B6-9FBD-4B9A-96C9-8B06EEFFEBAA}"/>
    <cellStyle name="Normal 7 3" xfId="1" xr:uid="{00000000-0005-0000-0000-000024000000}"/>
    <cellStyle name="Percent 2" xfId="4" xr:uid="{00000000-0005-0000-0000-000026000000}"/>
    <cellStyle name="Percent 2 2" xfId="20" xr:uid="{00000000-0005-0000-0000-000027000000}"/>
    <cellStyle name="Percent 2 2 2" xfId="34" xr:uid="{00000000-0005-0000-0000-000028000000}"/>
    <cellStyle name="Percent 2 3" xfId="27" xr:uid="{00000000-0005-0000-0000-000029000000}"/>
    <cellStyle name="Percent 3" xfId="2" xr:uid="{00000000-0005-0000-0000-00002A000000}"/>
    <cellStyle name="Percent 4" xfId="12" xr:uid="{00000000-0005-0000-0000-00002B000000}"/>
    <cellStyle name="Percent 5" xfId="37" xr:uid="{00000000-0005-0000-0000-00002C000000}"/>
    <cellStyle name="XLConnect.String" xfId="16" xr:uid="{00000000-0005-0000-0000-00002D000000}"/>
  </cellStyles>
  <dxfs count="3">
    <dxf>
      <fill>
        <patternFill>
          <bgColor theme="0" tint="-4.9989318521683403E-2"/>
        </patternFill>
      </fill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 xr9:uid="{00000000-0011-0000-FFFF-FFFF00000000}">
      <tableStyleElement type="wholeTable" dxfId="2"/>
      <tableStyleElement type="headerRow" dxfId="1"/>
    </tableStyle>
  </tableStyles>
  <colors>
    <mruColors>
      <color rgb="FF0000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olanhansen/Dropbox/Accounting/2015/Reconciliations/401K%20Payable/Txt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olanhansen/Downloads/Sales%20forecast%20Company%20Tot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. Transactio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Y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FDA7-5B37-4492-BA7D-8F900E72BA42}">
  <dimension ref="A1:N236"/>
  <sheetViews>
    <sheetView zoomScaleNormal="100" workbookViewId="0">
      <pane xSplit="2" ySplit="1" topLeftCell="R2" activePane="bottomRight" state="frozen"/>
      <selection activeCell="N236" sqref="N236"/>
      <selection pane="topRight" activeCell="N236" sqref="N236"/>
      <selection pane="bottomLeft" activeCell="N236" sqref="N236"/>
      <selection pane="bottomRight" activeCell="B4" sqref="B4"/>
    </sheetView>
  </sheetViews>
  <sheetFormatPr baseColWidth="10" defaultColWidth="9.1640625" defaultRowHeight="15" x14ac:dyDescent="0.2"/>
  <cols>
    <col min="1" max="1" width="19.5" style="4" bestFit="1" customWidth="1"/>
    <col min="2" max="2" width="54.1640625" style="11" customWidth="1"/>
    <col min="3" max="3" width="11.1640625" style="11" customWidth="1"/>
    <col min="4" max="4" width="10.33203125" style="11" customWidth="1"/>
    <col min="5" max="5" width="12" style="11" customWidth="1"/>
    <col min="6" max="7" width="11.1640625" style="11" customWidth="1"/>
    <col min="8" max="10" width="10.33203125" style="11" customWidth="1"/>
    <col min="11" max="11" width="12" style="11" customWidth="1"/>
    <col min="12" max="12" width="10.33203125" style="11" customWidth="1"/>
    <col min="13" max="13" width="11.1640625" style="11" customWidth="1"/>
    <col min="14" max="14" width="10.33203125" style="11" customWidth="1"/>
    <col min="15" max="16384" width="9.1640625" style="1"/>
  </cols>
  <sheetData>
    <row r="1" spans="1:14" x14ac:dyDescent="0.2">
      <c r="A1" s="4" t="s">
        <v>394</v>
      </c>
      <c r="B1" s="3"/>
      <c r="C1" s="31">
        <v>42736</v>
      </c>
      <c r="D1" s="31">
        <v>42767</v>
      </c>
      <c r="E1" s="31">
        <v>42795</v>
      </c>
      <c r="F1" s="31">
        <v>42826</v>
      </c>
      <c r="G1" s="31">
        <v>42856</v>
      </c>
      <c r="H1" s="31">
        <v>42887</v>
      </c>
      <c r="I1" s="31">
        <v>42917</v>
      </c>
      <c r="J1" s="31">
        <v>42948</v>
      </c>
      <c r="K1" s="31">
        <v>42979</v>
      </c>
      <c r="L1" s="31">
        <v>43009</v>
      </c>
      <c r="M1" s="31">
        <v>43040</v>
      </c>
      <c r="N1" s="31">
        <v>43070</v>
      </c>
    </row>
    <row r="2" spans="1:14" x14ac:dyDescent="0.2">
      <c r="B2" s="5" t="s">
        <v>14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B3" s="5" t="s">
        <v>28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3" t="s">
        <v>16</v>
      </c>
      <c r="B4" s="5" t="s">
        <v>29</v>
      </c>
      <c r="C4" s="6"/>
      <c r="D4" s="6"/>
      <c r="E4" s="6"/>
      <c r="F4" s="6"/>
      <c r="G4" s="6"/>
      <c r="H4" s="6"/>
      <c r="I4" s="6"/>
      <c r="J4" s="7">
        <f>2530</f>
        <v>2530</v>
      </c>
      <c r="K4" s="7">
        <f>2530</f>
        <v>2530</v>
      </c>
      <c r="L4" s="7">
        <f>2530</f>
        <v>2530</v>
      </c>
      <c r="M4" s="7">
        <f>2530</f>
        <v>2530</v>
      </c>
      <c r="N4" s="7">
        <f>2530</f>
        <v>2530</v>
      </c>
    </row>
    <row r="5" spans="1:14" x14ac:dyDescent="0.2">
      <c r="A5" s="13" t="s">
        <v>16</v>
      </c>
      <c r="B5" s="5" t="s">
        <v>30</v>
      </c>
      <c r="C5" s="6"/>
      <c r="D5" s="6"/>
      <c r="E5" s="6"/>
      <c r="F5" s="6"/>
      <c r="G5" s="6"/>
      <c r="H5" s="6"/>
      <c r="I5" s="6"/>
      <c r="J5" s="7">
        <f>10120</f>
        <v>10120</v>
      </c>
      <c r="K5" s="7">
        <f>10120</f>
        <v>10120</v>
      </c>
      <c r="L5" s="7">
        <f>10120</f>
        <v>10120</v>
      </c>
      <c r="M5" s="7">
        <f>10120</f>
        <v>10120</v>
      </c>
      <c r="N5" s="7">
        <f>10120</f>
        <v>10120</v>
      </c>
    </row>
    <row r="6" spans="1:14" x14ac:dyDescent="0.2">
      <c r="A6" s="13" t="s">
        <v>15</v>
      </c>
      <c r="B6" s="5" t="s">
        <v>31</v>
      </c>
      <c r="C6" s="7">
        <f>23477</f>
        <v>23477</v>
      </c>
      <c r="D6" s="7">
        <f>30549</f>
        <v>30549</v>
      </c>
      <c r="E6" s="7">
        <f>31849</f>
        <v>31849</v>
      </c>
      <c r="F6" s="7">
        <f>32249</f>
        <v>32249</v>
      </c>
      <c r="G6" s="7">
        <f>29649</f>
        <v>29649</v>
      </c>
      <c r="H6" s="7">
        <f>32649</f>
        <v>32649</v>
      </c>
      <c r="I6" s="7">
        <f>25427</f>
        <v>25427</v>
      </c>
      <c r="J6" s="7">
        <f>27164</f>
        <v>27164</v>
      </c>
      <c r="K6" s="7">
        <f>28985</f>
        <v>28985</v>
      </c>
      <c r="L6" s="7">
        <f>28625</f>
        <v>28625</v>
      </c>
      <c r="M6" s="7">
        <f>32161</f>
        <v>32161</v>
      </c>
      <c r="N6" s="7">
        <f>34830</f>
        <v>34830</v>
      </c>
    </row>
    <row r="7" spans="1:14" x14ac:dyDescent="0.2">
      <c r="A7" s="13" t="s">
        <v>16</v>
      </c>
      <c r="B7" s="5" t="s">
        <v>32</v>
      </c>
      <c r="C7" s="7">
        <f>163744.6</f>
        <v>163744.6</v>
      </c>
      <c r="D7" s="7">
        <f>172766</f>
        <v>172766</v>
      </c>
      <c r="E7" s="7">
        <f>180991</f>
        <v>180991</v>
      </c>
      <c r="F7" s="7">
        <f>182192</f>
        <v>182192</v>
      </c>
      <c r="G7" s="7">
        <f>187496</f>
        <v>187496</v>
      </c>
      <c r="H7" s="7">
        <f>196121</f>
        <v>196121</v>
      </c>
      <c r="I7" s="7">
        <f>186996</f>
        <v>186996</v>
      </c>
      <c r="J7" s="7">
        <f>196171</f>
        <v>196171</v>
      </c>
      <c r="K7" s="7">
        <f>214703.75</f>
        <v>214703.75</v>
      </c>
      <c r="L7" s="7">
        <f>241001.5</f>
        <v>241001.5</v>
      </c>
      <c r="M7" s="7">
        <f>254461.5</f>
        <v>254461.5</v>
      </c>
      <c r="N7" s="7">
        <f>262016.5</f>
        <v>262016.5</v>
      </c>
    </row>
    <row r="8" spans="1:14" x14ac:dyDescent="0.2">
      <c r="A8" s="13" t="s">
        <v>15</v>
      </c>
      <c r="B8" s="5" t="s">
        <v>33</v>
      </c>
      <c r="C8" s="7">
        <f>14450</f>
        <v>14450</v>
      </c>
      <c r="D8" s="7">
        <f>44450</f>
        <v>44450</v>
      </c>
      <c r="E8" s="6"/>
      <c r="F8" s="7">
        <f>800</f>
        <v>800</v>
      </c>
      <c r="G8" s="6"/>
      <c r="H8" s="7">
        <f>500</f>
        <v>500</v>
      </c>
      <c r="I8" s="6"/>
      <c r="J8" s="7">
        <f>5000</f>
        <v>5000</v>
      </c>
      <c r="K8" s="7">
        <f>11000</f>
        <v>11000</v>
      </c>
      <c r="L8" s="6"/>
      <c r="M8" s="7">
        <f>9000</f>
        <v>9000</v>
      </c>
      <c r="N8" s="6"/>
    </row>
    <row r="9" spans="1:14" x14ac:dyDescent="0.2">
      <c r="A9" s="13" t="s">
        <v>16</v>
      </c>
      <c r="B9" s="5" t="s">
        <v>34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">
      <c r="B10" s="5" t="s">
        <v>35</v>
      </c>
      <c r="C10" s="8">
        <f t="shared" ref="C10:N10" si="0">((((((C3)+(C4))+(C5))+(C6))+(C7))+(C8))+(C9)</f>
        <v>201671.6</v>
      </c>
      <c r="D10" s="8">
        <f t="shared" si="0"/>
        <v>247765</v>
      </c>
      <c r="E10" s="8">
        <f t="shared" si="0"/>
        <v>212840</v>
      </c>
      <c r="F10" s="8">
        <f t="shared" si="0"/>
        <v>215241</v>
      </c>
      <c r="G10" s="8">
        <f t="shared" si="0"/>
        <v>217145</v>
      </c>
      <c r="H10" s="8">
        <f t="shared" si="0"/>
        <v>229270</v>
      </c>
      <c r="I10" s="8">
        <f t="shared" si="0"/>
        <v>212423</v>
      </c>
      <c r="J10" s="8">
        <f t="shared" si="0"/>
        <v>240985</v>
      </c>
      <c r="K10" s="8">
        <f t="shared" si="0"/>
        <v>267338.75</v>
      </c>
      <c r="L10" s="8">
        <f t="shared" si="0"/>
        <v>282276.5</v>
      </c>
      <c r="M10" s="8">
        <f t="shared" si="0"/>
        <v>308272.5</v>
      </c>
      <c r="N10" s="8">
        <f t="shared" si="0"/>
        <v>309496.5</v>
      </c>
    </row>
    <row r="11" spans="1:14" x14ac:dyDescent="0.2">
      <c r="B11" s="16" t="s">
        <v>13</v>
      </c>
      <c r="C11" s="8">
        <f t="shared" ref="C11:N11" si="1">C10</f>
        <v>201671.6</v>
      </c>
      <c r="D11" s="8">
        <f t="shared" si="1"/>
        <v>247765</v>
      </c>
      <c r="E11" s="8">
        <f t="shared" si="1"/>
        <v>212840</v>
      </c>
      <c r="F11" s="8">
        <f t="shared" si="1"/>
        <v>215241</v>
      </c>
      <c r="G11" s="8">
        <f t="shared" si="1"/>
        <v>217145</v>
      </c>
      <c r="H11" s="8">
        <f t="shared" si="1"/>
        <v>229270</v>
      </c>
      <c r="I11" s="8">
        <f t="shared" si="1"/>
        <v>212423</v>
      </c>
      <c r="J11" s="8">
        <f t="shared" si="1"/>
        <v>240985</v>
      </c>
      <c r="K11" s="8">
        <f t="shared" si="1"/>
        <v>267338.75</v>
      </c>
      <c r="L11" s="8">
        <f t="shared" si="1"/>
        <v>282276.5</v>
      </c>
      <c r="M11" s="8">
        <f t="shared" si="1"/>
        <v>308272.5</v>
      </c>
      <c r="N11" s="8">
        <f t="shared" si="1"/>
        <v>309496.5</v>
      </c>
    </row>
    <row r="12" spans="1:14" x14ac:dyDescent="0.2">
      <c r="B12" s="5" t="s">
        <v>12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">
      <c r="B13" s="5" t="s">
        <v>36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B14" s="5" t="s">
        <v>37</v>
      </c>
      <c r="C14" s="6"/>
      <c r="D14" s="6"/>
      <c r="E14" s="7">
        <f>2719.79</f>
        <v>2719.79</v>
      </c>
      <c r="F14" s="7">
        <f>15145.88</f>
        <v>15145.88</v>
      </c>
      <c r="G14" s="7">
        <f>13498.58</f>
        <v>13498.58</v>
      </c>
      <c r="H14" s="7">
        <f>18008.73</f>
        <v>18008.73</v>
      </c>
      <c r="I14" s="7">
        <f>18777.66</f>
        <v>18777.66</v>
      </c>
      <c r="J14" s="7">
        <f>21166.42</f>
        <v>21166.42</v>
      </c>
      <c r="K14" s="7">
        <f>21526.22</f>
        <v>21526.22</v>
      </c>
      <c r="L14" s="7">
        <f>24633.68</f>
        <v>24633.68</v>
      </c>
      <c r="M14" s="7">
        <f>28421.95</f>
        <v>28421.95</v>
      </c>
      <c r="N14" s="7">
        <f>64765.67</f>
        <v>64765.67</v>
      </c>
    </row>
    <row r="15" spans="1:14" x14ac:dyDescent="0.2">
      <c r="B15" s="5" t="s">
        <v>38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B16" s="5" t="s">
        <v>39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2:14" x14ac:dyDescent="0.2">
      <c r="B17" s="5" t="s">
        <v>40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2:14" x14ac:dyDescent="0.2">
      <c r="B18" s="15" t="s">
        <v>41</v>
      </c>
      <c r="C18" s="8">
        <f t="shared" ref="C18:N18" si="2">(C16)+(C17)</f>
        <v>0</v>
      </c>
      <c r="D18" s="8">
        <f t="shared" si="2"/>
        <v>0</v>
      </c>
      <c r="E18" s="8">
        <f t="shared" si="2"/>
        <v>0</v>
      </c>
      <c r="F18" s="8">
        <f t="shared" si="2"/>
        <v>0</v>
      </c>
      <c r="G18" s="8">
        <f t="shared" si="2"/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M18" s="8">
        <f t="shared" si="2"/>
        <v>0</v>
      </c>
      <c r="N18" s="8">
        <f t="shared" si="2"/>
        <v>0</v>
      </c>
    </row>
    <row r="19" spans="2:14" x14ac:dyDescent="0.2">
      <c r="B19" s="5" t="s">
        <v>42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2:14" x14ac:dyDescent="0.2">
      <c r="B20" s="5" t="s">
        <v>43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>4423.08</f>
        <v>4423.08</v>
      </c>
    </row>
    <row r="21" spans="2:14" x14ac:dyDescent="0.2">
      <c r="B21" s="5" t="s">
        <v>44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2:14" x14ac:dyDescent="0.2">
      <c r="B22" s="5" t="s">
        <v>45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2:14" x14ac:dyDescent="0.2">
      <c r="B23" s="5" t="s">
        <v>46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7">
        <f>510.87</f>
        <v>510.87</v>
      </c>
    </row>
    <row r="24" spans="2:14" x14ac:dyDescent="0.2">
      <c r="B24" s="5" t="s">
        <v>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>473.56</f>
        <v>473.56</v>
      </c>
    </row>
    <row r="25" spans="2:14" x14ac:dyDescent="0.2">
      <c r="B25" s="5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2:14" x14ac:dyDescent="0.2">
      <c r="B26" s="5" t="s">
        <v>49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2:14" x14ac:dyDescent="0.2">
      <c r="B27" s="15" t="s">
        <v>50</v>
      </c>
      <c r="C27" s="8">
        <f t="shared" ref="C27:N27" si="3">(((((((C19)+(C20))+(C21))+(C22))+(C23))+(C24))+(C25))+(C26)</f>
        <v>0</v>
      </c>
      <c r="D27" s="8">
        <f t="shared" si="3"/>
        <v>0</v>
      </c>
      <c r="E27" s="8">
        <f t="shared" si="3"/>
        <v>0</v>
      </c>
      <c r="F27" s="8">
        <f t="shared" si="3"/>
        <v>0</v>
      </c>
      <c r="G27" s="8">
        <f t="shared" si="3"/>
        <v>0</v>
      </c>
      <c r="H27" s="8">
        <f t="shared" si="3"/>
        <v>0</v>
      </c>
      <c r="I27" s="8">
        <f t="shared" si="3"/>
        <v>0</v>
      </c>
      <c r="J27" s="8">
        <f t="shared" si="3"/>
        <v>0</v>
      </c>
      <c r="K27" s="8">
        <f t="shared" si="3"/>
        <v>0</v>
      </c>
      <c r="L27" s="8">
        <f t="shared" si="3"/>
        <v>0</v>
      </c>
      <c r="M27" s="8">
        <f t="shared" si="3"/>
        <v>0</v>
      </c>
      <c r="N27" s="8">
        <f t="shared" si="3"/>
        <v>5407.51</v>
      </c>
    </row>
    <row r="28" spans="2:14" x14ac:dyDescent="0.2">
      <c r="B28" s="5" t="s">
        <v>51</v>
      </c>
      <c r="C28" s="7">
        <f>7380</f>
        <v>7380</v>
      </c>
      <c r="D28" s="6"/>
      <c r="E28" s="6"/>
      <c r="F28" s="6"/>
      <c r="G28" s="7">
        <f>11737.5</f>
        <v>11737.5</v>
      </c>
      <c r="H28" s="6"/>
      <c r="I28" s="6"/>
      <c r="J28" s="6"/>
      <c r="K28" s="6"/>
      <c r="L28" s="6"/>
      <c r="M28" s="6"/>
      <c r="N28" s="6"/>
    </row>
    <row r="29" spans="2:14" x14ac:dyDescent="0.2">
      <c r="B29" s="5" t="s">
        <v>52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2:14" x14ac:dyDescent="0.2">
      <c r="B30" s="5" t="s">
        <v>53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2:14" x14ac:dyDescent="0.2">
      <c r="B31" s="5" t="s">
        <v>54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2:14" x14ac:dyDescent="0.2">
      <c r="B32" s="5" t="s">
        <v>55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">
      <c r="B33" s="15" t="s">
        <v>56</v>
      </c>
      <c r="C33" s="8">
        <f t="shared" ref="C33:N33" si="4">(((C29)+(C30))+(C31))+(C32)</f>
        <v>0</v>
      </c>
      <c r="D33" s="8">
        <f t="shared" si="4"/>
        <v>0</v>
      </c>
      <c r="E33" s="8">
        <f t="shared" si="4"/>
        <v>0</v>
      </c>
      <c r="F33" s="8">
        <f t="shared" si="4"/>
        <v>0</v>
      </c>
      <c r="G33" s="8">
        <f t="shared" si="4"/>
        <v>0</v>
      </c>
      <c r="H33" s="8">
        <f t="shared" si="4"/>
        <v>0</v>
      </c>
      <c r="I33" s="8">
        <f t="shared" si="4"/>
        <v>0</v>
      </c>
      <c r="J33" s="8">
        <f t="shared" si="4"/>
        <v>0</v>
      </c>
      <c r="K33" s="8">
        <f t="shared" si="4"/>
        <v>0</v>
      </c>
      <c r="L33" s="8">
        <f t="shared" si="4"/>
        <v>0</v>
      </c>
      <c r="M33" s="8">
        <f t="shared" si="4"/>
        <v>0</v>
      </c>
      <c r="N33" s="8">
        <f t="shared" si="4"/>
        <v>0</v>
      </c>
    </row>
    <row r="34" spans="1:14" x14ac:dyDescent="0.2">
      <c r="B34" s="15" t="s">
        <v>57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">
      <c r="B35" s="5" t="s">
        <v>58</v>
      </c>
      <c r="C35" s="8">
        <f t="shared" ref="C35:N35" si="5">(((((((C13)+(C14))+(C15))+(C18))+(C27))+(C28))+(C33))+(C34)</f>
        <v>7380</v>
      </c>
      <c r="D35" s="8">
        <f t="shared" si="5"/>
        <v>0</v>
      </c>
      <c r="E35" s="8">
        <f t="shared" si="5"/>
        <v>2719.79</v>
      </c>
      <c r="F35" s="8">
        <f t="shared" si="5"/>
        <v>15145.88</v>
      </c>
      <c r="G35" s="8">
        <f t="shared" si="5"/>
        <v>25236.080000000002</v>
      </c>
      <c r="H35" s="8">
        <f t="shared" si="5"/>
        <v>18008.73</v>
      </c>
      <c r="I35" s="8">
        <f t="shared" si="5"/>
        <v>18777.66</v>
      </c>
      <c r="J35" s="8">
        <f t="shared" si="5"/>
        <v>21166.42</v>
      </c>
      <c r="K35" s="8">
        <f t="shared" si="5"/>
        <v>21526.22</v>
      </c>
      <c r="L35" s="8">
        <f t="shared" si="5"/>
        <v>24633.68</v>
      </c>
      <c r="M35" s="8">
        <f t="shared" si="5"/>
        <v>28421.95</v>
      </c>
      <c r="N35" s="8">
        <f t="shared" si="5"/>
        <v>70173.179999999993</v>
      </c>
    </row>
    <row r="36" spans="1:14" x14ac:dyDescent="0.2">
      <c r="A36" s="13" t="s">
        <v>7</v>
      </c>
      <c r="B36" s="16" t="s">
        <v>11</v>
      </c>
      <c r="C36" s="8">
        <f t="shared" ref="C36:N36" si="6">C35</f>
        <v>7380</v>
      </c>
      <c r="D36" s="8">
        <f t="shared" si="6"/>
        <v>0</v>
      </c>
      <c r="E36" s="8">
        <f t="shared" si="6"/>
        <v>2719.79</v>
      </c>
      <c r="F36" s="8">
        <f t="shared" si="6"/>
        <v>15145.88</v>
      </c>
      <c r="G36" s="8">
        <f t="shared" si="6"/>
        <v>25236.080000000002</v>
      </c>
      <c r="H36" s="8">
        <f t="shared" si="6"/>
        <v>18008.73</v>
      </c>
      <c r="I36" s="8">
        <f t="shared" si="6"/>
        <v>18777.66</v>
      </c>
      <c r="J36" s="8">
        <f t="shared" si="6"/>
        <v>21166.42</v>
      </c>
      <c r="K36" s="8">
        <f t="shared" si="6"/>
        <v>21526.22</v>
      </c>
      <c r="L36" s="8">
        <f t="shared" si="6"/>
        <v>24633.68</v>
      </c>
      <c r="M36" s="8">
        <f t="shared" si="6"/>
        <v>28421.95</v>
      </c>
      <c r="N36" s="8">
        <f t="shared" si="6"/>
        <v>70173.179999999993</v>
      </c>
    </row>
    <row r="37" spans="1:14" x14ac:dyDescent="0.2">
      <c r="B37" s="5" t="s">
        <v>3</v>
      </c>
      <c r="C37" s="8">
        <f t="shared" ref="C37:N37" si="7">(C11)-(C36)</f>
        <v>194291.6</v>
      </c>
      <c r="D37" s="8">
        <f t="shared" si="7"/>
        <v>247765</v>
      </c>
      <c r="E37" s="8">
        <f t="shared" si="7"/>
        <v>210120.21</v>
      </c>
      <c r="F37" s="8">
        <f t="shared" si="7"/>
        <v>200095.12</v>
      </c>
      <c r="G37" s="8">
        <f t="shared" si="7"/>
        <v>191908.91999999998</v>
      </c>
      <c r="H37" s="8">
        <f t="shared" si="7"/>
        <v>211261.27</v>
      </c>
      <c r="I37" s="8">
        <f t="shared" si="7"/>
        <v>193645.34</v>
      </c>
      <c r="J37" s="8">
        <f t="shared" si="7"/>
        <v>219818.58000000002</v>
      </c>
      <c r="K37" s="8">
        <f t="shared" si="7"/>
        <v>245812.53</v>
      </c>
      <c r="L37" s="8">
        <f t="shared" si="7"/>
        <v>257642.82</v>
      </c>
      <c r="M37" s="8">
        <f t="shared" si="7"/>
        <v>279850.55</v>
      </c>
      <c r="N37" s="8">
        <f t="shared" si="7"/>
        <v>239323.32</v>
      </c>
    </row>
    <row r="38" spans="1:14" x14ac:dyDescent="0.2">
      <c r="B38" s="5" t="s">
        <v>2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B39" s="5" t="s">
        <v>59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B40" s="5" t="s">
        <v>60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B41" s="5" t="s">
        <v>61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B42" s="5" t="s">
        <v>62</v>
      </c>
      <c r="C42" s="7">
        <f>45692.32</f>
        <v>45692.32</v>
      </c>
      <c r="D42" s="7">
        <f>61480.74</f>
        <v>61480.74</v>
      </c>
      <c r="E42" s="7">
        <f>73019.19</f>
        <v>73019.19</v>
      </c>
      <c r="F42" s="7">
        <f>69173.04</f>
        <v>69173.039999999994</v>
      </c>
      <c r="G42" s="7">
        <f>113374.94</f>
        <v>113374.94</v>
      </c>
      <c r="H42" s="7">
        <f>102865.66</f>
        <v>102865.66</v>
      </c>
      <c r="I42" s="7">
        <f>99365.37</f>
        <v>99365.37</v>
      </c>
      <c r="J42" s="7">
        <f>102342.33</f>
        <v>102342.33</v>
      </c>
      <c r="K42" s="7">
        <f>119225.41</f>
        <v>119225.41</v>
      </c>
      <c r="L42" s="7">
        <f>125637.37</f>
        <v>125637.37</v>
      </c>
      <c r="M42" s="7">
        <f>183662.07</f>
        <v>183662.07</v>
      </c>
      <c r="N42" s="7">
        <f>-301558.98</f>
        <v>-301558.98</v>
      </c>
    </row>
    <row r="43" spans="1:14" x14ac:dyDescent="0.2">
      <c r="B43" s="5" t="s">
        <v>63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">
      <c r="B44" s="5" t="s">
        <v>64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7">
        <f>8133</f>
        <v>8133</v>
      </c>
    </row>
    <row r="45" spans="1:14" x14ac:dyDescent="0.2">
      <c r="B45" s="5" t="s">
        <v>65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7">
        <f>14334.47</f>
        <v>14334.47</v>
      </c>
    </row>
    <row r="46" spans="1:14" x14ac:dyDescent="0.2">
      <c r="B46" s="5" t="s">
        <v>66</v>
      </c>
      <c r="C46" s="6"/>
      <c r="D46" s="7">
        <f>750</f>
        <v>750</v>
      </c>
      <c r="E46" s="7">
        <f>750</f>
        <v>750</v>
      </c>
      <c r="F46" s="6"/>
      <c r="G46" s="6"/>
      <c r="H46" s="7">
        <f>2625</f>
        <v>2625</v>
      </c>
      <c r="I46" s="7">
        <f>750</f>
        <v>750</v>
      </c>
      <c r="J46" s="7">
        <f>850</f>
        <v>850</v>
      </c>
      <c r="K46" s="7">
        <f>890</f>
        <v>890</v>
      </c>
      <c r="L46" s="7">
        <f>1055</f>
        <v>1055</v>
      </c>
      <c r="M46" s="6"/>
      <c r="N46" s="7">
        <f>8300</f>
        <v>8300</v>
      </c>
    </row>
    <row r="47" spans="1:14" x14ac:dyDescent="0.2">
      <c r="B47" s="5" t="s">
        <v>67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7">
        <f>7079.88</f>
        <v>7079.88</v>
      </c>
      <c r="N47" s="7">
        <f>23304.64</f>
        <v>23304.639999999999</v>
      </c>
    </row>
    <row r="48" spans="1:14" x14ac:dyDescent="0.2">
      <c r="B48" s="5" t="s">
        <v>68</v>
      </c>
      <c r="C48" s="8">
        <f t="shared" ref="C48:N48" si="8">((((((C41)+(C42))+(C43))+(C44))+(C45))+(C46))+(C47)</f>
        <v>45692.32</v>
      </c>
      <c r="D48" s="8">
        <f t="shared" si="8"/>
        <v>62230.74</v>
      </c>
      <c r="E48" s="8">
        <f t="shared" si="8"/>
        <v>73769.19</v>
      </c>
      <c r="F48" s="8">
        <f t="shared" si="8"/>
        <v>69173.039999999994</v>
      </c>
      <c r="G48" s="8">
        <f t="shared" si="8"/>
        <v>113374.94</v>
      </c>
      <c r="H48" s="8">
        <f t="shared" si="8"/>
        <v>105490.66</v>
      </c>
      <c r="I48" s="8">
        <f t="shared" si="8"/>
        <v>100115.37</v>
      </c>
      <c r="J48" s="8">
        <f t="shared" si="8"/>
        <v>103192.33</v>
      </c>
      <c r="K48" s="8">
        <f t="shared" si="8"/>
        <v>120115.41</v>
      </c>
      <c r="L48" s="8">
        <f t="shared" si="8"/>
        <v>126692.37</v>
      </c>
      <c r="M48" s="8">
        <f t="shared" si="8"/>
        <v>190741.95</v>
      </c>
      <c r="N48" s="8">
        <f t="shared" si="8"/>
        <v>-247486.87</v>
      </c>
    </row>
    <row r="49" spans="2:14" x14ac:dyDescent="0.2">
      <c r="B49" s="5" t="s">
        <v>69</v>
      </c>
      <c r="C49" s="7">
        <f>4580.31</f>
        <v>4580.3100000000004</v>
      </c>
      <c r="D49" s="7">
        <f>5450.82</f>
        <v>5450.82</v>
      </c>
      <c r="E49" s="7">
        <f>7625.81</f>
        <v>7625.81</v>
      </c>
      <c r="F49" s="7">
        <f>5535.43</f>
        <v>5535.43</v>
      </c>
      <c r="G49" s="7">
        <f>8938.17</f>
        <v>8938.17</v>
      </c>
      <c r="H49" s="7">
        <f>8865.79</f>
        <v>8865.7900000000009</v>
      </c>
      <c r="I49" s="7">
        <f>7827.06</f>
        <v>7827.06</v>
      </c>
      <c r="J49" s="7">
        <f>7858.89</f>
        <v>7858.89</v>
      </c>
      <c r="K49" s="7">
        <f>13337.97</f>
        <v>13337.97</v>
      </c>
      <c r="L49" s="7">
        <f>8040.12</f>
        <v>8040.12</v>
      </c>
      <c r="M49" s="7">
        <f>13240.58</f>
        <v>13240.58</v>
      </c>
      <c r="N49" s="7">
        <f>-23775.91</f>
        <v>-23775.91</v>
      </c>
    </row>
    <row r="50" spans="2:14" x14ac:dyDescent="0.2">
      <c r="B50" s="5" t="s">
        <v>70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7">
        <f>-40825.3</f>
        <v>-40825.300000000003</v>
      </c>
    </row>
    <row r="51" spans="2:14" x14ac:dyDescent="0.2">
      <c r="B51" s="5" t="s">
        <v>71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2:14" x14ac:dyDescent="0.2">
      <c r="B52" s="5" t="s">
        <v>72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2:14" x14ac:dyDescent="0.2">
      <c r="B53" s="5" t="s">
        <v>73</v>
      </c>
      <c r="C53" s="8">
        <f t="shared" ref="C53:N53" si="9">(((((C40)+(C48))+(C49))+(C50))+(C51))+(C52)</f>
        <v>50272.63</v>
      </c>
      <c r="D53" s="8">
        <f t="shared" si="9"/>
        <v>67681.56</v>
      </c>
      <c r="E53" s="8">
        <f t="shared" si="9"/>
        <v>81395</v>
      </c>
      <c r="F53" s="8">
        <f t="shared" si="9"/>
        <v>74708.47</v>
      </c>
      <c r="G53" s="8">
        <f t="shared" si="9"/>
        <v>122313.11</v>
      </c>
      <c r="H53" s="8">
        <f t="shared" si="9"/>
        <v>114356.45000000001</v>
      </c>
      <c r="I53" s="8">
        <f t="shared" si="9"/>
        <v>107942.43</v>
      </c>
      <c r="J53" s="8">
        <f t="shared" si="9"/>
        <v>111051.22</v>
      </c>
      <c r="K53" s="8">
        <f t="shared" si="9"/>
        <v>133453.38</v>
      </c>
      <c r="L53" s="8">
        <f t="shared" si="9"/>
        <v>134732.49</v>
      </c>
      <c r="M53" s="8">
        <f t="shared" si="9"/>
        <v>203982.53</v>
      </c>
      <c r="N53" s="8">
        <f t="shared" si="9"/>
        <v>-312088.07999999996</v>
      </c>
    </row>
    <row r="54" spans="2:14" x14ac:dyDescent="0.2">
      <c r="B54" s="5" t="s">
        <v>74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7">
        <f>3920</f>
        <v>3920</v>
      </c>
      <c r="N54" s="6"/>
    </row>
    <row r="55" spans="2:14" x14ac:dyDescent="0.2">
      <c r="B55" s="5" t="s">
        <v>75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2:14" x14ac:dyDescent="0.2">
      <c r="B56" s="5" t="s">
        <v>76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2:14" x14ac:dyDescent="0.2">
      <c r="B57" s="5" t="s">
        <v>77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2:14" x14ac:dyDescent="0.2">
      <c r="B58" s="5" t="s">
        <v>78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2:14" x14ac:dyDescent="0.2">
      <c r="B59" s="5" t="s">
        <v>79</v>
      </c>
      <c r="C59" s="8">
        <f t="shared" ref="C59:N59" si="10">(((C55)+(C56))+(C57))+(C58)</f>
        <v>0</v>
      </c>
      <c r="D59" s="8">
        <f t="shared" si="10"/>
        <v>0</v>
      </c>
      <c r="E59" s="8">
        <f t="shared" si="10"/>
        <v>0</v>
      </c>
      <c r="F59" s="8">
        <f t="shared" si="10"/>
        <v>0</v>
      </c>
      <c r="G59" s="8">
        <f t="shared" si="10"/>
        <v>0</v>
      </c>
      <c r="H59" s="8">
        <f t="shared" si="10"/>
        <v>0</v>
      </c>
      <c r="I59" s="8">
        <f t="shared" si="10"/>
        <v>0</v>
      </c>
      <c r="J59" s="8">
        <f t="shared" si="10"/>
        <v>0</v>
      </c>
      <c r="K59" s="8">
        <f t="shared" si="10"/>
        <v>0</v>
      </c>
      <c r="L59" s="8">
        <f t="shared" si="10"/>
        <v>0</v>
      </c>
      <c r="M59" s="8">
        <f t="shared" si="10"/>
        <v>0</v>
      </c>
      <c r="N59" s="8">
        <f t="shared" si="10"/>
        <v>0</v>
      </c>
    </row>
    <row r="60" spans="2:14" x14ac:dyDescent="0.2">
      <c r="B60" s="5" t="s">
        <v>80</v>
      </c>
      <c r="C60" s="7">
        <f>171.03</f>
        <v>171.03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2:14" x14ac:dyDescent="0.2">
      <c r="B61" s="5" t="s">
        <v>81</v>
      </c>
      <c r="C61" s="6"/>
      <c r="D61" s="7">
        <f>307.88</f>
        <v>307.88</v>
      </c>
      <c r="E61" s="7">
        <f>292.56</f>
        <v>292.56</v>
      </c>
      <c r="F61" s="7">
        <f>287.24</f>
        <v>287.24</v>
      </c>
      <c r="G61" s="7">
        <f>204.66</f>
        <v>204.66</v>
      </c>
      <c r="H61" s="7">
        <f>468.34</f>
        <v>468.34</v>
      </c>
      <c r="I61" s="7">
        <f>414.94</f>
        <v>414.94</v>
      </c>
      <c r="J61" s="7">
        <f>398.79</f>
        <v>398.79</v>
      </c>
      <c r="K61" s="7">
        <f>620.43</f>
        <v>620.42999999999995</v>
      </c>
      <c r="L61" s="7">
        <f>326.23</f>
        <v>326.23</v>
      </c>
      <c r="M61" s="7">
        <f>353.31</f>
        <v>353.31</v>
      </c>
      <c r="N61" s="7">
        <f>567.11</f>
        <v>567.11</v>
      </c>
    </row>
    <row r="62" spans="2:14" x14ac:dyDescent="0.2">
      <c r="B62" s="5" t="s">
        <v>82</v>
      </c>
      <c r="C62" s="7">
        <f>821.51</f>
        <v>821.51</v>
      </c>
      <c r="D62" s="7">
        <f>805.46</f>
        <v>805.46</v>
      </c>
      <c r="E62" s="7">
        <f>888.03</f>
        <v>888.03</v>
      </c>
      <c r="F62" s="7">
        <f>913.11</f>
        <v>913.11</v>
      </c>
      <c r="G62" s="7">
        <f>906.11</f>
        <v>906.11</v>
      </c>
      <c r="H62" s="7">
        <f>1216.01</f>
        <v>1216.01</v>
      </c>
      <c r="I62" s="7">
        <f>1278.53</f>
        <v>1278.53</v>
      </c>
      <c r="J62" s="7">
        <f>1122.76</f>
        <v>1122.76</v>
      </c>
      <c r="K62" s="7">
        <f>953.38</f>
        <v>953.38</v>
      </c>
      <c r="L62" s="7">
        <f>1373.34</f>
        <v>1373.34</v>
      </c>
      <c r="M62" s="7">
        <f>1215.3</f>
        <v>1215.3</v>
      </c>
      <c r="N62" s="7">
        <f>1413.44</f>
        <v>1413.44</v>
      </c>
    </row>
    <row r="63" spans="2:14" x14ac:dyDescent="0.2">
      <c r="B63" s="5" t="s">
        <v>83</v>
      </c>
      <c r="C63" s="8">
        <f t="shared" ref="C63:N63" si="11">((C60)+(C61))+(C62)</f>
        <v>992.54</v>
      </c>
      <c r="D63" s="8">
        <f t="shared" si="11"/>
        <v>1113.3400000000001</v>
      </c>
      <c r="E63" s="8">
        <f t="shared" si="11"/>
        <v>1180.5899999999999</v>
      </c>
      <c r="F63" s="8">
        <f t="shared" si="11"/>
        <v>1200.3499999999999</v>
      </c>
      <c r="G63" s="8">
        <f t="shared" si="11"/>
        <v>1110.77</v>
      </c>
      <c r="H63" s="8">
        <f t="shared" si="11"/>
        <v>1684.35</v>
      </c>
      <c r="I63" s="8">
        <f t="shared" si="11"/>
        <v>1693.47</v>
      </c>
      <c r="J63" s="8">
        <f t="shared" si="11"/>
        <v>1521.55</v>
      </c>
      <c r="K63" s="8">
        <f t="shared" si="11"/>
        <v>1573.81</v>
      </c>
      <c r="L63" s="8">
        <f t="shared" si="11"/>
        <v>1699.57</v>
      </c>
      <c r="M63" s="8">
        <f t="shared" si="11"/>
        <v>1568.61</v>
      </c>
      <c r="N63" s="8">
        <f t="shared" si="11"/>
        <v>1980.5500000000002</v>
      </c>
    </row>
    <row r="64" spans="2:14" x14ac:dyDescent="0.2">
      <c r="B64" s="5" t="s">
        <v>84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">
      <c r="B65" s="5" t="s">
        <v>85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">
      <c r="B66" s="5" t="s">
        <v>86</v>
      </c>
      <c r="C66" s="6"/>
      <c r="D66" s="6"/>
      <c r="E66" s="6"/>
      <c r="F66" s="6"/>
      <c r="G66" s="6"/>
      <c r="H66" s="6"/>
      <c r="I66" s="6"/>
      <c r="J66" s="6"/>
      <c r="K66" s="7">
        <f>456</f>
        <v>456</v>
      </c>
      <c r="L66" s="6"/>
      <c r="M66" s="6"/>
      <c r="N66" s="6"/>
    </row>
    <row r="67" spans="1:14" x14ac:dyDescent="0.2">
      <c r="B67" s="5" t="s">
        <v>87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">
      <c r="B68" s="5" t="s">
        <v>88</v>
      </c>
      <c r="C68" s="6"/>
      <c r="D68" s="6"/>
      <c r="E68" s="6"/>
      <c r="F68" s="6"/>
      <c r="G68" s="6"/>
      <c r="H68" s="7">
        <f>519.5</f>
        <v>519.5</v>
      </c>
      <c r="I68" s="6"/>
      <c r="J68" s="6"/>
      <c r="K68" s="7">
        <f>99</f>
        <v>99</v>
      </c>
      <c r="L68" s="6"/>
      <c r="M68" s="6"/>
      <c r="N68" s="6"/>
    </row>
    <row r="69" spans="1:14" x14ac:dyDescent="0.2">
      <c r="B69" s="5" t="s">
        <v>89</v>
      </c>
      <c r="C69" s="6"/>
      <c r="D69" s="6"/>
      <c r="E69" s="6"/>
      <c r="F69" s="6"/>
      <c r="G69" s="7">
        <f>11262.5</f>
        <v>11262.5</v>
      </c>
      <c r="H69" s="6"/>
      <c r="I69" s="6"/>
      <c r="J69" s="6"/>
      <c r="K69" s="6"/>
      <c r="L69" s="6"/>
      <c r="M69" s="7">
        <f>200</f>
        <v>200</v>
      </c>
      <c r="N69" s="7">
        <f>10.49</f>
        <v>10.49</v>
      </c>
    </row>
    <row r="70" spans="1:14" x14ac:dyDescent="0.2">
      <c r="A70" s="13" t="s">
        <v>6</v>
      </c>
      <c r="B70" s="16" t="s">
        <v>90</v>
      </c>
      <c r="C70" s="8">
        <f t="shared" ref="C70:N70" si="12">((((((((((C39)+(C53))+(C54))+(C59))+(C63))+(C64))+(C65))+(C66))+(C67))+(C68))+(C69)</f>
        <v>51265.17</v>
      </c>
      <c r="D70" s="8">
        <f t="shared" si="12"/>
        <v>68794.899999999994</v>
      </c>
      <c r="E70" s="8">
        <f t="shared" si="12"/>
        <v>82575.59</v>
      </c>
      <c r="F70" s="8">
        <f t="shared" si="12"/>
        <v>75908.820000000007</v>
      </c>
      <c r="G70" s="8">
        <f t="shared" si="12"/>
        <v>134686.38</v>
      </c>
      <c r="H70" s="8">
        <f t="shared" si="12"/>
        <v>116560.30000000002</v>
      </c>
      <c r="I70" s="8">
        <f t="shared" si="12"/>
        <v>109635.9</v>
      </c>
      <c r="J70" s="8">
        <f t="shared" si="12"/>
        <v>112572.77</v>
      </c>
      <c r="K70" s="8">
        <f t="shared" si="12"/>
        <v>135582.19</v>
      </c>
      <c r="L70" s="8">
        <f t="shared" si="12"/>
        <v>136432.06</v>
      </c>
      <c r="M70" s="8">
        <f t="shared" si="12"/>
        <v>209671.13999999998</v>
      </c>
      <c r="N70" s="8">
        <f t="shared" si="12"/>
        <v>-310097.03999999998</v>
      </c>
    </row>
    <row r="71" spans="1:14" x14ac:dyDescent="0.2">
      <c r="B71" s="5" t="s">
        <v>91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">
      <c r="B72" s="5" t="s">
        <v>92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">
      <c r="B73" s="5" t="s">
        <v>93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">
      <c r="B74" s="5" t="s">
        <v>94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">
      <c r="B75" s="5" t="s">
        <v>95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">
      <c r="B76" s="5" t="s">
        <v>96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">
      <c r="B77" s="5" t="s">
        <v>97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">
      <c r="B78" s="5" t="s">
        <v>98</v>
      </c>
      <c r="C78" s="8">
        <f t="shared" ref="C78:N78" si="13">((((C73)+(C74))+(C75))+(C76))+(C77)</f>
        <v>0</v>
      </c>
      <c r="D78" s="8">
        <f t="shared" si="13"/>
        <v>0</v>
      </c>
      <c r="E78" s="8">
        <f t="shared" si="13"/>
        <v>0</v>
      </c>
      <c r="F78" s="8">
        <f t="shared" si="13"/>
        <v>0</v>
      </c>
      <c r="G78" s="8">
        <f t="shared" si="13"/>
        <v>0</v>
      </c>
      <c r="H78" s="8">
        <f t="shared" si="13"/>
        <v>0</v>
      </c>
      <c r="I78" s="8">
        <f t="shared" si="13"/>
        <v>0</v>
      </c>
      <c r="J78" s="8">
        <f t="shared" si="13"/>
        <v>0</v>
      </c>
      <c r="K78" s="8">
        <f t="shared" si="13"/>
        <v>0</v>
      </c>
      <c r="L78" s="8">
        <f t="shared" si="13"/>
        <v>0</v>
      </c>
      <c r="M78" s="8">
        <f t="shared" si="13"/>
        <v>0</v>
      </c>
      <c r="N78" s="8">
        <f t="shared" si="13"/>
        <v>0</v>
      </c>
    </row>
    <row r="79" spans="1:14" x14ac:dyDescent="0.2">
      <c r="B79" s="5" t="s">
        <v>99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">
      <c r="B80" s="5" t="s">
        <v>100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2:14" x14ac:dyDescent="0.2">
      <c r="B81" s="5" t="s">
        <v>101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2:14" x14ac:dyDescent="0.2">
      <c r="B82" s="5" t="s">
        <v>102</v>
      </c>
      <c r="C82" s="8">
        <f t="shared" ref="C82:N82" si="14">((((C72)+(C78))+(C79))+(C80))+(C81)</f>
        <v>0</v>
      </c>
      <c r="D82" s="8">
        <f t="shared" si="14"/>
        <v>0</v>
      </c>
      <c r="E82" s="8">
        <f t="shared" si="14"/>
        <v>0</v>
      </c>
      <c r="F82" s="8">
        <f t="shared" si="14"/>
        <v>0</v>
      </c>
      <c r="G82" s="8">
        <f t="shared" si="14"/>
        <v>0</v>
      </c>
      <c r="H82" s="8">
        <f t="shared" si="14"/>
        <v>0</v>
      </c>
      <c r="I82" s="8">
        <f t="shared" si="14"/>
        <v>0</v>
      </c>
      <c r="J82" s="8">
        <f t="shared" si="14"/>
        <v>0</v>
      </c>
      <c r="K82" s="8">
        <f t="shared" si="14"/>
        <v>0</v>
      </c>
      <c r="L82" s="8">
        <f t="shared" si="14"/>
        <v>0</v>
      </c>
      <c r="M82" s="8">
        <f t="shared" si="14"/>
        <v>0</v>
      </c>
      <c r="N82" s="8">
        <f t="shared" si="14"/>
        <v>0</v>
      </c>
    </row>
    <row r="83" spans="2:14" x14ac:dyDescent="0.2">
      <c r="B83" s="5" t="s">
        <v>103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2:14" x14ac:dyDescent="0.2">
      <c r="B84" s="5" t="s">
        <v>104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2:14" x14ac:dyDescent="0.2">
      <c r="B85" s="5" t="s">
        <v>105</v>
      </c>
      <c r="C85" s="6"/>
      <c r="D85" s="6"/>
      <c r="E85" s="6"/>
      <c r="F85" s="7">
        <f>3476.49</f>
        <v>3476.49</v>
      </c>
      <c r="G85" s="7">
        <f>1208.28</f>
        <v>1208.28</v>
      </c>
      <c r="H85" s="6"/>
      <c r="I85" s="7">
        <f>-770.53</f>
        <v>-770.53</v>
      </c>
      <c r="J85" s="7">
        <f>16744.66</f>
        <v>16744.66</v>
      </c>
      <c r="K85" s="7">
        <f>36421.64</f>
        <v>36421.64</v>
      </c>
      <c r="L85" s="7">
        <f>4826.19</f>
        <v>4826.1899999999996</v>
      </c>
      <c r="M85" s="7">
        <f>1785.69</f>
        <v>1785.69</v>
      </c>
      <c r="N85" s="6"/>
    </row>
    <row r="86" spans="2:14" x14ac:dyDescent="0.2">
      <c r="B86" s="5" t="s">
        <v>106</v>
      </c>
      <c r="C86" s="7">
        <f>5000</f>
        <v>5000</v>
      </c>
      <c r="D86" s="7">
        <f>23500</f>
        <v>23500</v>
      </c>
      <c r="E86" s="7">
        <f>1750</f>
        <v>1750</v>
      </c>
      <c r="F86" s="7">
        <f>26486.5</f>
        <v>26486.5</v>
      </c>
      <c r="G86" s="7">
        <f>33246.45</f>
        <v>33246.449999999997</v>
      </c>
      <c r="H86" s="7">
        <f>6500</f>
        <v>6500</v>
      </c>
      <c r="I86" s="7">
        <f>29700</f>
        <v>29700</v>
      </c>
      <c r="J86" s="7">
        <f>11500</f>
        <v>11500</v>
      </c>
      <c r="K86" s="7">
        <f>60350</f>
        <v>60350</v>
      </c>
      <c r="L86" s="7">
        <f>4910</f>
        <v>4910</v>
      </c>
      <c r="M86" s="6"/>
      <c r="N86" s="7">
        <f>-49750</f>
        <v>-49750</v>
      </c>
    </row>
    <row r="87" spans="2:14" x14ac:dyDescent="0.2">
      <c r="B87" s="5" t="s">
        <v>107</v>
      </c>
      <c r="C87" s="8">
        <f t="shared" ref="C87:N87" si="15">((C84)+(C85))+(C86)</f>
        <v>5000</v>
      </c>
      <c r="D87" s="8">
        <f t="shared" si="15"/>
        <v>23500</v>
      </c>
      <c r="E87" s="8">
        <f t="shared" si="15"/>
        <v>1750</v>
      </c>
      <c r="F87" s="8">
        <f t="shared" si="15"/>
        <v>29962.989999999998</v>
      </c>
      <c r="G87" s="8">
        <f t="shared" si="15"/>
        <v>34454.729999999996</v>
      </c>
      <c r="H87" s="8">
        <f t="shared" si="15"/>
        <v>6500</v>
      </c>
      <c r="I87" s="8">
        <f t="shared" si="15"/>
        <v>28929.47</v>
      </c>
      <c r="J87" s="8">
        <f t="shared" si="15"/>
        <v>28244.66</v>
      </c>
      <c r="K87" s="8">
        <f t="shared" si="15"/>
        <v>96771.64</v>
      </c>
      <c r="L87" s="8">
        <f t="shared" si="15"/>
        <v>9736.1899999999987</v>
      </c>
      <c r="M87" s="8">
        <f t="shared" si="15"/>
        <v>1785.69</v>
      </c>
      <c r="N87" s="8">
        <f t="shared" si="15"/>
        <v>-49750</v>
      </c>
    </row>
    <row r="88" spans="2:14" x14ac:dyDescent="0.2">
      <c r="B88" s="5" t="s">
        <v>108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2:14" x14ac:dyDescent="0.2">
      <c r="B89" s="5" t="s">
        <v>109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2:14" x14ac:dyDescent="0.2">
      <c r="B90" s="5" t="s">
        <v>110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2:14" x14ac:dyDescent="0.2">
      <c r="B91" s="5" t="s">
        <v>111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2:14" x14ac:dyDescent="0.2">
      <c r="B92" s="5" t="s">
        <v>112</v>
      </c>
      <c r="C92" s="7">
        <f>12000</f>
        <v>12000</v>
      </c>
      <c r="D92" s="6"/>
      <c r="E92" s="6"/>
      <c r="F92" s="7">
        <f>8000</f>
        <v>8000</v>
      </c>
      <c r="G92" s="6"/>
      <c r="H92" s="6"/>
      <c r="I92" s="7">
        <f>12000</f>
        <v>12000</v>
      </c>
      <c r="J92" s="6"/>
      <c r="K92" s="7">
        <f>12000</f>
        <v>12000</v>
      </c>
      <c r="L92" s="6"/>
      <c r="M92" s="6"/>
      <c r="N92" s="7">
        <f>4000</f>
        <v>4000</v>
      </c>
    </row>
    <row r="93" spans="2:14" x14ac:dyDescent="0.2">
      <c r="B93" s="5" t="s">
        <v>113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2:14" x14ac:dyDescent="0.2">
      <c r="B94" s="5" t="s">
        <v>114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7">
        <f>195</f>
        <v>195</v>
      </c>
      <c r="N94" s="7">
        <f>-195</f>
        <v>-195</v>
      </c>
    </row>
    <row r="95" spans="2:14" x14ac:dyDescent="0.2">
      <c r="B95" s="5" t="s">
        <v>115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2:14" x14ac:dyDescent="0.2">
      <c r="B96" s="5" t="s">
        <v>116</v>
      </c>
      <c r="C96" s="7">
        <f>59.95</f>
        <v>59.95</v>
      </c>
      <c r="D96" s="6"/>
      <c r="E96" s="6"/>
      <c r="F96" s="6"/>
      <c r="G96" s="6"/>
      <c r="H96" s="6"/>
      <c r="I96" s="6"/>
      <c r="J96" s="6"/>
      <c r="K96" s="7">
        <f>708.5</f>
        <v>708.5</v>
      </c>
      <c r="L96" s="6"/>
      <c r="M96" s="6"/>
      <c r="N96" s="6"/>
    </row>
    <row r="97" spans="1:14" x14ac:dyDescent="0.2">
      <c r="B97" s="5" t="s">
        <v>117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">
      <c r="B98" s="5" t="s">
        <v>118</v>
      </c>
      <c r="C98" s="8">
        <f t="shared" ref="C98:N98" si="16">((((C93)+(C94))+(C95))+(C96))+(C97)</f>
        <v>59.95</v>
      </c>
      <c r="D98" s="8">
        <f t="shared" si="16"/>
        <v>0</v>
      </c>
      <c r="E98" s="8">
        <f t="shared" si="16"/>
        <v>0</v>
      </c>
      <c r="F98" s="8">
        <f t="shared" si="16"/>
        <v>0</v>
      </c>
      <c r="G98" s="8">
        <f t="shared" si="16"/>
        <v>0</v>
      </c>
      <c r="H98" s="8">
        <f t="shared" si="16"/>
        <v>0</v>
      </c>
      <c r="I98" s="8">
        <f t="shared" si="16"/>
        <v>0</v>
      </c>
      <c r="J98" s="8">
        <f t="shared" si="16"/>
        <v>0</v>
      </c>
      <c r="K98" s="8">
        <f t="shared" si="16"/>
        <v>708.5</v>
      </c>
      <c r="L98" s="8">
        <f t="shared" si="16"/>
        <v>0</v>
      </c>
      <c r="M98" s="8">
        <f t="shared" si="16"/>
        <v>195</v>
      </c>
      <c r="N98" s="8">
        <f t="shared" si="16"/>
        <v>-195</v>
      </c>
    </row>
    <row r="99" spans="1:14" x14ac:dyDescent="0.2">
      <c r="B99" s="5" t="s">
        <v>119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">
      <c r="B100" s="5" t="s">
        <v>120</v>
      </c>
      <c r="C100" s="7">
        <f>2008.33</f>
        <v>2008.33</v>
      </c>
      <c r="D100" s="7">
        <f>812.23</f>
        <v>812.23</v>
      </c>
      <c r="E100" s="7">
        <f>1253.7</f>
        <v>1253.7</v>
      </c>
      <c r="F100" s="6"/>
      <c r="G100" s="7">
        <f>1178.97</f>
        <v>1178.97</v>
      </c>
      <c r="H100" s="7">
        <f>321.4</f>
        <v>321.39999999999998</v>
      </c>
      <c r="I100" s="6"/>
      <c r="J100" s="7">
        <f>432.7</f>
        <v>432.7</v>
      </c>
      <c r="K100" s="7">
        <f>1151.76</f>
        <v>1151.76</v>
      </c>
      <c r="L100" s="6"/>
      <c r="M100" s="7">
        <f>90.34</f>
        <v>90.34</v>
      </c>
      <c r="N100" s="7">
        <f>6113.15</f>
        <v>6113.15</v>
      </c>
    </row>
    <row r="101" spans="1:14" x14ac:dyDescent="0.2">
      <c r="B101" s="5" t="s">
        <v>121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">
      <c r="B102" s="5" t="s">
        <v>122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">
      <c r="B103" s="5" t="s">
        <v>123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">
      <c r="B104" s="5" t="s">
        <v>124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">
      <c r="B105" s="5" t="s">
        <v>125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">
      <c r="B106" s="5" t="s">
        <v>126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">
      <c r="B107" s="5" t="s">
        <v>127</v>
      </c>
      <c r="C107" s="8">
        <f t="shared" ref="C107:N107" si="17">((((C102)+(C103))+(C104))+(C105))+(C106)</f>
        <v>0</v>
      </c>
      <c r="D107" s="8">
        <f t="shared" si="17"/>
        <v>0</v>
      </c>
      <c r="E107" s="8">
        <f t="shared" si="17"/>
        <v>0</v>
      </c>
      <c r="F107" s="8">
        <f t="shared" si="17"/>
        <v>0</v>
      </c>
      <c r="G107" s="8">
        <f t="shared" si="17"/>
        <v>0</v>
      </c>
      <c r="H107" s="8">
        <f t="shared" si="17"/>
        <v>0</v>
      </c>
      <c r="I107" s="8">
        <f t="shared" si="17"/>
        <v>0</v>
      </c>
      <c r="J107" s="8">
        <f t="shared" si="17"/>
        <v>0</v>
      </c>
      <c r="K107" s="8">
        <f t="shared" si="17"/>
        <v>0</v>
      </c>
      <c r="L107" s="8">
        <f t="shared" si="17"/>
        <v>0</v>
      </c>
      <c r="M107" s="8">
        <f t="shared" si="17"/>
        <v>0</v>
      </c>
      <c r="N107" s="8">
        <f t="shared" si="17"/>
        <v>0</v>
      </c>
    </row>
    <row r="108" spans="1:14" x14ac:dyDescent="0.2">
      <c r="B108" s="5" t="s">
        <v>128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">
      <c r="B109" s="5" t="s">
        <v>129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">
      <c r="B110" s="5" t="s">
        <v>130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">
      <c r="B111" s="5" t="s">
        <v>131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">
      <c r="A112" s="13" t="s">
        <v>8</v>
      </c>
      <c r="B112" s="16" t="s">
        <v>132</v>
      </c>
      <c r="C112" s="8">
        <f t="shared" ref="C112:N112" si="18">(((((((((((((((((C71)+(C82))+(C83))+(C87))+(C88))+(C89))+(C90))+(C91))+(C92))+(C98))+(C99))+(C100))+(C101))+(C107))+(C108))+(C109))+(C110))+(C111)</f>
        <v>19068.28</v>
      </c>
      <c r="D112" s="8">
        <f t="shared" si="18"/>
        <v>24312.23</v>
      </c>
      <c r="E112" s="8">
        <f t="shared" si="18"/>
        <v>3003.7</v>
      </c>
      <c r="F112" s="8">
        <f t="shared" si="18"/>
        <v>37962.99</v>
      </c>
      <c r="G112" s="8">
        <f t="shared" si="18"/>
        <v>35633.699999999997</v>
      </c>
      <c r="H112" s="8">
        <f t="shared" si="18"/>
        <v>6821.4</v>
      </c>
      <c r="I112" s="8">
        <f t="shared" si="18"/>
        <v>40929.47</v>
      </c>
      <c r="J112" s="8">
        <f t="shared" si="18"/>
        <v>28677.360000000001</v>
      </c>
      <c r="K112" s="8">
        <f t="shared" si="18"/>
        <v>110631.9</v>
      </c>
      <c r="L112" s="8">
        <f t="shared" si="18"/>
        <v>9736.1899999999987</v>
      </c>
      <c r="M112" s="8">
        <f t="shared" si="18"/>
        <v>2071.0300000000002</v>
      </c>
      <c r="N112" s="8">
        <f t="shared" si="18"/>
        <v>-39831.85</v>
      </c>
    </row>
    <row r="113" spans="2:14" x14ac:dyDescent="0.2">
      <c r="B113" s="5" t="s">
        <v>133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2:14" x14ac:dyDescent="0.2">
      <c r="B114" s="5" t="s">
        <v>134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2:14" x14ac:dyDescent="0.2">
      <c r="B115" s="5" t="s">
        <v>135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2:14" x14ac:dyDescent="0.2">
      <c r="B116" s="5" t="s">
        <v>136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7">
        <f>16634.62</f>
        <v>16634.62</v>
      </c>
    </row>
    <row r="117" spans="2:14" x14ac:dyDescent="0.2">
      <c r="B117" s="5" t="s">
        <v>137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2:14" x14ac:dyDescent="0.2">
      <c r="B118" s="5" t="s">
        <v>138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7">
        <f>17406</f>
        <v>17406</v>
      </c>
    </row>
    <row r="119" spans="2:14" x14ac:dyDescent="0.2">
      <c r="B119" s="5" t="s">
        <v>139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7">
        <f>10592.98</f>
        <v>10592.98</v>
      </c>
    </row>
    <row r="120" spans="2:14" x14ac:dyDescent="0.2">
      <c r="B120" s="5" t="s">
        <v>140</v>
      </c>
      <c r="C120" s="8">
        <f t="shared" ref="C120:N120" si="19">((((C115)+(C116))+(C117))+(C118))+(C119)</f>
        <v>0</v>
      </c>
      <c r="D120" s="8">
        <f t="shared" si="19"/>
        <v>0</v>
      </c>
      <c r="E120" s="8">
        <f t="shared" si="19"/>
        <v>0</v>
      </c>
      <c r="F120" s="8">
        <f t="shared" si="19"/>
        <v>0</v>
      </c>
      <c r="G120" s="8">
        <f t="shared" si="19"/>
        <v>0</v>
      </c>
      <c r="H120" s="8">
        <f t="shared" si="19"/>
        <v>0</v>
      </c>
      <c r="I120" s="8">
        <f t="shared" si="19"/>
        <v>0</v>
      </c>
      <c r="J120" s="8">
        <f t="shared" si="19"/>
        <v>0</v>
      </c>
      <c r="K120" s="8">
        <f t="shared" si="19"/>
        <v>0</v>
      </c>
      <c r="L120" s="8">
        <f t="shared" si="19"/>
        <v>0</v>
      </c>
      <c r="M120" s="8">
        <f t="shared" si="19"/>
        <v>0</v>
      </c>
      <c r="N120" s="8">
        <f t="shared" si="19"/>
        <v>44633.599999999991</v>
      </c>
    </row>
    <row r="121" spans="2:14" x14ac:dyDescent="0.2">
      <c r="B121" s="5" t="s">
        <v>141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7">
        <f>1112.46</f>
        <v>1112.46</v>
      </c>
    </row>
    <row r="122" spans="2:14" x14ac:dyDescent="0.2">
      <c r="B122" s="5" t="s">
        <v>142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7">
        <f>1754.6</f>
        <v>1754.6</v>
      </c>
    </row>
    <row r="123" spans="2:14" x14ac:dyDescent="0.2">
      <c r="B123" s="5" t="s">
        <v>143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2:14" x14ac:dyDescent="0.2">
      <c r="B124" s="5" t="s">
        <v>144</v>
      </c>
      <c r="C124" s="8">
        <f t="shared" ref="C124:N124" si="20">((((C114)+(C120))+(C121))+(C122))+(C123)</f>
        <v>0</v>
      </c>
      <c r="D124" s="8">
        <f t="shared" si="20"/>
        <v>0</v>
      </c>
      <c r="E124" s="8">
        <f t="shared" si="20"/>
        <v>0</v>
      </c>
      <c r="F124" s="8">
        <f t="shared" si="20"/>
        <v>0</v>
      </c>
      <c r="G124" s="8">
        <f t="shared" si="20"/>
        <v>0</v>
      </c>
      <c r="H124" s="8">
        <f t="shared" si="20"/>
        <v>0</v>
      </c>
      <c r="I124" s="8">
        <f t="shared" si="20"/>
        <v>0</v>
      </c>
      <c r="J124" s="8">
        <f t="shared" si="20"/>
        <v>0</v>
      </c>
      <c r="K124" s="8">
        <f t="shared" si="20"/>
        <v>0</v>
      </c>
      <c r="L124" s="8">
        <f t="shared" si="20"/>
        <v>0</v>
      </c>
      <c r="M124" s="8">
        <f t="shared" si="20"/>
        <v>0</v>
      </c>
      <c r="N124" s="8">
        <f t="shared" si="20"/>
        <v>47500.659999999989</v>
      </c>
    </row>
    <row r="125" spans="2:14" x14ac:dyDescent="0.2">
      <c r="B125" s="5" t="s">
        <v>145</v>
      </c>
      <c r="C125" s="6"/>
      <c r="D125" s="6"/>
      <c r="E125" s="7">
        <f>23562</f>
        <v>23562</v>
      </c>
      <c r="F125" s="6"/>
      <c r="G125" s="6"/>
      <c r="H125" s="7">
        <f>5211.2</f>
        <v>5211.2</v>
      </c>
      <c r="I125" s="6"/>
      <c r="J125" s="6"/>
      <c r="K125" s="7">
        <f>225127.4</f>
        <v>225127.4</v>
      </c>
      <c r="L125" s="6"/>
      <c r="M125" s="7">
        <f>6207.3</f>
        <v>6207.3</v>
      </c>
      <c r="N125" s="7">
        <f>17176</f>
        <v>17176</v>
      </c>
    </row>
    <row r="126" spans="2:14" x14ac:dyDescent="0.2">
      <c r="B126" s="5" t="s">
        <v>146</v>
      </c>
      <c r="C126" s="7">
        <f>148000</f>
        <v>148000</v>
      </c>
      <c r="D126" s="6"/>
      <c r="E126" s="7">
        <f>227969.4</f>
        <v>227969.4</v>
      </c>
      <c r="F126" s="7">
        <f>67860</f>
        <v>67860</v>
      </c>
      <c r="G126" s="6"/>
      <c r="H126" s="6"/>
      <c r="I126" s="6"/>
      <c r="J126" s="6"/>
      <c r="K126" s="7">
        <f>1101</f>
        <v>1101</v>
      </c>
      <c r="L126" s="7">
        <f>23265</f>
        <v>23265</v>
      </c>
      <c r="M126" s="7">
        <f>4620</f>
        <v>4620</v>
      </c>
      <c r="N126" s="7">
        <f>84555</f>
        <v>84555</v>
      </c>
    </row>
    <row r="127" spans="2:14" x14ac:dyDescent="0.2">
      <c r="B127" s="5" t="s">
        <v>147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7">
        <f>8430</f>
        <v>8430</v>
      </c>
    </row>
    <row r="128" spans="2:14" x14ac:dyDescent="0.2">
      <c r="B128" s="5" t="s">
        <v>148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2:14" x14ac:dyDescent="0.2">
      <c r="B129" s="5" t="s">
        <v>149</v>
      </c>
      <c r="C129" s="6"/>
      <c r="D129" s="6"/>
      <c r="E129" s="6"/>
      <c r="F129" s="7">
        <f>76.23</f>
        <v>76.23</v>
      </c>
      <c r="G129" s="6"/>
      <c r="H129" s="6"/>
      <c r="I129" s="6"/>
      <c r="J129" s="6"/>
      <c r="K129" s="6"/>
      <c r="L129" s="7">
        <f>110.81</f>
        <v>110.81</v>
      </c>
      <c r="M129" s="6"/>
      <c r="N129" s="7">
        <f>1458.59</f>
        <v>1458.59</v>
      </c>
    </row>
    <row r="130" spans="2:14" x14ac:dyDescent="0.2">
      <c r="B130" s="5" t="s">
        <v>150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2:14" x14ac:dyDescent="0.2">
      <c r="B131" s="5" t="s">
        <v>151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7">
        <f>1665.83</f>
        <v>1665.83</v>
      </c>
    </row>
    <row r="132" spans="2:14" x14ac:dyDescent="0.2">
      <c r="B132" s="5" t="s">
        <v>152</v>
      </c>
      <c r="C132" s="6"/>
      <c r="D132" s="6"/>
      <c r="E132" s="7">
        <f>8300</f>
        <v>8300</v>
      </c>
      <c r="F132" s="7">
        <f>4393</f>
        <v>4393</v>
      </c>
      <c r="G132" s="6"/>
      <c r="H132" s="7">
        <f>9786</f>
        <v>9786</v>
      </c>
      <c r="I132" s="6"/>
      <c r="J132" s="7">
        <f>12546.89</f>
        <v>12546.89</v>
      </c>
      <c r="K132" s="6"/>
      <c r="L132" s="7">
        <f>14509.95</f>
        <v>14509.95</v>
      </c>
      <c r="M132" s="7">
        <f>81.57</f>
        <v>81.569999999999993</v>
      </c>
      <c r="N132" s="7">
        <f>4256.91</f>
        <v>4256.91</v>
      </c>
    </row>
    <row r="133" spans="2:14" x14ac:dyDescent="0.2">
      <c r="B133" s="5" t="s">
        <v>153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2:14" x14ac:dyDescent="0.2">
      <c r="B134" s="5" t="s">
        <v>154</v>
      </c>
      <c r="C134" s="7">
        <f>9983.24</f>
        <v>9983.24</v>
      </c>
      <c r="D134" s="7">
        <f>10590.76</f>
        <v>10590.76</v>
      </c>
      <c r="E134" s="7">
        <f>6028.91</f>
        <v>6028.91</v>
      </c>
      <c r="F134" s="7">
        <f>8398.22</f>
        <v>8398.2199999999993</v>
      </c>
      <c r="G134" s="7">
        <f>16517.38</f>
        <v>16517.38</v>
      </c>
      <c r="H134" s="7">
        <f>6691.57</f>
        <v>6691.57</v>
      </c>
      <c r="I134" s="7">
        <f>8789.81</f>
        <v>8789.81</v>
      </c>
      <c r="J134" s="7">
        <f>14428.68</f>
        <v>14428.68</v>
      </c>
      <c r="K134" s="7">
        <f>10144.43</f>
        <v>10144.43</v>
      </c>
      <c r="L134" s="7">
        <f>21964.88</f>
        <v>21964.880000000001</v>
      </c>
      <c r="M134" s="7">
        <f>14991.41</f>
        <v>14991.41</v>
      </c>
      <c r="N134" s="7">
        <f>18381.34</f>
        <v>18381.34</v>
      </c>
    </row>
    <row r="135" spans="2:14" x14ac:dyDescent="0.2">
      <c r="B135" s="5" t="s">
        <v>155</v>
      </c>
      <c r="C135" s="7">
        <f>4426.87</f>
        <v>4426.87</v>
      </c>
      <c r="D135" s="7">
        <f>8069.13</f>
        <v>8069.13</v>
      </c>
      <c r="E135" s="7">
        <f>5364.93</f>
        <v>5364.93</v>
      </c>
      <c r="F135" s="7">
        <f>4017.06</f>
        <v>4017.06</v>
      </c>
      <c r="G135" s="7">
        <f>7101.18</f>
        <v>7101.18</v>
      </c>
      <c r="H135" s="7">
        <f>7048.96</f>
        <v>7048.96</v>
      </c>
      <c r="I135" s="7">
        <f>6230.57</f>
        <v>6230.57</v>
      </c>
      <c r="J135" s="7">
        <f>8694.01</f>
        <v>8694.01</v>
      </c>
      <c r="K135" s="7">
        <f>2893.36</f>
        <v>2893.36</v>
      </c>
      <c r="L135" s="7">
        <f>7544.61</f>
        <v>7544.61</v>
      </c>
      <c r="M135" s="7">
        <f>6929.59</f>
        <v>6929.59</v>
      </c>
      <c r="N135" s="7">
        <f>8770.8</f>
        <v>8770.7999999999993</v>
      </c>
    </row>
    <row r="136" spans="2:14" x14ac:dyDescent="0.2">
      <c r="B136" s="5" t="s">
        <v>156</v>
      </c>
      <c r="C136" s="7">
        <f>601.14</f>
        <v>601.14</v>
      </c>
      <c r="D136" s="7">
        <f>2230.79</f>
        <v>2230.79</v>
      </c>
      <c r="E136" s="7">
        <f>2170.96</f>
        <v>2170.96</v>
      </c>
      <c r="F136" s="7">
        <f>936.74</f>
        <v>936.74</v>
      </c>
      <c r="G136" s="7">
        <f>1785.89</f>
        <v>1785.89</v>
      </c>
      <c r="H136" s="7">
        <f>463.75</f>
        <v>463.75</v>
      </c>
      <c r="I136" s="7">
        <f>1195.61</f>
        <v>1195.6099999999999</v>
      </c>
      <c r="J136" s="7">
        <f>1091.53</f>
        <v>1091.53</v>
      </c>
      <c r="K136" s="7">
        <f>1762.85</f>
        <v>1762.85</v>
      </c>
      <c r="L136" s="7">
        <f>2720.9</f>
        <v>2720.9</v>
      </c>
      <c r="M136" s="7">
        <f>1278.49</f>
        <v>1278.49</v>
      </c>
      <c r="N136" s="7">
        <f>1509.47</f>
        <v>1509.47</v>
      </c>
    </row>
    <row r="137" spans="2:14" x14ac:dyDescent="0.2">
      <c r="B137" s="5" t="s">
        <v>157</v>
      </c>
      <c r="C137" s="8">
        <f t="shared" ref="C137:N137" si="21">(((C133)+(C134))+(C135))+(C136)</f>
        <v>15011.25</v>
      </c>
      <c r="D137" s="8">
        <f t="shared" si="21"/>
        <v>20890.68</v>
      </c>
      <c r="E137" s="8">
        <f t="shared" si="21"/>
        <v>13564.8</v>
      </c>
      <c r="F137" s="8">
        <f t="shared" si="21"/>
        <v>13352.019999999999</v>
      </c>
      <c r="G137" s="8">
        <f t="shared" si="21"/>
        <v>25404.45</v>
      </c>
      <c r="H137" s="8">
        <f t="shared" si="21"/>
        <v>14204.279999999999</v>
      </c>
      <c r="I137" s="8">
        <f t="shared" si="21"/>
        <v>16215.99</v>
      </c>
      <c r="J137" s="8">
        <f t="shared" si="21"/>
        <v>24214.22</v>
      </c>
      <c r="K137" s="8">
        <f t="shared" si="21"/>
        <v>14800.640000000001</v>
      </c>
      <c r="L137" s="8">
        <f t="shared" si="21"/>
        <v>32230.390000000003</v>
      </c>
      <c r="M137" s="8">
        <f t="shared" si="21"/>
        <v>23199.49</v>
      </c>
      <c r="N137" s="8">
        <f t="shared" si="21"/>
        <v>28661.61</v>
      </c>
    </row>
    <row r="138" spans="2:14" x14ac:dyDescent="0.2">
      <c r="B138" s="5" t="s">
        <v>158</v>
      </c>
      <c r="C138" s="7">
        <f>899.1</f>
        <v>899.1</v>
      </c>
      <c r="D138" s="7">
        <f>1726.74</f>
        <v>1726.74</v>
      </c>
      <c r="E138" s="7">
        <f>3069.69</f>
        <v>3069.69</v>
      </c>
      <c r="F138" s="7">
        <f>1411.26</f>
        <v>1411.26</v>
      </c>
      <c r="G138" s="7">
        <f>5164.94</f>
        <v>5164.9399999999996</v>
      </c>
      <c r="H138" s="7">
        <f>1878.84</f>
        <v>1878.84</v>
      </c>
      <c r="I138" s="7">
        <f>748.51</f>
        <v>748.51</v>
      </c>
      <c r="J138" s="7">
        <f>2753.42</f>
        <v>2753.42</v>
      </c>
      <c r="K138" s="7">
        <f>2891.81</f>
        <v>2891.81</v>
      </c>
      <c r="L138" s="7">
        <f>4526.88</f>
        <v>4526.88</v>
      </c>
      <c r="M138" s="7">
        <f>1933.34</f>
        <v>1933.34</v>
      </c>
      <c r="N138" s="7">
        <f>1320.46</f>
        <v>1320.46</v>
      </c>
    </row>
    <row r="139" spans="2:14" x14ac:dyDescent="0.2">
      <c r="B139" s="5" t="s">
        <v>159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2:14" x14ac:dyDescent="0.2">
      <c r="B140" s="5" t="s">
        <v>160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2:14" x14ac:dyDescent="0.2">
      <c r="B141" s="5" t="s">
        <v>161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2:14" x14ac:dyDescent="0.2">
      <c r="B142" s="5" t="s">
        <v>162</v>
      </c>
      <c r="C142" s="6"/>
      <c r="D142" s="7">
        <f>-585</f>
        <v>-585</v>
      </c>
      <c r="E142" s="6"/>
      <c r="F142" s="7">
        <f>1066</f>
        <v>1066</v>
      </c>
      <c r="G142" s="6"/>
      <c r="H142" s="6"/>
      <c r="I142" s="6"/>
      <c r="J142" s="6"/>
      <c r="K142" s="6"/>
      <c r="L142" s="6"/>
      <c r="M142" s="6"/>
      <c r="N142" s="7">
        <f>25277.6</f>
        <v>25277.599999999999</v>
      </c>
    </row>
    <row r="143" spans="2:14" x14ac:dyDescent="0.2">
      <c r="B143" s="5" t="s">
        <v>163</v>
      </c>
      <c r="C143" s="7">
        <f>585.24</f>
        <v>585.24</v>
      </c>
      <c r="D143" s="6"/>
      <c r="E143" s="7">
        <f>56.75</f>
        <v>56.75</v>
      </c>
      <c r="F143" s="7">
        <f>319.02</f>
        <v>319.02</v>
      </c>
      <c r="G143" s="7">
        <f>321.08</f>
        <v>321.08</v>
      </c>
      <c r="H143" s="7">
        <f>234</f>
        <v>234</v>
      </c>
      <c r="I143" s="7">
        <f>326.23</f>
        <v>326.23</v>
      </c>
      <c r="J143" s="7">
        <f>289</f>
        <v>289</v>
      </c>
      <c r="K143" s="7">
        <f>289</f>
        <v>289</v>
      </c>
      <c r="L143" s="7">
        <f>305</f>
        <v>305</v>
      </c>
      <c r="M143" s="7">
        <f>305</f>
        <v>305</v>
      </c>
      <c r="N143" s="7">
        <f>426.68</f>
        <v>426.68</v>
      </c>
    </row>
    <row r="144" spans="2:14" x14ac:dyDescent="0.2">
      <c r="B144" s="5" t="s">
        <v>164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 s="13" t="s">
        <v>8</v>
      </c>
      <c r="B145" s="16" t="s">
        <v>165</v>
      </c>
      <c r="C145" s="8">
        <f t="shared" ref="C145:N145" si="22">(((((((((((((((((C113)+(C124))+(C125))+(C126))+(C127))+(C128))+(C129))+(C130))+(C131))+(C132))+(C137))+(C138))+(C139))+(C140))+(C141))+(C142))+(C143))+(C144)</f>
        <v>164495.59</v>
      </c>
      <c r="D145" s="8">
        <f t="shared" si="22"/>
        <v>22032.420000000002</v>
      </c>
      <c r="E145" s="8">
        <f t="shared" si="22"/>
        <v>276522.64</v>
      </c>
      <c r="F145" s="8">
        <f t="shared" si="22"/>
        <v>88477.53</v>
      </c>
      <c r="G145" s="8">
        <f t="shared" si="22"/>
        <v>30890.47</v>
      </c>
      <c r="H145" s="8">
        <f t="shared" si="22"/>
        <v>31314.32</v>
      </c>
      <c r="I145" s="8">
        <f t="shared" si="22"/>
        <v>17290.73</v>
      </c>
      <c r="J145" s="8">
        <f t="shared" si="22"/>
        <v>39803.53</v>
      </c>
      <c r="K145" s="8">
        <f t="shared" si="22"/>
        <v>244209.85</v>
      </c>
      <c r="L145" s="8">
        <f t="shared" si="22"/>
        <v>74948.030000000013</v>
      </c>
      <c r="M145" s="8">
        <f t="shared" si="22"/>
        <v>36346.699999999997</v>
      </c>
      <c r="N145" s="8">
        <f t="shared" si="22"/>
        <v>220729.33999999997</v>
      </c>
    </row>
    <row r="146" spans="1:14" x14ac:dyDescent="0.2">
      <c r="B146" s="5" t="s">
        <v>166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B147" s="5" t="s">
        <v>167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B148" s="5" t="s">
        <v>168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B149" s="5" t="s">
        <v>169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B150" s="5" t="s">
        <v>170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7">
        <f>4836.56</f>
        <v>4836.5600000000004</v>
      </c>
    </row>
    <row r="151" spans="1:14" x14ac:dyDescent="0.2">
      <c r="B151" s="5" t="s">
        <v>171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B152" s="5" t="s">
        <v>172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7">
        <f>57192</f>
        <v>57192</v>
      </c>
    </row>
    <row r="153" spans="1:14" x14ac:dyDescent="0.2">
      <c r="B153" s="5" t="s">
        <v>173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7">
        <f>0</f>
        <v>0</v>
      </c>
    </row>
    <row r="154" spans="1:14" x14ac:dyDescent="0.2">
      <c r="B154" s="5" t="s">
        <v>174</v>
      </c>
      <c r="C154" s="8">
        <f t="shared" ref="C154:N154" si="23">((((C149)+(C150))+(C151))+(C152))+(C153)</f>
        <v>0</v>
      </c>
      <c r="D154" s="8">
        <f t="shared" si="23"/>
        <v>0</v>
      </c>
      <c r="E154" s="8">
        <f t="shared" si="23"/>
        <v>0</v>
      </c>
      <c r="F154" s="8">
        <f t="shared" si="23"/>
        <v>0</v>
      </c>
      <c r="G154" s="8">
        <f t="shared" si="23"/>
        <v>0</v>
      </c>
      <c r="H154" s="8">
        <f t="shared" si="23"/>
        <v>0</v>
      </c>
      <c r="I154" s="8">
        <f t="shared" si="23"/>
        <v>0</v>
      </c>
      <c r="J154" s="8">
        <f t="shared" si="23"/>
        <v>0</v>
      </c>
      <c r="K154" s="8">
        <f t="shared" si="23"/>
        <v>0</v>
      </c>
      <c r="L154" s="8">
        <f t="shared" si="23"/>
        <v>0</v>
      </c>
      <c r="M154" s="8">
        <f t="shared" si="23"/>
        <v>0</v>
      </c>
      <c r="N154" s="8">
        <f t="shared" si="23"/>
        <v>62028.56</v>
      </c>
    </row>
    <row r="155" spans="1:14" x14ac:dyDescent="0.2">
      <c r="B155" s="5" t="s">
        <v>175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7">
        <f>69.09</f>
        <v>69.09</v>
      </c>
    </row>
    <row r="156" spans="1:14" x14ac:dyDescent="0.2">
      <c r="B156" s="5" t="s">
        <v>176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7">
        <f>671.36</f>
        <v>671.36</v>
      </c>
    </row>
    <row r="157" spans="1:14" x14ac:dyDescent="0.2">
      <c r="B157" s="5" t="s">
        <v>177</v>
      </c>
      <c r="C157" s="7">
        <f>2124.16</f>
        <v>2124.16</v>
      </c>
      <c r="D157" s="7">
        <f>-49.48</f>
        <v>-49.48</v>
      </c>
      <c r="E157" s="7">
        <f>12254.51</f>
        <v>12254.51</v>
      </c>
      <c r="F157" s="7">
        <f>8185.38</f>
        <v>8185.38</v>
      </c>
      <c r="G157" s="7">
        <f>5939.38</f>
        <v>5939.38</v>
      </c>
      <c r="H157" s="7">
        <f>9758.47</f>
        <v>9758.4699999999993</v>
      </c>
      <c r="I157" s="7">
        <f>13581.2</f>
        <v>13581.2</v>
      </c>
      <c r="J157" s="7">
        <f>10391.7</f>
        <v>10391.700000000001</v>
      </c>
      <c r="K157" s="7">
        <f>12473.88</f>
        <v>12473.88</v>
      </c>
      <c r="L157" s="7">
        <f>11331.96</f>
        <v>11331.96</v>
      </c>
      <c r="M157" s="7">
        <f>14982.97</f>
        <v>14982.97</v>
      </c>
      <c r="N157" s="7">
        <f>14120.34</f>
        <v>14120.34</v>
      </c>
    </row>
    <row r="158" spans="1:14" x14ac:dyDescent="0.2">
      <c r="B158" s="5" t="s">
        <v>178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B159" s="5" t="s">
        <v>179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B160" s="5" t="s">
        <v>180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2:14" x14ac:dyDescent="0.2">
      <c r="B161" s="5" t="s">
        <v>181</v>
      </c>
      <c r="C161" s="8">
        <f t="shared" ref="C161:N161" si="24">(((((((C148)+(C154))+(C155))+(C156))+(C157))+(C158))+(C159))+(C160)</f>
        <v>2124.16</v>
      </c>
      <c r="D161" s="8">
        <f t="shared" si="24"/>
        <v>-49.48</v>
      </c>
      <c r="E161" s="8">
        <f t="shared" si="24"/>
        <v>12254.51</v>
      </c>
      <c r="F161" s="8">
        <f t="shared" si="24"/>
        <v>8185.38</v>
      </c>
      <c r="G161" s="8">
        <f t="shared" si="24"/>
        <v>5939.38</v>
      </c>
      <c r="H161" s="8">
        <f t="shared" si="24"/>
        <v>9758.4699999999993</v>
      </c>
      <c r="I161" s="8">
        <f t="shared" si="24"/>
        <v>13581.2</v>
      </c>
      <c r="J161" s="8">
        <f t="shared" si="24"/>
        <v>10391.700000000001</v>
      </c>
      <c r="K161" s="8">
        <f t="shared" si="24"/>
        <v>12473.88</v>
      </c>
      <c r="L161" s="8">
        <f t="shared" si="24"/>
        <v>11331.96</v>
      </c>
      <c r="M161" s="8">
        <f t="shared" si="24"/>
        <v>14982.97</v>
      </c>
      <c r="N161" s="8">
        <f t="shared" si="24"/>
        <v>76889.349999999991</v>
      </c>
    </row>
    <row r="162" spans="2:14" x14ac:dyDescent="0.2">
      <c r="B162" s="5" t="s">
        <v>182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2:14" x14ac:dyDescent="0.2">
      <c r="B163" s="5" t="s">
        <v>183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2:14" x14ac:dyDescent="0.2">
      <c r="B164" s="5" t="s">
        <v>184</v>
      </c>
      <c r="C164" s="6"/>
      <c r="D164" s="6"/>
      <c r="E164" s="7">
        <f>182</f>
        <v>182</v>
      </c>
      <c r="F164" s="6"/>
      <c r="G164" s="6"/>
      <c r="H164" s="6"/>
      <c r="I164" s="6"/>
      <c r="J164" s="6"/>
      <c r="K164" s="6"/>
      <c r="L164" s="6"/>
      <c r="M164" s="6"/>
      <c r="N164" s="7">
        <f>11793.5</f>
        <v>11793.5</v>
      </c>
    </row>
    <row r="165" spans="2:14" x14ac:dyDescent="0.2">
      <c r="B165" s="5" t="s">
        <v>185</v>
      </c>
      <c r="C165" s="7">
        <f>348</f>
        <v>348</v>
      </c>
      <c r="D165" s="7">
        <f>130</f>
        <v>130</v>
      </c>
      <c r="E165" s="6"/>
      <c r="F165" s="6"/>
      <c r="G165" s="6"/>
      <c r="H165" s="7">
        <f>214</f>
        <v>214</v>
      </c>
      <c r="I165" s="7">
        <f>1015</f>
        <v>1015</v>
      </c>
      <c r="J165" s="6"/>
      <c r="K165" s="6"/>
      <c r="L165" s="6"/>
      <c r="M165" s="6"/>
      <c r="N165" s="6"/>
    </row>
    <row r="166" spans="2:14" x14ac:dyDescent="0.2">
      <c r="B166" s="5" t="s">
        <v>186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2:14" x14ac:dyDescent="0.2">
      <c r="B167" s="5" t="s">
        <v>187</v>
      </c>
      <c r="C167" s="8">
        <f t="shared" ref="C167:N167" si="25">(((C163)+(C164))+(C165))+(C166)</f>
        <v>348</v>
      </c>
      <c r="D167" s="8">
        <f t="shared" si="25"/>
        <v>130</v>
      </c>
      <c r="E167" s="8">
        <f t="shared" si="25"/>
        <v>182</v>
      </c>
      <c r="F167" s="8">
        <f t="shared" si="25"/>
        <v>0</v>
      </c>
      <c r="G167" s="8">
        <f t="shared" si="25"/>
        <v>0</v>
      </c>
      <c r="H167" s="8">
        <f t="shared" si="25"/>
        <v>214</v>
      </c>
      <c r="I167" s="8">
        <f t="shared" si="25"/>
        <v>1015</v>
      </c>
      <c r="J167" s="8">
        <f t="shared" si="25"/>
        <v>0</v>
      </c>
      <c r="K167" s="8">
        <f t="shared" si="25"/>
        <v>0</v>
      </c>
      <c r="L167" s="8">
        <f t="shared" si="25"/>
        <v>0</v>
      </c>
      <c r="M167" s="8">
        <f t="shared" si="25"/>
        <v>0</v>
      </c>
      <c r="N167" s="8">
        <f t="shared" si="25"/>
        <v>11793.5</v>
      </c>
    </row>
    <row r="168" spans="2:14" x14ac:dyDescent="0.2">
      <c r="B168" s="5" t="s">
        <v>188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2:14" x14ac:dyDescent="0.2">
      <c r="B169" s="5" t="s">
        <v>189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2:14" x14ac:dyDescent="0.2">
      <c r="B170" s="5" t="s">
        <v>190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2:14" x14ac:dyDescent="0.2">
      <c r="B171" s="5" t="s">
        <v>191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2:14" x14ac:dyDescent="0.2">
      <c r="B172" s="5" t="s">
        <v>192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2:14" x14ac:dyDescent="0.2">
      <c r="B173" s="5" t="s">
        <v>193</v>
      </c>
      <c r="C173" s="8">
        <f t="shared" ref="C173:N173" si="26">(((C169)+(C170))+(C171))+(C172)</f>
        <v>0</v>
      </c>
      <c r="D173" s="8">
        <f t="shared" si="26"/>
        <v>0</v>
      </c>
      <c r="E173" s="8">
        <f t="shared" si="26"/>
        <v>0</v>
      </c>
      <c r="F173" s="8">
        <f t="shared" si="26"/>
        <v>0</v>
      </c>
      <c r="G173" s="8">
        <f t="shared" si="26"/>
        <v>0</v>
      </c>
      <c r="H173" s="8">
        <f t="shared" si="26"/>
        <v>0</v>
      </c>
      <c r="I173" s="8">
        <f t="shared" si="26"/>
        <v>0</v>
      </c>
      <c r="J173" s="8">
        <f t="shared" si="26"/>
        <v>0</v>
      </c>
      <c r="K173" s="8">
        <f t="shared" si="26"/>
        <v>0</v>
      </c>
      <c r="L173" s="8">
        <f t="shared" si="26"/>
        <v>0</v>
      </c>
      <c r="M173" s="8">
        <f t="shared" si="26"/>
        <v>0</v>
      </c>
      <c r="N173" s="8">
        <f t="shared" si="26"/>
        <v>0</v>
      </c>
    </row>
    <row r="174" spans="2:14" x14ac:dyDescent="0.2">
      <c r="B174" s="5" t="s">
        <v>194</v>
      </c>
      <c r="C174" s="6"/>
      <c r="D174" s="6"/>
      <c r="E174" s="6"/>
      <c r="F174" s="7">
        <f>519.7</f>
        <v>519.70000000000005</v>
      </c>
      <c r="G174" s="6"/>
      <c r="H174" s="7">
        <f>271.8</f>
        <v>271.8</v>
      </c>
      <c r="I174" s="6"/>
      <c r="J174" s="6"/>
      <c r="K174" s="7">
        <f>4118.84</f>
        <v>4118.84</v>
      </c>
      <c r="L174" s="6"/>
      <c r="M174" s="7">
        <f>800</f>
        <v>800</v>
      </c>
      <c r="N174" s="7">
        <f>3149.85</f>
        <v>3149.85</v>
      </c>
    </row>
    <row r="175" spans="2:14" x14ac:dyDescent="0.2">
      <c r="B175" s="5" t="s">
        <v>195</v>
      </c>
      <c r="C175" s="6"/>
      <c r="D175" s="6"/>
      <c r="E175" s="6"/>
      <c r="F175" s="6"/>
      <c r="G175" s="6"/>
      <c r="H175" s="6"/>
      <c r="I175" s="7">
        <f>12.94</f>
        <v>12.94</v>
      </c>
      <c r="J175" s="6"/>
      <c r="K175" s="6"/>
      <c r="L175" s="6"/>
      <c r="M175" s="7">
        <f>50</f>
        <v>50</v>
      </c>
      <c r="N175" s="7">
        <f>22</f>
        <v>22</v>
      </c>
    </row>
    <row r="176" spans="2:14" x14ac:dyDescent="0.2">
      <c r="B176" s="5" t="s">
        <v>196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2:14" x14ac:dyDescent="0.2">
      <c r="B177" s="5" t="s">
        <v>197</v>
      </c>
      <c r="C177" s="7">
        <f>16.5</f>
        <v>16.5</v>
      </c>
      <c r="D177" s="6"/>
      <c r="E177" s="6"/>
      <c r="F177" s="6"/>
      <c r="G177" s="7">
        <f>418.56</f>
        <v>418.56</v>
      </c>
      <c r="H177" s="6"/>
      <c r="I177" s="6"/>
      <c r="J177" s="7">
        <f>263.35</f>
        <v>263.35000000000002</v>
      </c>
      <c r="K177" s="6"/>
      <c r="L177" s="6"/>
      <c r="M177" s="6"/>
      <c r="N177" s="6"/>
    </row>
    <row r="178" spans="2:14" x14ac:dyDescent="0.2">
      <c r="B178" s="5" t="s">
        <v>198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7">
        <f>556</f>
        <v>556</v>
      </c>
    </row>
    <row r="179" spans="2:14" x14ac:dyDescent="0.2">
      <c r="B179" s="5" t="s">
        <v>199</v>
      </c>
      <c r="C179" s="7">
        <f>75</f>
        <v>75</v>
      </c>
      <c r="D179" s="7">
        <f>93</f>
        <v>93</v>
      </c>
      <c r="E179" s="7">
        <f>87</f>
        <v>87</v>
      </c>
      <c r="F179" s="7">
        <f>93</f>
        <v>93</v>
      </c>
      <c r="G179" s="7">
        <f>87</f>
        <v>87</v>
      </c>
      <c r="H179" s="7">
        <f>117</f>
        <v>117</v>
      </c>
      <c r="I179" s="7">
        <f>123</f>
        <v>123</v>
      </c>
      <c r="J179" s="7">
        <f>117</f>
        <v>117</v>
      </c>
      <c r="K179" s="7">
        <f>123</f>
        <v>123</v>
      </c>
      <c r="L179" s="7">
        <f>123</f>
        <v>123</v>
      </c>
      <c r="M179" s="7">
        <f>135</f>
        <v>135</v>
      </c>
      <c r="N179" s="7">
        <f>159</f>
        <v>159</v>
      </c>
    </row>
    <row r="180" spans="2:14" x14ac:dyDescent="0.2">
      <c r="B180" s="5" t="s">
        <v>200</v>
      </c>
      <c r="C180" s="8">
        <f t="shared" ref="C180:N180" si="27">((((C175)+(C176))+(C177))+(C178))+(C179)</f>
        <v>91.5</v>
      </c>
      <c r="D180" s="8">
        <f t="shared" si="27"/>
        <v>93</v>
      </c>
      <c r="E180" s="8">
        <f t="shared" si="27"/>
        <v>87</v>
      </c>
      <c r="F180" s="8">
        <f t="shared" si="27"/>
        <v>93</v>
      </c>
      <c r="G180" s="8">
        <f t="shared" si="27"/>
        <v>505.56</v>
      </c>
      <c r="H180" s="8">
        <f t="shared" si="27"/>
        <v>117</v>
      </c>
      <c r="I180" s="8">
        <f t="shared" si="27"/>
        <v>135.94</v>
      </c>
      <c r="J180" s="8">
        <f t="shared" si="27"/>
        <v>380.35</v>
      </c>
      <c r="K180" s="8">
        <f t="shared" si="27"/>
        <v>123</v>
      </c>
      <c r="L180" s="8">
        <f t="shared" si="27"/>
        <v>123</v>
      </c>
      <c r="M180" s="8">
        <f t="shared" si="27"/>
        <v>185</v>
      </c>
      <c r="N180" s="8">
        <f t="shared" si="27"/>
        <v>737</v>
      </c>
    </row>
    <row r="181" spans="2:14" x14ac:dyDescent="0.2">
      <c r="B181" s="5" t="s">
        <v>201</v>
      </c>
      <c r="C181" s="6"/>
      <c r="D181" s="6"/>
      <c r="E181" s="6"/>
      <c r="F181" s="6"/>
      <c r="G181" s="6"/>
      <c r="H181" s="6"/>
      <c r="I181" s="6"/>
      <c r="J181" s="7">
        <f>1237.5</f>
        <v>1237.5</v>
      </c>
      <c r="K181" s="6"/>
      <c r="L181" s="6"/>
      <c r="M181" s="6"/>
      <c r="N181" s="6"/>
    </row>
    <row r="182" spans="2:14" x14ac:dyDescent="0.2">
      <c r="B182" s="5" t="s">
        <v>202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2:14" x14ac:dyDescent="0.2">
      <c r="B183" s="5" t="s">
        <v>203</v>
      </c>
      <c r="C183" s="6"/>
      <c r="D183" s="7">
        <f>30</f>
        <v>30</v>
      </c>
      <c r="E183" s="6"/>
      <c r="F183" s="7">
        <f>45</f>
        <v>45</v>
      </c>
      <c r="G183" s="7">
        <f>45</f>
        <v>45</v>
      </c>
      <c r="H183" s="7">
        <f>32</f>
        <v>32</v>
      </c>
      <c r="I183" s="7">
        <f>74</f>
        <v>74</v>
      </c>
      <c r="J183" s="7">
        <f>35</f>
        <v>35</v>
      </c>
      <c r="K183" s="7">
        <f>5</f>
        <v>5</v>
      </c>
      <c r="L183" s="6"/>
      <c r="M183" s="7">
        <f>95</f>
        <v>95</v>
      </c>
      <c r="N183" s="7">
        <f>30</f>
        <v>30</v>
      </c>
    </row>
    <row r="184" spans="2:14" x14ac:dyDescent="0.2">
      <c r="B184" s="5" t="s">
        <v>204</v>
      </c>
      <c r="C184" s="6"/>
      <c r="D184" s="7">
        <f>150</f>
        <v>150</v>
      </c>
      <c r="E184" s="6"/>
      <c r="F184" s="6"/>
      <c r="G184" s="6"/>
      <c r="H184" s="6"/>
      <c r="I184" s="6"/>
      <c r="J184" s="6"/>
      <c r="K184" s="7">
        <f>150</f>
        <v>150</v>
      </c>
      <c r="L184" s="6"/>
      <c r="M184" s="7">
        <f>7245</f>
        <v>7245</v>
      </c>
      <c r="N184" s="6"/>
    </row>
    <row r="185" spans="2:14" x14ac:dyDescent="0.2">
      <c r="B185" s="5" t="s">
        <v>205</v>
      </c>
      <c r="C185" s="6"/>
      <c r="D185" s="6"/>
      <c r="E185" s="6"/>
      <c r="F185" s="6"/>
      <c r="G185" s="6"/>
      <c r="H185" s="7">
        <f>277.12</f>
        <v>277.12</v>
      </c>
      <c r="I185" s="6"/>
      <c r="J185" s="6"/>
      <c r="K185" s="6"/>
      <c r="L185" s="6"/>
      <c r="M185" s="6"/>
      <c r="N185" s="6"/>
    </row>
    <row r="186" spans="2:14" x14ac:dyDescent="0.2">
      <c r="B186" s="5" t="s">
        <v>206</v>
      </c>
      <c r="C186" s="7">
        <f>193.83</f>
        <v>193.83</v>
      </c>
      <c r="D186" s="7">
        <f>220.44</f>
        <v>220.44</v>
      </c>
      <c r="E186" s="7">
        <f>313.92</f>
        <v>313.92</v>
      </c>
      <c r="F186" s="7">
        <f>406.94</f>
        <v>406.94</v>
      </c>
      <c r="G186" s="7">
        <f>380.39</f>
        <v>380.39</v>
      </c>
      <c r="H186" s="7">
        <f>362.82</f>
        <v>362.82</v>
      </c>
      <c r="I186" s="7">
        <f>439.28</f>
        <v>439.28</v>
      </c>
      <c r="J186" s="7">
        <f>453.12</f>
        <v>453.12</v>
      </c>
      <c r="K186" s="7">
        <f>451.46</f>
        <v>451.46</v>
      </c>
      <c r="L186" s="7">
        <f>561.28</f>
        <v>561.28</v>
      </c>
      <c r="M186" s="7">
        <f>464.99</f>
        <v>464.99</v>
      </c>
      <c r="N186" s="7">
        <f>545.12</f>
        <v>545.12</v>
      </c>
    </row>
    <row r="187" spans="2:14" x14ac:dyDescent="0.2">
      <c r="B187" s="5" t="s">
        <v>207</v>
      </c>
      <c r="C187" s="8">
        <f t="shared" ref="C187:N187" si="28">(C185)+(C186)</f>
        <v>193.83</v>
      </c>
      <c r="D187" s="8">
        <f t="shared" si="28"/>
        <v>220.44</v>
      </c>
      <c r="E187" s="8">
        <f t="shared" si="28"/>
        <v>313.92</v>
      </c>
      <c r="F187" s="8">
        <f t="shared" si="28"/>
        <v>406.94</v>
      </c>
      <c r="G187" s="8">
        <f t="shared" si="28"/>
        <v>380.39</v>
      </c>
      <c r="H187" s="8">
        <f t="shared" si="28"/>
        <v>639.94000000000005</v>
      </c>
      <c r="I187" s="8">
        <f t="shared" si="28"/>
        <v>439.28</v>
      </c>
      <c r="J187" s="8">
        <f t="shared" si="28"/>
        <v>453.12</v>
      </c>
      <c r="K187" s="8">
        <f t="shared" si="28"/>
        <v>451.46</v>
      </c>
      <c r="L187" s="8">
        <f t="shared" si="28"/>
        <v>561.28</v>
      </c>
      <c r="M187" s="8">
        <f t="shared" si="28"/>
        <v>464.99</v>
      </c>
      <c r="N187" s="8">
        <f t="shared" si="28"/>
        <v>545.12</v>
      </c>
    </row>
    <row r="188" spans="2:14" x14ac:dyDescent="0.2">
      <c r="B188" s="5" t="s">
        <v>208</v>
      </c>
      <c r="C188" s="6"/>
      <c r="D188" s="6"/>
      <c r="E188" s="7">
        <f>282.68</f>
        <v>282.68</v>
      </c>
      <c r="F188" s="6"/>
      <c r="G188" s="6"/>
      <c r="H188" s="6"/>
      <c r="I188" s="6"/>
      <c r="J188" s="6"/>
      <c r="K188" s="6"/>
      <c r="L188" s="6"/>
      <c r="M188" s="6"/>
      <c r="N188" s="7">
        <f>6329.4</f>
        <v>6329.4</v>
      </c>
    </row>
    <row r="189" spans="2:14" x14ac:dyDescent="0.2">
      <c r="B189" s="5" t="s">
        <v>209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2:14" x14ac:dyDescent="0.2">
      <c r="B190" s="5" t="s">
        <v>210</v>
      </c>
      <c r="C190" s="6"/>
      <c r="D190" s="7">
        <f>1570</f>
        <v>1570</v>
      </c>
      <c r="E190" s="6"/>
      <c r="F190" s="6"/>
      <c r="G190" s="7">
        <f>4950</f>
        <v>4950</v>
      </c>
      <c r="H190" s="7">
        <f>1164</f>
        <v>1164</v>
      </c>
      <c r="I190" s="6"/>
      <c r="J190" s="6"/>
      <c r="K190" s="6"/>
      <c r="L190" s="6"/>
      <c r="M190" s="7">
        <f>641.25</f>
        <v>641.25</v>
      </c>
      <c r="N190" s="6"/>
    </row>
    <row r="191" spans="2:14" x14ac:dyDescent="0.2">
      <c r="B191" s="5" t="s">
        <v>211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2:14" x14ac:dyDescent="0.2">
      <c r="B192" s="5" t="s">
        <v>212</v>
      </c>
      <c r="C192" s="7">
        <f>89</f>
        <v>89</v>
      </c>
      <c r="D192" s="7">
        <f>9691.5</f>
        <v>9691.5</v>
      </c>
      <c r="E192" s="7">
        <f>100</f>
        <v>100</v>
      </c>
      <c r="F192" s="7">
        <f>95</f>
        <v>95</v>
      </c>
      <c r="G192" s="7">
        <f>440</f>
        <v>440</v>
      </c>
      <c r="H192" s="7">
        <f>6969</f>
        <v>6969</v>
      </c>
      <c r="I192" s="6"/>
      <c r="J192" s="7">
        <f>28479.93</f>
        <v>28479.93</v>
      </c>
      <c r="K192" s="6"/>
      <c r="L192" s="7">
        <f>7712.68</f>
        <v>7712.68</v>
      </c>
      <c r="M192" s="7">
        <f>13022.5</f>
        <v>13022.5</v>
      </c>
      <c r="N192" s="7">
        <f>29595.69</f>
        <v>29595.69</v>
      </c>
    </row>
    <row r="193" spans="2:14" x14ac:dyDescent="0.2">
      <c r="B193" s="5" t="s">
        <v>213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2:14" x14ac:dyDescent="0.2">
      <c r="B194" s="5" t="s">
        <v>214</v>
      </c>
      <c r="C194" s="6"/>
      <c r="D194" s="6"/>
      <c r="E194" s="6"/>
      <c r="F194" s="6"/>
      <c r="G194" s="6"/>
      <c r="H194" s="6"/>
      <c r="I194" s="6"/>
      <c r="J194" s="6"/>
      <c r="K194" s="7">
        <f>3000</f>
        <v>3000</v>
      </c>
      <c r="L194" s="6"/>
      <c r="M194" s="6"/>
      <c r="N194" s="6"/>
    </row>
    <row r="195" spans="2:14" x14ac:dyDescent="0.2">
      <c r="B195" s="5" t="s">
        <v>215</v>
      </c>
      <c r="C195" s="8">
        <f t="shared" ref="C195:N195" si="29">(((((C189)+(C190))+(C191))+(C192))+(C193))+(C194)</f>
        <v>89</v>
      </c>
      <c r="D195" s="8">
        <f t="shared" si="29"/>
        <v>11261.5</v>
      </c>
      <c r="E195" s="8">
        <f t="shared" si="29"/>
        <v>100</v>
      </c>
      <c r="F195" s="8">
        <f t="shared" si="29"/>
        <v>95</v>
      </c>
      <c r="G195" s="8">
        <f t="shared" si="29"/>
        <v>5390</v>
      </c>
      <c r="H195" s="8">
        <f t="shared" si="29"/>
        <v>8133</v>
      </c>
      <c r="I195" s="8">
        <f t="shared" si="29"/>
        <v>0</v>
      </c>
      <c r="J195" s="8">
        <f t="shared" si="29"/>
        <v>28479.93</v>
      </c>
      <c r="K195" s="8">
        <f t="shared" si="29"/>
        <v>3000</v>
      </c>
      <c r="L195" s="8">
        <f t="shared" si="29"/>
        <v>7712.68</v>
      </c>
      <c r="M195" s="8">
        <f t="shared" si="29"/>
        <v>13663.75</v>
      </c>
      <c r="N195" s="8">
        <f t="shared" si="29"/>
        <v>29595.69</v>
      </c>
    </row>
    <row r="196" spans="2:14" x14ac:dyDescent="0.2">
      <c r="B196" s="5" t="s">
        <v>216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2:14" x14ac:dyDescent="0.2">
      <c r="B197" s="5" t="s">
        <v>217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2:14" x14ac:dyDescent="0.2">
      <c r="B198" s="5" t="s">
        <v>218</v>
      </c>
      <c r="C198" s="6"/>
      <c r="D198" s="6"/>
      <c r="E198" s="6"/>
      <c r="F198" s="6"/>
      <c r="G198" s="7">
        <f>99</f>
        <v>99</v>
      </c>
      <c r="H198" s="6"/>
      <c r="I198" s="6"/>
      <c r="J198" s="6"/>
      <c r="K198" s="6"/>
      <c r="L198" s="6"/>
      <c r="M198" s="6"/>
      <c r="N198" s="6"/>
    </row>
    <row r="199" spans="2:14" x14ac:dyDescent="0.2">
      <c r="B199" s="5" t="s">
        <v>219</v>
      </c>
      <c r="C199" s="6"/>
      <c r="D199" s="6"/>
      <c r="E199" s="6"/>
      <c r="F199" s="6"/>
      <c r="G199" s="6"/>
      <c r="H199" s="6"/>
      <c r="I199" s="7">
        <f>33.97</f>
        <v>33.97</v>
      </c>
      <c r="J199" s="7">
        <f>120.47</f>
        <v>120.47</v>
      </c>
      <c r="K199" s="6"/>
      <c r="L199" s="6"/>
      <c r="M199" s="7">
        <f>64.16</f>
        <v>64.16</v>
      </c>
      <c r="N199" s="7">
        <f>328.74</f>
        <v>328.74</v>
      </c>
    </row>
    <row r="200" spans="2:14" x14ac:dyDescent="0.2">
      <c r="B200" s="5" t="s">
        <v>220</v>
      </c>
      <c r="C200" s="7">
        <f>2563.33</f>
        <v>2563.33</v>
      </c>
      <c r="D200" s="6"/>
      <c r="E200" s="7">
        <f>6062.39</f>
        <v>6062.39</v>
      </c>
      <c r="F200" s="7">
        <f>756.72</f>
        <v>756.72</v>
      </c>
      <c r="G200" s="7">
        <f>2446.4</f>
        <v>2446.4</v>
      </c>
      <c r="H200" s="6"/>
      <c r="I200" s="7">
        <f>60.2</f>
        <v>60.2</v>
      </c>
      <c r="J200" s="7">
        <f>226.45</f>
        <v>226.45</v>
      </c>
      <c r="K200" s="7">
        <f>1752.1</f>
        <v>1752.1</v>
      </c>
      <c r="L200" s="7">
        <f>4174.32</f>
        <v>4174.32</v>
      </c>
      <c r="M200" s="7">
        <f>13922.82</f>
        <v>13922.82</v>
      </c>
      <c r="N200" s="7">
        <f>-28115.22</f>
        <v>-28115.22</v>
      </c>
    </row>
    <row r="201" spans="2:14" x14ac:dyDescent="0.2">
      <c r="B201" s="5" t="s">
        <v>221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2:14" x14ac:dyDescent="0.2">
      <c r="B202" s="5" t="s">
        <v>222</v>
      </c>
      <c r="C202" s="8">
        <f t="shared" ref="C202:N202" si="30">((((C197)+(C198))+(C199))+(C200))+(C201)</f>
        <v>2563.33</v>
      </c>
      <c r="D202" s="8">
        <f t="shared" si="30"/>
        <v>0</v>
      </c>
      <c r="E202" s="8">
        <f t="shared" si="30"/>
        <v>6062.39</v>
      </c>
      <c r="F202" s="8">
        <f t="shared" si="30"/>
        <v>756.72</v>
      </c>
      <c r="G202" s="8">
        <f t="shared" si="30"/>
        <v>2545.4</v>
      </c>
      <c r="H202" s="8">
        <f t="shared" si="30"/>
        <v>0</v>
      </c>
      <c r="I202" s="8">
        <f t="shared" si="30"/>
        <v>94.17</v>
      </c>
      <c r="J202" s="8">
        <f t="shared" si="30"/>
        <v>346.91999999999996</v>
      </c>
      <c r="K202" s="8">
        <f t="shared" si="30"/>
        <v>1752.1</v>
      </c>
      <c r="L202" s="8">
        <f t="shared" si="30"/>
        <v>4174.32</v>
      </c>
      <c r="M202" s="8">
        <f t="shared" si="30"/>
        <v>13986.98</v>
      </c>
      <c r="N202" s="8">
        <f t="shared" si="30"/>
        <v>-27786.48</v>
      </c>
    </row>
    <row r="203" spans="2:14" x14ac:dyDescent="0.2">
      <c r="B203" s="5" t="s">
        <v>223</v>
      </c>
      <c r="C203" s="7">
        <f>300</f>
        <v>300</v>
      </c>
      <c r="D203" s="7">
        <f>120</f>
        <v>120</v>
      </c>
      <c r="E203" s="7">
        <f>120</f>
        <v>120</v>
      </c>
      <c r="F203" s="7">
        <f>360</f>
        <v>360</v>
      </c>
      <c r="G203" s="7">
        <f>120</f>
        <v>120</v>
      </c>
      <c r="H203" s="7">
        <f>180</f>
        <v>180</v>
      </c>
      <c r="I203" s="7">
        <f>300</f>
        <v>300</v>
      </c>
      <c r="J203" s="7">
        <f>300</f>
        <v>300</v>
      </c>
      <c r="K203" s="7">
        <f>320</f>
        <v>320</v>
      </c>
      <c r="L203" s="7">
        <f>240</f>
        <v>240</v>
      </c>
      <c r="M203" s="7">
        <f>400</f>
        <v>400</v>
      </c>
      <c r="N203" s="7">
        <f>400</f>
        <v>400</v>
      </c>
    </row>
    <row r="204" spans="2:14" x14ac:dyDescent="0.2">
      <c r="B204" s="5" t="s">
        <v>224</v>
      </c>
      <c r="C204" s="7">
        <f>13.62</f>
        <v>13.62</v>
      </c>
      <c r="D204" s="6"/>
      <c r="E204" s="7">
        <f>29.91</f>
        <v>29.91</v>
      </c>
      <c r="F204" s="7">
        <f>297.27</f>
        <v>297.27</v>
      </c>
      <c r="G204" s="7">
        <f>39.98</f>
        <v>39.979999999999997</v>
      </c>
      <c r="H204" s="7">
        <f>32.99</f>
        <v>32.99</v>
      </c>
      <c r="I204" s="6"/>
      <c r="J204" s="7">
        <f>85.5</f>
        <v>85.5</v>
      </c>
      <c r="K204" s="7">
        <f>96.21</f>
        <v>96.21</v>
      </c>
      <c r="L204" s="7">
        <f>9.49</f>
        <v>9.49</v>
      </c>
      <c r="M204" s="6"/>
      <c r="N204" s="7">
        <f>245.53</f>
        <v>245.53</v>
      </c>
    </row>
    <row r="205" spans="2:14" x14ac:dyDescent="0.2">
      <c r="B205" s="5" t="s">
        <v>225</v>
      </c>
      <c r="C205" s="6"/>
      <c r="D205" s="7">
        <f>23.75</f>
        <v>23.75</v>
      </c>
      <c r="E205" s="6"/>
      <c r="F205" s="6"/>
      <c r="G205" s="6"/>
      <c r="H205" s="7">
        <f>99</f>
        <v>99</v>
      </c>
      <c r="I205" s="7">
        <f>12.75</f>
        <v>12.75</v>
      </c>
      <c r="J205" s="7">
        <f>13.3</f>
        <v>13.3</v>
      </c>
      <c r="K205" s="6"/>
      <c r="L205" s="7">
        <f>123.21</f>
        <v>123.21</v>
      </c>
      <c r="M205" s="7">
        <f>23</f>
        <v>23</v>
      </c>
      <c r="N205" s="7">
        <f>102.6</f>
        <v>102.6</v>
      </c>
    </row>
    <row r="206" spans="2:14" x14ac:dyDescent="0.2">
      <c r="B206" s="5" t="s">
        <v>226</v>
      </c>
      <c r="C206" s="6"/>
      <c r="D206" s="7">
        <f>995</f>
        <v>995</v>
      </c>
      <c r="E206" s="6"/>
      <c r="F206" s="6"/>
      <c r="G206" s="6"/>
      <c r="H206" s="6"/>
      <c r="I206" s="6"/>
      <c r="J206" s="7">
        <f>20.9</f>
        <v>20.9</v>
      </c>
      <c r="K206" s="6"/>
      <c r="L206" s="6"/>
      <c r="M206" s="6"/>
      <c r="N206" s="6"/>
    </row>
    <row r="207" spans="2:14" x14ac:dyDescent="0.2">
      <c r="B207" s="5" t="s">
        <v>227</v>
      </c>
      <c r="C207" s="6"/>
      <c r="D207" s="6"/>
      <c r="E207" s="7">
        <f>5363.33</f>
        <v>5363.33</v>
      </c>
      <c r="F207" s="7">
        <f>5363.33</f>
        <v>5363.33</v>
      </c>
      <c r="G207" s="7">
        <f>6373.88</f>
        <v>6373.88</v>
      </c>
      <c r="H207" s="7">
        <f t="shared" ref="H207:N207" si="31">5700.18</f>
        <v>5700.18</v>
      </c>
      <c r="I207" s="7">
        <f t="shared" si="31"/>
        <v>5700.18</v>
      </c>
      <c r="J207" s="7">
        <f t="shared" si="31"/>
        <v>5700.18</v>
      </c>
      <c r="K207" s="7">
        <f t="shared" si="31"/>
        <v>5700.18</v>
      </c>
      <c r="L207" s="7">
        <f t="shared" si="31"/>
        <v>5700.18</v>
      </c>
      <c r="M207" s="7">
        <f t="shared" si="31"/>
        <v>5700.18</v>
      </c>
      <c r="N207" s="7">
        <f t="shared" si="31"/>
        <v>5700.18</v>
      </c>
    </row>
    <row r="208" spans="2:14" x14ac:dyDescent="0.2">
      <c r="B208" s="5" t="s">
        <v>228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B209" s="5" t="s">
        <v>229</v>
      </c>
      <c r="C209" s="8">
        <f t="shared" ref="C209:N209" si="32">(C207)+(C208)</f>
        <v>0</v>
      </c>
      <c r="D209" s="8">
        <f t="shared" si="32"/>
        <v>0</v>
      </c>
      <c r="E209" s="8">
        <f t="shared" si="32"/>
        <v>5363.33</v>
      </c>
      <c r="F209" s="8">
        <f t="shared" si="32"/>
        <v>5363.33</v>
      </c>
      <c r="G209" s="8">
        <f t="shared" si="32"/>
        <v>6373.88</v>
      </c>
      <c r="H209" s="8">
        <f t="shared" si="32"/>
        <v>5700.18</v>
      </c>
      <c r="I209" s="8">
        <f t="shared" si="32"/>
        <v>5700.18</v>
      </c>
      <c r="J209" s="8">
        <f t="shared" si="32"/>
        <v>5700.18</v>
      </c>
      <c r="K209" s="8">
        <f t="shared" si="32"/>
        <v>5700.18</v>
      </c>
      <c r="L209" s="8">
        <f t="shared" si="32"/>
        <v>5700.18</v>
      </c>
      <c r="M209" s="8">
        <f t="shared" si="32"/>
        <v>5700.18</v>
      </c>
      <c r="N209" s="8">
        <f t="shared" si="32"/>
        <v>5700.18</v>
      </c>
    </row>
    <row r="210" spans="1:14" x14ac:dyDescent="0.2">
      <c r="B210" s="5" t="s">
        <v>230</v>
      </c>
      <c r="C210" s="6"/>
      <c r="D210" s="6"/>
      <c r="E210" s="7">
        <f>250</f>
        <v>250</v>
      </c>
      <c r="F210" s="6"/>
      <c r="G210" s="7">
        <f>500</f>
        <v>500</v>
      </c>
      <c r="H210" s="6"/>
      <c r="I210" s="6"/>
      <c r="J210" s="6"/>
      <c r="K210" s="6"/>
      <c r="L210" s="6"/>
      <c r="M210" s="6"/>
      <c r="N210" s="7">
        <f>1413.56</f>
        <v>1413.56</v>
      </c>
    </row>
    <row r="211" spans="1:14" x14ac:dyDescent="0.2">
      <c r="B211" s="5" t="s">
        <v>231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B212" s="5" t="s">
        <v>232</v>
      </c>
      <c r="C212" s="7">
        <f>615.02</f>
        <v>615.02</v>
      </c>
      <c r="D212" s="7">
        <f t="shared" ref="D212:I212" si="33">391.06</f>
        <v>391.06</v>
      </c>
      <c r="E212" s="7">
        <f t="shared" si="33"/>
        <v>391.06</v>
      </c>
      <c r="F212" s="7">
        <f t="shared" si="33"/>
        <v>391.06</v>
      </c>
      <c r="G212" s="7">
        <f t="shared" si="33"/>
        <v>391.06</v>
      </c>
      <c r="H212" s="7">
        <f t="shared" si="33"/>
        <v>391.06</v>
      </c>
      <c r="I212" s="7">
        <f t="shared" si="33"/>
        <v>391.06</v>
      </c>
      <c r="J212" s="7">
        <f>459.89</f>
        <v>459.89</v>
      </c>
      <c r="K212" s="7">
        <f>480.86</f>
        <v>480.86</v>
      </c>
      <c r="L212" s="7">
        <f t="shared" ref="L212:N212" si="34">391.06</f>
        <v>391.06</v>
      </c>
      <c r="M212" s="7">
        <f t="shared" si="34"/>
        <v>391.06</v>
      </c>
      <c r="N212" s="7">
        <f t="shared" si="34"/>
        <v>391.06</v>
      </c>
    </row>
    <row r="213" spans="1:14" x14ac:dyDescent="0.2">
      <c r="B213" s="5" t="s">
        <v>233</v>
      </c>
      <c r="C213" s="7">
        <f>30.31</f>
        <v>30.31</v>
      </c>
      <c r="D213" s="7">
        <f>30.06</f>
        <v>30.06</v>
      </c>
      <c r="E213" s="7">
        <f>29.11</f>
        <v>29.11</v>
      </c>
      <c r="F213" s="7">
        <f>29.94</f>
        <v>29.94</v>
      </c>
      <c r="G213" s="7">
        <f>29.93</f>
        <v>29.93</v>
      </c>
      <c r="H213" s="7">
        <f>29.13</f>
        <v>29.13</v>
      </c>
      <c r="I213" s="7">
        <f>28.85</f>
        <v>28.85</v>
      </c>
      <c r="J213" s="7">
        <f>31.21</f>
        <v>31.21</v>
      </c>
      <c r="K213" s="7">
        <f>34.07</f>
        <v>34.07</v>
      </c>
      <c r="L213" s="7">
        <f>33.34</f>
        <v>33.340000000000003</v>
      </c>
      <c r="M213" s="7">
        <f>32.76</f>
        <v>32.76</v>
      </c>
      <c r="N213" s="7">
        <f>31.61</f>
        <v>31.61</v>
      </c>
    </row>
    <row r="214" spans="1:14" x14ac:dyDescent="0.2">
      <c r="B214" s="5" t="s">
        <v>234</v>
      </c>
      <c r="C214" s="8">
        <f t="shared" ref="C214:N214" si="35">((C211)+(C212))+(C213)</f>
        <v>645.32999999999993</v>
      </c>
      <c r="D214" s="8">
        <f t="shared" si="35"/>
        <v>421.12</v>
      </c>
      <c r="E214" s="8">
        <f t="shared" si="35"/>
        <v>420.17</v>
      </c>
      <c r="F214" s="8">
        <f t="shared" si="35"/>
        <v>421</v>
      </c>
      <c r="G214" s="8">
        <f t="shared" si="35"/>
        <v>420.99</v>
      </c>
      <c r="H214" s="8">
        <f t="shared" si="35"/>
        <v>420.19</v>
      </c>
      <c r="I214" s="8">
        <f t="shared" si="35"/>
        <v>419.91</v>
      </c>
      <c r="J214" s="8">
        <f t="shared" si="35"/>
        <v>491.09999999999997</v>
      </c>
      <c r="K214" s="8">
        <f t="shared" si="35"/>
        <v>514.93000000000006</v>
      </c>
      <c r="L214" s="8">
        <f t="shared" si="35"/>
        <v>424.4</v>
      </c>
      <c r="M214" s="8">
        <f t="shared" si="35"/>
        <v>423.82</v>
      </c>
      <c r="N214" s="8">
        <f t="shared" si="35"/>
        <v>422.67</v>
      </c>
    </row>
    <row r="215" spans="1:14" x14ac:dyDescent="0.2">
      <c r="B215" s="5" t="s">
        <v>235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 s="13" t="s">
        <v>4</v>
      </c>
      <c r="B216" s="16" t="s">
        <v>236</v>
      </c>
      <c r="C216" s="8">
        <f t="shared" ref="C216:N216" si="36">(((((((((((((((((((((((((C146)+(C147))+(C161))+(C162))+(C167))+(C168))+(C173))+(C174))+(C180))+(C181))+(C182))+(C183))+(C184))+(C187))+(C188))+(C195))+(C196))+(C202))+(C203))+(C204))+(C205))+(C206))+(C209))+(C210))+(C214))+(C215)</f>
        <v>6368.7699999999995</v>
      </c>
      <c r="D216" s="8">
        <f t="shared" si="36"/>
        <v>13395.33</v>
      </c>
      <c r="E216" s="8">
        <f t="shared" si="36"/>
        <v>25465.909999999996</v>
      </c>
      <c r="F216" s="8">
        <f t="shared" si="36"/>
        <v>16543.34</v>
      </c>
      <c r="G216" s="8">
        <f t="shared" si="36"/>
        <v>22260.58</v>
      </c>
      <c r="H216" s="8">
        <f t="shared" si="36"/>
        <v>25598.57</v>
      </c>
      <c r="I216" s="8">
        <f t="shared" si="36"/>
        <v>21772.430000000004</v>
      </c>
      <c r="J216" s="8">
        <f t="shared" si="36"/>
        <v>47935.500000000007</v>
      </c>
      <c r="K216" s="8">
        <f t="shared" si="36"/>
        <v>28705.599999999999</v>
      </c>
      <c r="L216" s="8">
        <f t="shared" si="36"/>
        <v>30400.52</v>
      </c>
      <c r="M216" s="8">
        <f t="shared" si="36"/>
        <v>57970.69</v>
      </c>
      <c r="N216" s="8">
        <f t="shared" si="36"/>
        <v>109567.96999999999</v>
      </c>
    </row>
    <row r="217" spans="1:14" x14ac:dyDescent="0.2">
      <c r="A217" s="13" t="s">
        <v>367</v>
      </c>
      <c r="B217" s="16" t="s">
        <v>237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7">
        <f>0</f>
        <v>0</v>
      </c>
    </row>
    <row r="218" spans="1:14" x14ac:dyDescent="0.2">
      <c r="A218" s="13" t="s">
        <v>17</v>
      </c>
      <c r="B218" s="16" t="s">
        <v>238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7">
        <f>74218.54</f>
        <v>74218.539999999994</v>
      </c>
    </row>
    <row r="219" spans="1:14" x14ac:dyDescent="0.2">
      <c r="A219" s="13" t="s">
        <v>366</v>
      </c>
      <c r="B219" s="16" t="s">
        <v>239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7">
        <f>145.56</f>
        <v>145.56</v>
      </c>
    </row>
    <row r="220" spans="1:14" x14ac:dyDescent="0.2">
      <c r="B220" s="5" t="s">
        <v>10</v>
      </c>
      <c r="C220" s="8">
        <f t="shared" ref="C220:N220" si="37">((((((C70)+(C112))+(C145))+(C216))+(C217))+(C218))+(C219)</f>
        <v>241197.80999999997</v>
      </c>
      <c r="D220" s="8">
        <f t="shared" si="37"/>
        <v>128534.87999999999</v>
      </c>
      <c r="E220" s="8">
        <f t="shared" si="37"/>
        <v>387567.83999999997</v>
      </c>
      <c r="F220" s="8">
        <f t="shared" si="37"/>
        <v>218892.68</v>
      </c>
      <c r="G220" s="8">
        <f t="shared" si="37"/>
        <v>223471.13</v>
      </c>
      <c r="H220" s="8">
        <f t="shared" si="37"/>
        <v>180294.59000000003</v>
      </c>
      <c r="I220" s="8">
        <f t="shared" si="37"/>
        <v>189628.53</v>
      </c>
      <c r="J220" s="8">
        <f t="shared" si="37"/>
        <v>228989.16</v>
      </c>
      <c r="K220" s="8">
        <f t="shared" si="37"/>
        <v>519129.54</v>
      </c>
      <c r="L220" s="8">
        <f t="shared" si="37"/>
        <v>251516.80000000002</v>
      </c>
      <c r="M220" s="8">
        <f t="shared" si="37"/>
        <v>306059.56</v>
      </c>
      <c r="N220" s="8">
        <f t="shared" si="37"/>
        <v>54732.51999999999</v>
      </c>
    </row>
    <row r="221" spans="1:14" x14ac:dyDescent="0.2">
      <c r="B221" s="5" t="s">
        <v>9</v>
      </c>
      <c r="C221" s="8">
        <f t="shared" ref="C221:N221" si="38">(C37)-(C220)</f>
        <v>-46906.209999999963</v>
      </c>
      <c r="D221" s="8">
        <f t="shared" si="38"/>
        <v>119230.12000000001</v>
      </c>
      <c r="E221" s="8">
        <f t="shared" si="38"/>
        <v>-177447.62999999998</v>
      </c>
      <c r="F221" s="8">
        <f t="shared" si="38"/>
        <v>-18797.559999999998</v>
      </c>
      <c r="G221" s="8">
        <f t="shared" si="38"/>
        <v>-31562.210000000021</v>
      </c>
      <c r="H221" s="8">
        <f t="shared" si="38"/>
        <v>30966.679999999964</v>
      </c>
      <c r="I221" s="8">
        <f t="shared" si="38"/>
        <v>4016.8099999999977</v>
      </c>
      <c r="J221" s="8">
        <f t="shared" si="38"/>
        <v>-9170.5799999999872</v>
      </c>
      <c r="K221" s="8">
        <f t="shared" si="38"/>
        <v>-273317.01</v>
      </c>
      <c r="L221" s="8">
        <f t="shared" si="38"/>
        <v>6126.0199999999895</v>
      </c>
      <c r="M221" s="8">
        <f t="shared" si="38"/>
        <v>-26209.010000000009</v>
      </c>
      <c r="N221" s="8">
        <f t="shared" si="38"/>
        <v>184590.80000000002</v>
      </c>
    </row>
    <row r="222" spans="1:14" x14ac:dyDescent="0.2">
      <c r="B222" s="5" t="s">
        <v>240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B223" s="5" t="s">
        <v>241</v>
      </c>
      <c r="C223" s="6"/>
      <c r="D223" s="6"/>
      <c r="E223" s="6"/>
      <c r="F223" s="6"/>
      <c r="G223" s="6"/>
      <c r="H223" s="6"/>
      <c r="I223" s="7">
        <f>43.15</f>
        <v>43.15</v>
      </c>
      <c r="J223" s="7">
        <f>111.51</f>
        <v>111.51</v>
      </c>
      <c r="K223" s="7">
        <f>488.23</f>
        <v>488.23</v>
      </c>
      <c r="L223" s="7">
        <f>608.27</f>
        <v>608.27</v>
      </c>
      <c r="M223" s="7">
        <f>710.4</f>
        <v>710.4</v>
      </c>
      <c r="N223" s="7">
        <f>725.37</f>
        <v>725.37</v>
      </c>
    </row>
    <row r="224" spans="1:14" x14ac:dyDescent="0.2">
      <c r="B224" s="5" t="s">
        <v>242</v>
      </c>
      <c r="C224" s="7">
        <f>10.11</f>
        <v>10.11</v>
      </c>
      <c r="D224" s="7">
        <f>36.7</f>
        <v>36.700000000000003</v>
      </c>
      <c r="E224" s="7">
        <f>14.04</f>
        <v>14.04</v>
      </c>
      <c r="F224" s="7">
        <f>74.1</f>
        <v>74.099999999999994</v>
      </c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 s="11"/>
      <c r="B225" s="17" t="s">
        <v>243</v>
      </c>
      <c r="C225" s="8">
        <f t="shared" ref="C225:N225" si="39">(C223)+(C224)</f>
        <v>10.11</v>
      </c>
      <c r="D225" s="8">
        <f t="shared" si="39"/>
        <v>36.700000000000003</v>
      </c>
      <c r="E225" s="8">
        <f t="shared" si="39"/>
        <v>14.04</v>
      </c>
      <c r="F225" s="8">
        <f t="shared" si="39"/>
        <v>74.099999999999994</v>
      </c>
      <c r="G225" s="8">
        <f t="shared" si="39"/>
        <v>0</v>
      </c>
      <c r="H225" s="8">
        <f t="shared" si="39"/>
        <v>0</v>
      </c>
      <c r="I225" s="8">
        <f t="shared" si="39"/>
        <v>43.15</v>
      </c>
      <c r="J225" s="8">
        <f t="shared" si="39"/>
        <v>111.51</v>
      </c>
      <c r="K225" s="8">
        <f t="shared" si="39"/>
        <v>488.23</v>
      </c>
      <c r="L225" s="8">
        <f t="shared" si="39"/>
        <v>608.27</v>
      </c>
      <c r="M225" s="8">
        <f t="shared" si="39"/>
        <v>710.4</v>
      </c>
      <c r="N225" s="8">
        <f t="shared" si="39"/>
        <v>725.37</v>
      </c>
    </row>
    <row r="226" spans="1:14" x14ac:dyDescent="0.2">
      <c r="B226" s="17" t="s">
        <v>244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B227" s="17" t="s">
        <v>245</v>
      </c>
      <c r="C227" s="6"/>
      <c r="D227" s="6"/>
      <c r="E227" s="7">
        <f>0</f>
        <v>0</v>
      </c>
      <c r="F227" s="7">
        <f>0</f>
        <v>0</v>
      </c>
      <c r="G227" s="6"/>
      <c r="H227" s="7">
        <f>0</f>
        <v>0</v>
      </c>
      <c r="I227" s="6"/>
      <c r="J227" s="7">
        <f>0</f>
        <v>0</v>
      </c>
      <c r="K227" s="7">
        <f>0</f>
        <v>0</v>
      </c>
      <c r="L227" s="6"/>
      <c r="M227" s="6"/>
      <c r="N227" s="6"/>
    </row>
    <row r="228" spans="1:14" x14ac:dyDescent="0.2">
      <c r="B228" s="17" t="s">
        <v>246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B229" s="17" t="s">
        <v>247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 s="11"/>
      <c r="B230" s="17" t="s">
        <v>248</v>
      </c>
      <c r="C230" s="8">
        <f t="shared" ref="C230:N230" si="40">((C227)+(C228))+(C229)</f>
        <v>0</v>
      </c>
      <c r="D230" s="8">
        <f t="shared" si="40"/>
        <v>0</v>
      </c>
      <c r="E230" s="8">
        <f t="shared" si="40"/>
        <v>0</v>
      </c>
      <c r="F230" s="8">
        <f t="shared" si="40"/>
        <v>0</v>
      </c>
      <c r="G230" s="8">
        <f t="shared" si="40"/>
        <v>0</v>
      </c>
      <c r="H230" s="8">
        <f t="shared" si="40"/>
        <v>0</v>
      </c>
      <c r="I230" s="8">
        <f t="shared" si="40"/>
        <v>0</v>
      </c>
      <c r="J230" s="8">
        <f t="shared" si="40"/>
        <v>0</v>
      </c>
      <c r="K230" s="8">
        <f t="shared" si="40"/>
        <v>0</v>
      </c>
      <c r="L230" s="8">
        <f t="shared" si="40"/>
        <v>0</v>
      </c>
      <c r="M230" s="8">
        <f t="shared" si="40"/>
        <v>0</v>
      </c>
      <c r="N230" s="8">
        <f t="shared" si="40"/>
        <v>0</v>
      </c>
    </row>
    <row r="231" spans="1:14" x14ac:dyDescent="0.2">
      <c r="A231" s="13" t="str">
        <f>+B231</f>
        <v>Net Other Income</v>
      </c>
      <c r="B231" s="16" t="s">
        <v>249</v>
      </c>
      <c r="C231" s="8">
        <f t="shared" ref="C231:N231" si="41">(C225)-(C230)</f>
        <v>10.11</v>
      </c>
      <c r="D231" s="8">
        <f t="shared" si="41"/>
        <v>36.700000000000003</v>
      </c>
      <c r="E231" s="8">
        <f t="shared" si="41"/>
        <v>14.04</v>
      </c>
      <c r="F231" s="8">
        <f t="shared" si="41"/>
        <v>74.099999999999994</v>
      </c>
      <c r="G231" s="8">
        <f t="shared" si="41"/>
        <v>0</v>
      </c>
      <c r="H231" s="8">
        <f t="shared" si="41"/>
        <v>0</v>
      </c>
      <c r="I231" s="8">
        <f t="shared" si="41"/>
        <v>43.15</v>
      </c>
      <c r="J231" s="8">
        <f t="shared" si="41"/>
        <v>111.51</v>
      </c>
      <c r="K231" s="8">
        <f t="shared" si="41"/>
        <v>488.23</v>
      </c>
      <c r="L231" s="8">
        <f t="shared" si="41"/>
        <v>608.27</v>
      </c>
      <c r="M231" s="8">
        <f t="shared" si="41"/>
        <v>710.4</v>
      </c>
      <c r="N231" s="8">
        <f t="shared" si="41"/>
        <v>725.37</v>
      </c>
    </row>
    <row r="232" spans="1:14" x14ac:dyDescent="0.2">
      <c r="B232" s="5" t="s">
        <v>5</v>
      </c>
      <c r="C232" s="8">
        <f t="shared" ref="C232:N232" si="42">(C221)+(C231)</f>
        <v>-46896.099999999962</v>
      </c>
      <c r="D232" s="8">
        <f t="shared" si="42"/>
        <v>119266.82</v>
      </c>
      <c r="E232" s="8">
        <f t="shared" si="42"/>
        <v>-177433.58999999997</v>
      </c>
      <c r="F232" s="8">
        <f t="shared" si="42"/>
        <v>-18723.46</v>
      </c>
      <c r="G232" s="8">
        <f t="shared" si="42"/>
        <v>-31562.210000000021</v>
      </c>
      <c r="H232" s="8">
        <f t="shared" si="42"/>
        <v>30966.679999999964</v>
      </c>
      <c r="I232" s="8">
        <f t="shared" si="42"/>
        <v>4059.9599999999978</v>
      </c>
      <c r="J232" s="8">
        <f t="shared" si="42"/>
        <v>-9059.069999999987</v>
      </c>
      <c r="K232" s="8">
        <f t="shared" si="42"/>
        <v>-272828.78000000003</v>
      </c>
      <c r="L232" s="8">
        <f t="shared" si="42"/>
        <v>6734.28999999999</v>
      </c>
      <c r="M232" s="8">
        <f t="shared" si="42"/>
        <v>-25498.610000000008</v>
      </c>
      <c r="N232" s="8">
        <f t="shared" si="42"/>
        <v>185316.17</v>
      </c>
    </row>
    <row r="233" spans="1:14" x14ac:dyDescent="0.2">
      <c r="A233" s="4" t="s">
        <v>0</v>
      </c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6" spans="1:14" x14ac:dyDescent="0.2">
      <c r="B236" s="14" t="s">
        <v>250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DE17-CF2F-7D47-ADC4-D9080974774D}">
  <dimension ref="A1:N22"/>
  <sheetViews>
    <sheetView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C1" sqref="C1:N1"/>
    </sheetView>
  </sheetViews>
  <sheetFormatPr baseColWidth="10" defaultColWidth="8.83203125" defaultRowHeight="15" x14ac:dyDescent="0.2"/>
  <cols>
    <col min="1" max="1" width="19.1640625" customWidth="1"/>
    <col min="2" max="2" width="28.5" bestFit="1" customWidth="1"/>
  </cols>
  <sheetData>
    <row r="1" spans="1:14" s="18" customFormat="1" ht="12" x14ac:dyDescent="0.15">
      <c r="A1" s="18" t="s">
        <v>394</v>
      </c>
      <c r="B1" s="19"/>
      <c r="C1" s="31">
        <v>43101</v>
      </c>
      <c r="D1" s="31">
        <v>43132</v>
      </c>
      <c r="E1" s="31">
        <v>43160</v>
      </c>
      <c r="F1" s="31">
        <v>43191</v>
      </c>
      <c r="G1" s="31">
        <v>43221</v>
      </c>
      <c r="H1" s="31">
        <v>43252</v>
      </c>
      <c r="I1" s="31">
        <v>43282</v>
      </c>
      <c r="J1" s="31">
        <v>43313</v>
      </c>
      <c r="K1" s="31">
        <v>43344</v>
      </c>
      <c r="L1" s="31">
        <v>43374</v>
      </c>
      <c r="M1" s="31">
        <v>43405</v>
      </c>
      <c r="N1" s="31">
        <v>43435</v>
      </c>
    </row>
    <row r="2" spans="1:14" s="18" customFormat="1" ht="11" x14ac:dyDescent="0.15">
      <c r="B2" s="20" t="s">
        <v>368</v>
      </c>
    </row>
    <row r="3" spans="1:14" s="18" customFormat="1" ht="11" x14ac:dyDescent="0.15">
      <c r="A3" s="30" t="s">
        <v>18</v>
      </c>
      <c r="B3" s="20" t="s">
        <v>369</v>
      </c>
      <c r="C3" s="21">
        <v>3098</v>
      </c>
      <c r="D3" s="21">
        <v>2808</v>
      </c>
      <c r="E3" s="21">
        <v>2401</v>
      </c>
      <c r="F3" s="21">
        <v>2529</v>
      </c>
      <c r="G3" s="21">
        <v>1990</v>
      </c>
      <c r="H3" s="21">
        <v>1793</v>
      </c>
      <c r="I3" s="21">
        <v>1369</v>
      </c>
      <c r="J3" s="21">
        <v>947</v>
      </c>
      <c r="K3" s="21">
        <v>24889</v>
      </c>
      <c r="L3" s="21">
        <v>24630</v>
      </c>
      <c r="M3" s="21">
        <v>23980</v>
      </c>
      <c r="N3" s="21">
        <v>23830</v>
      </c>
    </row>
    <row r="4" spans="1:14" s="18" customFormat="1" ht="11" x14ac:dyDescent="0.15">
      <c r="A4" s="30" t="s">
        <v>24</v>
      </c>
      <c r="B4" s="20" t="s">
        <v>370</v>
      </c>
      <c r="C4" s="12">
        <v>457</v>
      </c>
      <c r="D4" s="12">
        <v>505</v>
      </c>
      <c r="E4" s="12">
        <v>781</v>
      </c>
      <c r="F4" s="12">
        <v>826</v>
      </c>
      <c r="G4" s="12">
        <v>636</v>
      </c>
      <c r="H4" s="12">
        <v>419</v>
      </c>
      <c r="I4" s="12">
        <v>806</v>
      </c>
      <c r="J4" s="12">
        <v>668</v>
      </c>
      <c r="K4" s="12">
        <v>1200</v>
      </c>
      <c r="L4" s="12">
        <v>1582</v>
      </c>
      <c r="M4" s="12">
        <v>1184</v>
      </c>
      <c r="N4" s="12">
        <v>1726</v>
      </c>
    </row>
    <row r="5" spans="1:14" s="18" customFormat="1" ht="11" x14ac:dyDescent="0.15">
      <c r="A5" s="30" t="s">
        <v>19</v>
      </c>
      <c r="B5" s="20" t="s">
        <v>371</v>
      </c>
      <c r="C5" s="12">
        <v>127</v>
      </c>
      <c r="D5" s="12">
        <v>187</v>
      </c>
      <c r="E5" s="12">
        <v>423</v>
      </c>
      <c r="F5" s="12">
        <v>192</v>
      </c>
      <c r="G5" s="12">
        <v>178</v>
      </c>
      <c r="H5" s="12">
        <v>203</v>
      </c>
      <c r="I5" s="12">
        <v>255</v>
      </c>
      <c r="J5" s="12">
        <v>299</v>
      </c>
      <c r="K5" s="12">
        <v>353</v>
      </c>
      <c r="L5" s="12">
        <v>250</v>
      </c>
      <c r="M5" s="12">
        <v>365</v>
      </c>
      <c r="N5" s="12">
        <v>449</v>
      </c>
    </row>
    <row r="6" spans="1:14" s="18" customFormat="1" ht="11" x14ac:dyDescent="0.15">
      <c r="B6" s="20" t="s">
        <v>20</v>
      </c>
      <c r="C6" s="22">
        <v>3682</v>
      </c>
      <c r="D6" s="22">
        <v>3500</v>
      </c>
      <c r="E6" s="22">
        <v>3605</v>
      </c>
      <c r="F6" s="22">
        <v>3547</v>
      </c>
      <c r="G6" s="22">
        <v>2804</v>
      </c>
      <c r="H6" s="22">
        <v>2415</v>
      </c>
      <c r="I6" s="22">
        <v>2430</v>
      </c>
      <c r="J6" s="22">
        <v>1914</v>
      </c>
      <c r="K6" s="22">
        <v>26442</v>
      </c>
      <c r="L6" s="22">
        <v>26462</v>
      </c>
      <c r="M6" s="22">
        <v>25529</v>
      </c>
      <c r="N6" s="22">
        <v>26005</v>
      </c>
    </row>
    <row r="7" spans="1:14" s="18" customFormat="1" ht="11" x14ac:dyDescent="0.15">
      <c r="B7" s="20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s="18" customFormat="1" ht="11" x14ac:dyDescent="0.15">
      <c r="A8" s="30" t="s">
        <v>26</v>
      </c>
      <c r="B8" s="20" t="s">
        <v>372</v>
      </c>
      <c r="C8" s="12">
        <v>599</v>
      </c>
      <c r="D8" s="12">
        <v>599</v>
      </c>
      <c r="E8" s="12">
        <v>599</v>
      </c>
      <c r="F8" s="12">
        <v>599</v>
      </c>
      <c r="G8" s="12">
        <v>599</v>
      </c>
      <c r="H8" s="12">
        <v>599</v>
      </c>
      <c r="I8" s="12">
        <v>599</v>
      </c>
      <c r="J8" s="12">
        <v>599</v>
      </c>
      <c r="K8" s="12">
        <v>599</v>
      </c>
      <c r="L8" s="12">
        <v>599</v>
      </c>
      <c r="M8" s="12">
        <v>599</v>
      </c>
      <c r="N8" s="12">
        <v>481</v>
      </c>
    </row>
    <row r="9" spans="1:14" s="18" customFormat="1" ht="11" x14ac:dyDescent="0.15">
      <c r="A9" s="30" t="s">
        <v>27</v>
      </c>
      <c r="B9" s="20" t="s">
        <v>373</v>
      </c>
      <c r="C9" s="12">
        <v>3</v>
      </c>
      <c r="D9" s="12">
        <v>2</v>
      </c>
      <c r="E9" s="12">
        <v>3</v>
      </c>
      <c r="F9" s="12">
        <v>3</v>
      </c>
      <c r="G9" s="12">
        <v>2</v>
      </c>
      <c r="H9" s="12">
        <v>3</v>
      </c>
      <c r="I9" s="12">
        <v>3</v>
      </c>
      <c r="J9" s="12">
        <v>3</v>
      </c>
      <c r="K9" s="12">
        <v>3</v>
      </c>
      <c r="L9" s="12">
        <v>13</v>
      </c>
      <c r="M9" s="12">
        <v>13</v>
      </c>
      <c r="N9" s="12">
        <v>12</v>
      </c>
    </row>
    <row r="10" spans="1:14" s="18" customFormat="1" ht="12" thickBot="1" x14ac:dyDescent="0.2">
      <c r="B10" s="20" t="s">
        <v>374</v>
      </c>
      <c r="C10" s="23">
        <v>4284</v>
      </c>
      <c r="D10" s="23">
        <v>4101</v>
      </c>
      <c r="E10" s="23">
        <v>4207</v>
      </c>
      <c r="F10" s="23">
        <v>4149</v>
      </c>
      <c r="G10" s="23">
        <v>3405</v>
      </c>
      <c r="H10" s="23">
        <v>3017</v>
      </c>
      <c r="I10" s="23">
        <v>3032</v>
      </c>
      <c r="J10" s="23">
        <v>2516</v>
      </c>
      <c r="K10" s="23">
        <v>27044</v>
      </c>
      <c r="L10" s="23">
        <v>27074</v>
      </c>
      <c r="M10" s="23">
        <v>26141</v>
      </c>
      <c r="N10" s="23">
        <v>26498</v>
      </c>
    </row>
    <row r="11" spans="1:14" s="18" customFormat="1" ht="12" thickTop="1" x14ac:dyDescent="0.15">
      <c r="B11" s="20"/>
    </row>
    <row r="12" spans="1:14" s="18" customFormat="1" ht="11" x14ac:dyDescent="0.15">
      <c r="A12" s="30" t="s">
        <v>25</v>
      </c>
      <c r="B12" s="20" t="s">
        <v>375</v>
      </c>
      <c r="C12" s="24">
        <v>-7</v>
      </c>
      <c r="D12" s="24">
        <v>-9</v>
      </c>
      <c r="E12" s="24">
        <v>-9</v>
      </c>
      <c r="F12" s="24">
        <v>-9</v>
      </c>
      <c r="G12" s="24">
        <v>13</v>
      </c>
      <c r="H12" s="24">
        <v>2</v>
      </c>
      <c r="I12" s="24">
        <v>-22</v>
      </c>
      <c r="J12" s="24">
        <v>-23</v>
      </c>
      <c r="K12" s="24">
        <v>-28</v>
      </c>
      <c r="L12" s="24">
        <v>-4</v>
      </c>
      <c r="M12" s="24">
        <v>6</v>
      </c>
      <c r="N12" s="24">
        <v>527</v>
      </c>
    </row>
    <row r="13" spans="1:14" s="18" customFormat="1" ht="11" x14ac:dyDescent="0.15">
      <c r="A13" s="30" t="s">
        <v>376</v>
      </c>
      <c r="B13" s="20" t="s">
        <v>376</v>
      </c>
      <c r="C13" s="12">
        <v>4513</v>
      </c>
      <c r="D13" s="12">
        <v>4545</v>
      </c>
      <c r="E13" s="12">
        <v>4905</v>
      </c>
      <c r="F13" s="12">
        <v>5076</v>
      </c>
      <c r="G13" s="12">
        <v>4785</v>
      </c>
      <c r="H13" s="12">
        <v>4691</v>
      </c>
      <c r="I13" s="12">
        <v>4883</v>
      </c>
      <c r="J13" s="12">
        <v>4524</v>
      </c>
      <c r="K13" s="12">
        <v>4974</v>
      </c>
      <c r="L13" s="12">
        <v>5441</v>
      </c>
      <c r="M13" s="12">
        <v>5057</v>
      </c>
      <c r="N13" s="12">
        <v>6038</v>
      </c>
    </row>
    <row r="14" spans="1:14" s="18" customFormat="1" ht="11" x14ac:dyDescent="0.15">
      <c r="A14" s="30" t="s">
        <v>21</v>
      </c>
      <c r="B14" s="20" t="s">
        <v>21</v>
      </c>
      <c r="C14" s="12">
        <v>135</v>
      </c>
      <c r="D14" s="12">
        <v>144</v>
      </c>
      <c r="E14" s="12">
        <v>166</v>
      </c>
      <c r="F14" s="12">
        <v>140</v>
      </c>
      <c r="G14" s="12">
        <v>136</v>
      </c>
      <c r="H14" s="12">
        <v>135</v>
      </c>
      <c r="I14" s="12">
        <v>140</v>
      </c>
      <c r="J14" s="12">
        <v>148</v>
      </c>
      <c r="K14" s="12">
        <v>207</v>
      </c>
      <c r="L14" s="12">
        <v>178</v>
      </c>
      <c r="M14" s="12">
        <v>176</v>
      </c>
      <c r="N14" s="12">
        <v>550</v>
      </c>
    </row>
    <row r="15" spans="1:14" s="18" customFormat="1" ht="11" x14ac:dyDescent="0.15">
      <c r="B15" s="20" t="s">
        <v>22</v>
      </c>
      <c r="C15" s="22">
        <v>4641</v>
      </c>
      <c r="D15" s="22">
        <v>4680</v>
      </c>
      <c r="E15" s="22">
        <v>5062</v>
      </c>
      <c r="F15" s="22">
        <v>5207</v>
      </c>
      <c r="G15" s="22">
        <v>4934</v>
      </c>
      <c r="H15" s="22">
        <v>4828</v>
      </c>
      <c r="I15" s="22">
        <v>5001</v>
      </c>
      <c r="J15" s="22">
        <v>4649</v>
      </c>
      <c r="K15" s="22">
        <v>5153</v>
      </c>
      <c r="L15" s="22">
        <v>5615</v>
      </c>
      <c r="M15" s="22">
        <v>5239</v>
      </c>
      <c r="N15" s="22">
        <v>7115</v>
      </c>
    </row>
    <row r="16" spans="1:14" s="18" customFormat="1" ht="11" x14ac:dyDescent="0.15">
      <c r="B16" s="20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s="18" customFormat="1" ht="11" x14ac:dyDescent="0.15">
      <c r="A17" s="30" t="str">
        <f>+B17</f>
        <v>Loans Payable</v>
      </c>
      <c r="B17" s="20" t="s">
        <v>377</v>
      </c>
      <c r="C17" s="12">
        <v>92</v>
      </c>
      <c r="D17" s="12">
        <v>92</v>
      </c>
      <c r="E17" s="12">
        <v>92</v>
      </c>
      <c r="F17" s="12">
        <v>92</v>
      </c>
      <c r="G17" s="12">
        <v>92</v>
      </c>
      <c r="H17" s="12">
        <v>92</v>
      </c>
      <c r="I17" s="12">
        <v>92</v>
      </c>
      <c r="J17" s="12">
        <v>92</v>
      </c>
      <c r="K17" s="12">
        <v>92</v>
      </c>
      <c r="L17" s="12">
        <v>92</v>
      </c>
      <c r="M17" s="12">
        <v>92</v>
      </c>
      <c r="N17" s="12">
        <v>0</v>
      </c>
    </row>
    <row r="18" spans="1:14" s="18" customFormat="1" ht="11" x14ac:dyDescent="0.15">
      <c r="B18" s="20" t="s">
        <v>378</v>
      </c>
      <c r="C18" s="22">
        <v>4733</v>
      </c>
      <c r="D18" s="22">
        <v>4772</v>
      </c>
      <c r="E18" s="22">
        <v>5154</v>
      </c>
      <c r="F18" s="22">
        <v>5299</v>
      </c>
      <c r="G18" s="22">
        <v>5026</v>
      </c>
      <c r="H18" s="22">
        <v>4920</v>
      </c>
      <c r="I18" s="22">
        <v>5093</v>
      </c>
      <c r="J18" s="22">
        <v>4741</v>
      </c>
      <c r="K18" s="22">
        <v>5245</v>
      </c>
      <c r="L18" s="22">
        <v>5707</v>
      </c>
      <c r="M18" s="22">
        <v>5331</v>
      </c>
      <c r="N18" s="22">
        <v>7115</v>
      </c>
    </row>
    <row r="19" spans="1:14" s="18" customFormat="1" ht="11" x14ac:dyDescent="0.15">
      <c r="B19" s="20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s="18" customFormat="1" ht="11" x14ac:dyDescent="0.15">
      <c r="A20" s="30" t="str">
        <f>+B20</f>
        <v>Total Equity</v>
      </c>
      <c r="B20" s="20" t="s">
        <v>23</v>
      </c>
      <c r="C20" s="12">
        <v>-449</v>
      </c>
      <c r="D20" s="12">
        <v>-671</v>
      </c>
      <c r="E20" s="12">
        <v>-947</v>
      </c>
      <c r="F20" s="12">
        <v>-1150</v>
      </c>
      <c r="G20" s="12">
        <v>-1621</v>
      </c>
      <c r="H20" s="12">
        <v>-1903</v>
      </c>
      <c r="I20" s="12">
        <v>-2061</v>
      </c>
      <c r="J20" s="12">
        <v>-2225</v>
      </c>
      <c r="K20" s="12">
        <v>21799</v>
      </c>
      <c r="L20" s="12">
        <v>21367</v>
      </c>
      <c r="M20" s="12">
        <v>20810</v>
      </c>
      <c r="N20" s="12">
        <v>19383</v>
      </c>
    </row>
    <row r="21" spans="1:14" s="18" customFormat="1" ht="12" thickBot="1" x14ac:dyDescent="0.2">
      <c r="B21" s="20" t="s">
        <v>379</v>
      </c>
      <c r="C21" s="25">
        <v>4284</v>
      </c>
      <c r="D21" s="25">
        <v>4101</v>
      </c>
      <c r="E21" s="25">
        <v>4207</v>
      </c>
      <c r="F21" s="25">
        <v>4149</v>
      </c>
      <c r="G21" s="25">
        <v>3405</v>
      </c>
      <c r="H21" s="25">
        <v>3017</v>
      </c>
      <c r="I21" s="25">
        <v>3032</v>
      </c>
      <c r="J21" s="25">
        <v>2516</v>
      </c>
      <c r="K21" s="25">
        <v>27044</v>
      </c>
      <c r="L21" s="25">
        <v>27074</v>
      </c>
      <c r="M21" s="25">
        <v>26141</v>
      </c>
      <c r="N21" s="25">
        <v>26498</v>
      </c>
    </row>
    <row r="22" spans="1:14" s="18" customFormat="1" ht="12" thickTop="1" x14ac:dyDescent="0.15">
      <c r="B22" s="26"/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8882-A03B-CF4E-9973-A709BBE0BABA}">
  <dimension ref="A1:N22"/>
  <sheetViews>
    <sheetView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E12" sqref="E12"/>
    </sheetView>
  </sheetViews>
  <sheetFormatPr baseColWidth="10" defaultColWidth="8.83203125" defaultRowHeight="15" x14ac:dyDescent="0.2"/>
  <cols>
    <col min="1" max="1" width="19.1640625" customWidth="1"/>
    <col min="2" max="2" width="28.5" bestFit="1" customWidth="1"/>
  </cols>
  <sheetData>
    <row r="1" spans="1:14" s="18" customFormat="1" ht="12" x14ac:dyDescent="0.15">
      <c r="A1" s="18" t="s">
        <v>394</v>
      </c>
      <c r="B1" s="19"/>
      <c r="C1" s="31">
        <v>43466</v>
      </c>
      <c r="D1" s="31">
        <v>43497</v>
      </c>
      <c r="E1" s="31">
        <v>43525</v>
      </c>
      <c r="F1" s="31">
        <v>43556</v>
      </c>
      <c r="G1" s="31">
        <v>43586</v>
      </c>
      <c r="H1" s="31">
        <v>43617</v>
      </c>
      <c r="I1" s="31">
        <v>43647</v>
      </c>
      <c r="J1" s="31">
        <v>43678</v>
      </c>
      <c r="K1" s="31">
        <v>43709</v>
      </c>
      <c r="L1" s="31">
        <v>43739</v>
      </c>
      <c r="M1" s="31">
        <v>43770</v>
      </c>
      <c r="N1" s="31">
        <v>43800</v>
      </c>
    </row>
    <row r="2" spans="1:14" s="18" customFormat="1" ht="11" x14ac:dyDescent="0.15">
      <c r="B2" s="20" t="s">
        <v>368</v>
      </c>
    </row>
    <row r="3" spans="1:14" s="18" customFormat="1" ht="11" x14ac:dyDescent="0.15">
      <c r="A3" s="30" t="s">
        <v>18</v>
      </c>
      <c r="B3" s="20" t="s">
        <v>369</v>
      </c>
      <c r="C3" s="21">
        <v>23151</v>
      </c>
      <c r="D3" s="21">
        <v>22489</v>
      </c>
      <c r="E3" s="21">
        <v>21194</v>
      </c>
      <c r="F3" s="21">
        <v>19961</v>
      </c>
      <c r="G3" s="21">
        <v>21080</v>
      </c>
      <c r="H3" s="21">
        <v>20561</v>
      </c>
      <c r="I3" s="21">
        <v>19443</v>
      </c>
      <c r="J3" s="21">
        <v>18446</v>
      </c>
      <c r="K3" s="21">
        <v>17876</v>
      </c>
      <c r="L3" s="21">
        <v>17146</v>
      </c>
      <c r="M3" s="21">
        <v>16978</v>
      </c>
      <c r="N3" s="21">
        <v>15917</v>
      </c>
    </row>
    <row r="4" spans="1:14" s="18" customFormat="1" ht="11" x14ac:dyDescent="0.15">
      <c r="A4" s="30" t="s">
        <v>24</v>
      </c>
      <c r="B4" s="20" t="s">
        <v>370</v>
      </c>
      <c r="C4" s="12">
        <v>1475</v>
      </c>
      <c r="D4" s="12">
        <v>1464</v>
      </c>
      <c r="E4" s="12">
        <v>4297</v>
      </c>
      <c r="F4" s="12">
        <v>4735</v>
      </c>
      <c r="G4" s="12">
        <v>2266</v>
      </c>
      <c r="H4" s="12">
        <v>2556</v>
      </c>
      <c r="I4" s="12">
        <v>2486</v>
      </c>
      <c r="J4" s="12">
        <v>2580</v>
      </c>
      <c r="K4" s="12">
        <v>3592</v>
      </c>
      <c r="L4" s="12">
        <v>3457</v>
      </c>
      <c r="M4" s="12">
        <v>2138</v>
      </c>
      <c r="N4" s="12">
        <v>4117</v>
      </c>
    </row>
    <row r="5" spans="1:14" s="18" customFormat="1" ht="11" x14ac:dyDescent="0.15">
      <c r="A5" s="30" t="s">
        <v>19</v>
      </c>
      <c r="B5" s="20" t="s">
        <v>371</v>
      </c>
      <c r="C5" s="12">
        <v>680</v>
      </c>
      <c r="D5" s="12">
        <v>694</v>
      </c>
      <c r="E5" s="12">
        <v>548</v>
      </c>
      <c r="F5" s="12">
        <v>550</v>
      </c>
      <c r="G5" s="12">
        <v>530</v>
      </c>
      <c r="H5" s="12">
        <v>461</v>
      </c>
      <c r="I5" s="12">
        <v>644</v>
      </c>
      <c r="J5" s="12">
        <v>693</v>
      </c>
      <c r="K5" s="12">
        <v>643</v>
      </c>
      <c r="L5" s="12">
        <v>560</v>
      </c>
      <c r="M5" s="12">
        <v>550</v>
      </c>
      <c r="N5" s="12">
        <v>582</v>
      </c>
    </row>
    <row r="6" spans="1:14" s="18" customFormat="1" ht="11" x14ac:dyDescent="0.15">
      <c r="B6" s="20" t="s">
        <v>20</v>
      </c>
      <c r="C6" s="22">
        <v>25306</v>
      </c>
      <c r="D6" s="22">
        <v>24647</v>
      </c>
      <c r="E6" s="22">
        <v>26039</v>
      </c>
      <c r="F6" s="22">
        <v>25246</v>
      </c>
      <c r="G6" s="22">
        <v>23876</v>
      </c>
      <c r="H6" s="22">
        <v>23578</v>
      </c>
      <c r="I6" s="22">
        <v>22573</v>
      </c>
      <c r="J6" s="22">
        <v>21719</v>
      </c>
      <c r="K6" s="22">
        <v>22111</v>
      </c>
      <c r="L6" s="22">
        <v>21163</v>
      </c>
      <c r="M6" s="22">
        <v>19666</v>
      </c>
      <c r="N6" s="22">
        <v>20616</v>
      </c>
    </row>
    <row r="7" spans="1:14" s="18" customFormat="1" ht="11" x14ac:dyDescent="0.15">
      <c r="B7" s="20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s="18" customFormat="1" ht="11" x14ac:dyDescent="0.15">
      <c r="A8" s="30" t="s">
        <v>26</v>
      </c>
      <c r="B8" s="20" t="s">
        <v>372</v>
      </c>
      <c r="C8" s="12">
        <v>499</v>
      </c>
      <c r="D8" s="12">
        <v>511</v>
      </c>
      <c r="E8" s="12">
        <v>538</v>
      </c>
      <c r="F8" s="12">
        <v>549</v>
      </c>
      <c r="G8" s="12">
        <v>566</v>
      </c>
      <c r="H8" s="12">
        <v>590</v>
      </c>
      <c r="I8" s="12">
        <v>598</v>
      </c>
      <c r="J8" s="12">
        <v>609</v>
      </c>
      <c r="K8" s="12">
        <v>687</v>
      </c>
      <c r="L8" s="12">
        <v>745</v>
      </c>
      <c r="M8" s="12">
        <v>766</v>
      </c>
      <c r="N8" s="12">
        <v>1058</v>
      </c>
    </row>
    <row r="9" spans="1:14" s="18" customFormat="1" ht="11" x14ac:dyDescent="0.15">
      <c r="A9" s="30" t="s">
        <v>27</v>
      </c>
      <c r="B9" s="20" t="s">
        <v>373</v>
      </c>
      <c r="C9" s="12">
        <v>13</v>
      </c>
      <c r="D9" s="12">
        <v>29</v>
      </c>
      <c r="E9" s="12">
        <v>68</v>
      </c>
      <c r="F9" s="12">
        <v>92</v>
      </c>
      <c r="G9" s="12">
        <v>118</v>
      </c>
      <c r="H9" s="12">
        <v>174</v>
      </c>
      <c r="I9" s="12">
        <v>213</v>
      </c>
      <c r="J9" s="12">
        <v>361</v>
      </c>
      <c r="K9" s="12">
        <v>369</v>
      </c>
      <c r="L9" s="12">
        <v>454</v>
      </c>
      <c r="M9" s="12">
        <v>536</v>
      </c>
      <c r="N9" s="12">
        <v>590</v>
      </c>
    </row>
    <row r="10" spans="1:14" s="18" customFormat="1" ht="12" thickBot="1" x14ac:dyDescent="0.2">
      <c r="B10" s="20" t="s">
        <v>374</v>
      </c>
      <c r="C10" s="23">
        <v>25818</v>
      </c>
      <c r="D10" s="23">
        <v>25187</v>
      </c>
      <c r="E10" s="23">
        <v>26645</v>
      </c>
      <c r="F10" s="23">
        <v>25887</v>
      </c>
      <c r="G10" s="23">
        <v>24560</v>
      </c>
      <c r="H10" s="23">
        <v>24342</v>
      </c>
      <c r="I10" s="23">
        <v>23384</v>
      </c>
      <c r="J10" s="23">
        <v>22689</v>
      </c>
      <c r="K10" s="23">
        <v>23167</v>
      </c>
      <c r="L10" s="23">
        <v>22362</v>
      </c>
      <c r="M10" s="23">
        <v>20968</v>
      </c>
      <c r="N10" s="23">
        <v>22264</v>
      </c>
    </row>
    <row r="11" spans="1:14" s="18" customFormat="1" ht="12" thickTop="1" x14ac:dyDescent="0.15">
      <c r="B11" s="20"/>
    </row>
    <row r="12" spans="1:14" s="18" customFormat="1" ht="11" x14ac:dyDescent="0.15">
      <c r="A12" s="30" t="s">
        <v>25</v>
      </c>
      <c r="B12" s="20" t="s">
        <v>375</v>
      </c>
      <c r="C12" s="24">
        <v>362</v>
      </c>
      <c r="D12" s="24">
        <v>390</v>
      </c>
      <c r="E12" s="24">
        <v>463</v>
      </c>
      <c r="F12" s="24">
        <v>607</v>
      </c>
      <c r="G12" s="24">
        <v>418</v>
      </c>
      <c r="H12" s="24">
        <v>594</v>
      </c>
      <c r="I12" s="24">
        <v>637</v>
      </c>
      <c r="J12" s="24">
        <v>756</v>
      </c>
      <c r="K12" s="24">
        <v>294</v>
      </c>
      <c r="L12" s="24">
        <v>534</v>
      </c>
      <c r="M12" s="24">
        <v>622</v>
      </c>
      <c r="N12" s="24">
        <v>3047</v>
      </c>
    </row>
    <row r="13" spans="1:14" s="18" customFormat="1" ht="11" x14ac:dyDescent="0.15">
      <c r="A13" s="30" t="s">
        <v>376</v>
      </c>
      <c r="B13" s="20" t="s">
        <v>376</v>
      </c>
      <c r="C13" s="12">
        <v>5945</v>
      </c>
      <c r="D13" s="12">
        <v>5741</v>
      </c>
      <c r="E13" s="12">
        <v>7729</v>
      </c>
      <c r="F13" s="12">
        <v>7876</v>
      </c>
      <c r="G13" s="12">
        <v>7266</v>
      </c>
      <c r="H13" s="12">
        <v>7515</v>
      </c>
      <c r="I13" s="12">
        <v>7344</v>
      </c>
      <c r="J13" s="12">
        <v>7251</v>
      </c>
      <c r="K13" s="12">
        <v>8486</v>
      </c>
      <c r="L13" s="12">
        <v>8922</v>
      </c>
      <c r="M13" s="12">
        <v>7961</v>
      </c>
      <c r="N13" s="12">
        <v>9481</v>
      </c>
    </row>
    <row r="14" spans="1:14" s="18" customFormat="1" ht="11" x14ac:dyDescent="0.15">
      <c r="A14" s="30" t="s">
        <v>21</v>
      </c>
      <c r="B14" s="20" t="s">
        <v>21</v>
      </c>
      <c r="C14" s="12">
        <v>273</v>
      </c>
      <c r="D14" s="12">
        <v>258</v>
      </c>
      <c r="E14" s="12">
        <v>290</v>
      </c>
      <c r="F14" s="12">
        <v>214</v>
      </c>
      <c r="G14" s="12">
        <v>214</v>
      </c>
      <c r="H14" s="12">
        <v>258</v>
      </c>
      <c r="I14" s="12">
        <v>231</v>
      </c>
      <c r="J14" s="12">
        <v>210</v>
      </c>
      <c r="K14" s="12">
        <v>319</v>
      </c>
      <c r="L14" s="12">
        <v>397</v>
      </c>
      <c r="M14" s="12">
        <v>402</v>
      </c>
      <c r="N14" s="12">
        <v>685</v>
      </c>
    </row>
    <row r="15" spans="1:14" s="18" customFormat="1" ht="11" x14ac:dyDescent="0.15">
      <c r="B15" s="20" t="s">
        <v>22</v>
      </c>
      <c r="C15" s="22">
        <v>6580</v>
      </c>
      <c r="D15" s="22">
        <v>6389</v>
      </c>
      <c r="E15" s="22">
        <v>8482</v>
      </c>
      <c r="F15" s="22">
        <v>8697</v>
      </c>
      <c r="G15" s="22">
        <v>7898</v>
      </c>
      <c r="H15" s="22">
        <v>8367</v>
      </c>
      <c r="I15" s="22">
        <v>8212</v>
      </c>
      <c r="J15" s="22">
        <v>8217</v>
      </c>
      <c r="K15" s="22">
        <v>9099</v>
      </c>
      <c r="L15" s="22">
        <v>9853</v>
      </c>
      <c r="M15" s="22">
        <v>8985</v>
      </c>
      <c r="N15" s="22">
        <v>13213</v>
      </c>
    </row>
    <row r="16" spans="1:14" s="18" customFormat="1" ht="11" x14ac:dyDescent="0.15">
      <c r="B16" s="20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s="18" customFormat="1" ht="11" x14ac:dyDescent="0.15">
      <c r="A17" s="30" t="str">
        <f>+B17</f>
        <v>Loans Payable</v>
      </c>
      <c r="B17" s="20" t="s">
        <v>377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</row>
    <row r="18" spans="1:14" s="18" customFormat="1" ht="11" x14ac:dyDescent="0.15">
      <c r="B18" s="20" t="s">
        <v>378</v>
      </c>
      <c r="C18" s="22">
        <v>6580</v>
      </c>
      <c r="D18" s="22">
        <v>6389</v>
      </c>
      <c r="E18" s="22">
        <v>8482</v>
      </c>
      <c r="F18" s="22">
        <v>8697</v>
      </c>
      <c r="G18" s="22">
        <v>7898</v>
      </c>
      <c r="H18" s="22">
        <v>8367</v>
      </c>
      <c r="I18" s="22">
        <v>8212</v>
      </c>
      <c r="J18" s="22">
        <v>8217</v>
      </c>
      <c r="K18" s="22">
        <v>9099</v>
      </c>
      <c r="L18" s="22">
        <v>9853</v>
      </c>
      <c r="M18" s="22">
        <v>8985</v>
      </c>
      <c r="N18" s="22">
        <v>13213</v>
      </c>
    </row>
    <row r="19" spans="1:14" s="18" customFormat="1" ht="11" x14ac:dyDescent="0.15">
      <c r="B19" s="20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s="18" customFormat="1" ht="11" x14ac:dyDescent="0.15">
      <c r="A20" s="30" t="str">
        <f>+B20</f>
        <v>Total Equity</v>
      </c>
      <c r="B20" s="20" t="s">
        <v>23</v>
      </c>
      <c r="C20" s="12">
        <v>19238</v>
      </c>
      <c r="D20" s="12">
        <v>18798</v>
      </c>
      <c r="E20" s="12">
        <v>18163</v>
      </c>
      <c r="F20" s="12">
        <v>17190</v>
      </c>
      <c r="G20" s="12">
        <v>16662</v>
      </c>
      <c r="H20" s="12">
        <v>15975</v>
      </c>
      <c r="I20" s="12">
        <v>15172</v>
      </c>
      <c r="J20" s="12">
        <v>14472</v>
      </c>
      <c r="K20" s="12">
        <v>14068</v>
      </c>
      <c r="L20" s="12">
        <v>12509</v>
      </c>
      <c r="M20" s="12">
        <v>11983</v>
      </c>
      <c r="N20" s="12">
        <v>9051</v>
      </c>
    </row>
    <row r="21" spans="1:14" s="18" customFormat="1" ht="12" thickBot="1" x14ac:dyDescent="0.2">
      <c r="B21" s="20" t="s">
        <v>379</v>
      </c>
      <c r="C21" s="25">
        <v>25818</v>
      </c>
      <c r="D21" s="25">
        <v>25187</v>
      </c>
      <c r="E21" s="25">
        <v>26645</v>
      </c>
      <c r="F21" s="25">
        <v>25887</v>
      </c>
      <c r="G21" s="25">
        <v>24560</v>
      </c>
      <c r="H21" s="25">
        <v>24342</v>
      </c>
      <c r="I21" s="25">
        <v>23384</v>
      </c>
      <c r="J21" s="25">
        <v>22689</v>
      </c>
      <c r="K21" s="25">
        <v>23167</v>
      </c>
      <c r="L21" s="25">
        <v>22362</v>
      </c>
      <c r="M21" s="25">
        <v>20968</v>
      </c>
      <c r="N21" s="25">
        <v>22264</v>
      </c>
    </row>
    <row r="22" spans="1:14" s="18" customFormat="1" ht="12" thickTop="1" x14ac:dyDescent="0.15">
      <c r="B22" s="26"/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353C-7901-1849-ADD0-17551709342D}">
  <dimension ref="A1:E22"/>
  <sheetViews>
    <sheetView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G4" sqref="G4"/>
    </sheetView>
  </sheetViews>
  <sheetFormatPr baseColWidth="10" defaultColWidth="8.83203125" defaultRowHeight="15" x14ac:dyDescent="0.2"/>
  <cols>
    <col min="1" max="1" width="19.1640625" customWidth="1"/>
    <col min="2" max="2" width="28.5" bestFit="1" customWidth="1"/>
  </cols>
  <sheetData>
    <row r="1" spans="1:5" s="18" customFormat="1" ht="12" x14ac:dyDescent="0.15">
      <c r="A1" s="18" t="s">
        <v>394</v>
      </c>
      <c r="B1" s="19"/>
      <c r="C1" s="31">
        <v>43831</v>
      </c>
      <c r="D1" s="31">
        <v>43862</v>
      </c>
      <c r="E1" s="31">
        <v>43891</v>
      </c>
    </row>
    <row r="2" spans="1:5" s="18" customFormat="1" ht="11" x14ac:dyDescent="0.15">
      <c r="B2" s="20" t="s">
        <v>368</v>
      </c>
    </row>
    <row r="3" spans="1:5" s="18" customFormat="1" ht="11" x14ac:dyDescent="0.15">
      <c r="A3" s="30" t="s">
        <v>18</v>
      </c>
      <c r="B3" s="20" t="s">
        <v>369</v>
      </c>
      <c r="C3" s="21">
        <v>13460</v>
      </c>
      <c r="D3" s="21">
        <v>11745</v>
      </c>
      <c r="E3" s="21">
        <v>19065</v>
      </c>
    </row>
    <row r="4" spans="1:5" s="18" customFormat="1" ht="11" x14ac:dyDescent="0.15">
      <c r="A4" s="30" t="s">
        <v>24</v>
      </c>
      <c r="B4" s="20" t="s">
        <v>370</v>
      </c>
      <c r="C4" s="12">
        <v>12114</v>
      </c>
      <c r="D4" s="12">
        <v>11313</v>
      </c>
      <c r="E4" s="12">
        <v>5558</v>
      </c>
    </row>
    <row r="5" spans="1:5" s="18" customFormat="1" ht="11" x14ac:dyDescent="0.15">
      <c r="A5" s="30" t="s">
        <v>19</v>
      </c>
      <c r="B5" s="20" t="s">
        <v>371</v>
      </c>
      <c r="C5" s="12">
        <v>826</v>
      </c>
      <c r="D5" s="12">
        <v>1111</v>
      </c>
      <c r="E5" s="12">
        <v>1315</v>
      </c>
    </row>
    <row r="6" spans="1:5" s="18" customFormat="1" ht="11" x14ac:dyDescent="0.15">
      <c r="B6" s="20" t="s">
        <v>20</v>
      </c>
      <c r="C6" s="22">
        <v>26400</v>
      </c>
      <c r="D6" s="22">
        <v>24169</v>
      </c>
      <c r="E6" s="22">
        <v>25938</v>
      </c>
    </row>
    <row r="7" spans="1:5" s="18" customFormat="1" ht="11" x14ac:dyDescent="0.15">
      <c r="B7" s="20"/>
      <c r="C7" s="12"/>
      <c r="D7" s="12"/>
      <c r="E7" s="12"/>
    </row>
    <row r="8" spans="1:5" s="18" customFormat="1" ht="11" x14ac:dyDescent="0.15">
      <c r="A8" s="30" t="s">
        <v>26</v>
      </c>
      <c r="B8" s="20" t="s">
        <v>372</v>
      </c>
      <c r="C8" s="12">
        <v>1082</v>
      </c>
      <c r="D8" s="12">
        <v>1234</v>
      </c>
      <c r="E8" s="12">
        <v>1257</v>
      </c>
    </row>
    <row r="9" spans="1:5" s="18" customFormat="1" ht="11" x14ac:dyDescent="0.15">
      <c r="A9" s="30" t="s">
        <v>27</v>
      </c>
      <c r="B9" s="20" t="s">
        <v>373</v>
      </c>
      <c r="C9" s="12">
        <v>930</v>
      </c>
      <c r="D9" s="12">
        <v>1085</v>
      </c>
      <c r="E9" s="12">
        <v>1146</v>
      </c>
    </row>
    <row r="10" spans="1:5" s="18" customFormat="1" ht="12" thickBot="1" x14ac:dyDescent="0.2">
      <c r="B10" s="20" t="s">
        <v>374</v>
      </c>
      <c r="C10" s="23">
        <v>28412</v>
      </c>
      <c r="D10" s="23">
        <v>26488</v>
      </c>
      <c r="E10" s="23">
        <v>28341</v>
      </c>
    </row>
    <row r="11" spans="1:5" s="18" customFormat="1" ht="12" thickTop="1" x14ac:dyDescent="0.15">
      <c r="B11" s="20"/>
    </row>
    <row r="12" spans="1:5" s="18" customFormat="1" ht="11" x14ac:dyDescent="0.15">
      <c r="A12" s="30" t="s">
        <v>25</v>
      </c>
      <c r="B12" s="20" t="s">
        <v>375</v>
      </c>
      <c r="C12" s="24">
        <v>4422</v>
      </c>
      <c r="D12" s="24">
        <v>5890</v>
      </c>
      <c r="E12" s="24">
        <v>7787</v>
      </c>
    </row>
    <row r="13" spans="1:5" s="18" customFormat="1" ht="11" x14ac:dyDescent="0.15">
      <c r="A13" s="30" t="s">
        <v>376</v>
      </c>
      <c r="B13" s="20" t="s">
        <v>376</v>
      </c>
      <c r="C13" s="12">
        <v>17784</v>
      </c>
      <c r="D13" s="12">
        <v>17073</v>
      </c>
      <c r="E13" s="12">
        <v>19321</v>
      </c>
    </row>
    <row r="14" spans="1:5" s="18" customFormat="1" ht="11" x14ac:dyDescent="0.15">
      <c r="A14" s="30" t="s">
        <v>21</v>
      </c>
      <c r="B14" s="20" t="s">
        <v>21</v>
      </c>
      <c r="C14" s="12">
        <v>-2068</v>
      </c>
      <c r="D14" s="12">
        <v>-4098</v>
      </c>
      <c r="E14" s="12">
        <v>-5578</v>
      </c>
    </row>
    <row r="15" spans="1:5" s="18" customFormat="1" ht="11" x14ac:dyDescent="0.15">
      <c r="B15" s="20" t="s">
        <v>22</v>
      </c>
      <c r="C15" s="22">
        <v>20138</v>
      </c>
      <c r="D15" s="22">
        <v>18865</v>
      </c>
      <c r="E15" s="22">
        <v>21530</v>
      </c>
    </row>
    <row r="16" spans="1:5" s="18" customFormat="1" ht="11" x14ac:dyDescent="0.15">
      <c r="B16" s="20"/>
      <c r="C16" s="12"/>
      <c r="D16" s="12"/>
      <c r="E16" s="12"/>
    </row>
    <row r="17" spans="1:5" s="18" customFormat="1" ht="11" x14ac:dyDescent="0.15">
      <c r="A17" s="30" t="str">
        <f>+B17</f>
        <v>Loans Payable</v>
      </c>
      <c r="B17" s="20" t="s">
        <v>377</v>
      </c>
      <c r="C17" s="12">
        <v>0</v>
      </c>
      <c r="D17" s="12">
        <v>0</v>
      </c>
      <c r="E17" s="12">
        <v>0</v>
      </c>
    </row>
    <row r="18" spans="1:5" s="18" customFormat="1" ht="11" x14ac:dyDescent="0.15">
      <c r="B18" s="20" t="s">
        <v>378</v>
      </c>
      <c r="C18" s="22">
        <v>20138</v>
      </c>
      <c r="D18" s="22">
        <v>18865</v>
      </c>
      <c r="E18" s="22">
        <v>21530</v>
      </c>
    </row>
    <row r="19" spans="1:5" s="18" customFormat="1" ht="11" x14ac:dyDescent="0.15">
      <c r="B19" s="20"/>
      <c r="C19" s="12"/>
      <c r="D19" s="12"/>
      <c r="E19" s="12"/>
    </row>
    <row r="20" spans="1:5" s="18" customFormat="1" ht="11" x14ac:dyDescent="0.15">
      <c r="A20" s="30" t="str">
        <f>+B20</f>
        <v>Total Equity</v>
      </c>
      <c r="B20" s="20" t="s">
        <v>23</v>
      </c>
      <c r="C20" s="12">
        <v>8274</v>
      </c>
      <c r="D20" s="12">
        <v>7623</v>
      </c>
      <c r="E20" s="12">
        <v>6811</v>
      </c>
    </row>
    <row r="21" spans="1:5" s="18" customFormat="1" ht="12" thickBot="1" x14ac:dyDescent="0.2">
      <c r="B21" s="20" t="s">
        <v>379</v>
      </c>
      <c r="C21" s="25">
        <v>28412</v>
      </c>
      <c r="D21" s="25">
        <v>26488</v>
      </c>
      <c r="E21" s="25">
        <v>28341</v>
      </c>
    </row>
    <row r="22" spans="1:5" s="18" customFormat="1" ht="12" thickTop="1" x14ac:dyDescent="0.15">
      <c r="B22" s="26"/>
      <c r="C22" s="27">
        <v>0</v>
      </c>
      <c r="D22" s="27">
        <v>0</v>
      </c>
      <c r="E22" s="2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C4B4-E708-4944-BD3A-DF10E2FE7848}">
  <dimension ref="A1:AN116"/>
  <sheetViews>
    <sheetView zoomScale="85" zoomScaleNormal="85" workbookViewId="0">
      <pane xSplit="1" topLeftCell="B1" activePane="topRight" state="frozen"/>
      <selection activeCell="N236" sqref="N236"/>
      <selection pane="topRight" activeCell="B11" sqref="B11"/>
    </sheetView>
  </sheetViews>
  <sheetFormatPr baseColWidth="10" defaultColWidth="11.5" defaultRowHeight="15" x14ac:dyDescent="0.2"/>
  <cols>
    <col min="1" max="1" width="10.6640625" style="9" customWidth="1"/>
    <col min="2" max="2" width="11.83203125" style="9" customWidth="1"/>
    <col min="3" max="12" width="12.5" style="9" bestFit="1" customWidth="1"/>
    <col min="13" max="13" width="12.5" style="10" bestFit="1" customWidth="1"/>
    <col min="14" max="24" width="12.5" style="9" bestFit="1" customWidth="1"/>
    <col min="25" max="25" width="12.5" style="10" bestFit="1" customWidth="1"/>
    <col min="26" max="28" width="12.5" style="9" bestFit="1" customWidth="1"/>
    <col min="29" max="36" width="14.33203125" style="9" bestFit="1" customWidth="1"/>
    <col min="37" max="37" width="14.33203125" style="10" bestFit="1" customWidth="1"/>
    <col min="38" max="40" width="14.33203125" style="9" bestFit="1" customWidth="1"/>
    <col min="41" max="16384" width="11.5" style="9"/>
  </cols>
  <sheetData>
    <row r="1" spans="1:40" x14ac:dyDescent="0.2">
      <c r="A1" s="32" t="s">
        <v>1</v>
      </c>
      <c r="B1" s="33">
        <v>42736</v>
      </c>
      <c r="C1" s="33">
        <v>42767</v>
      </c>
      <c r="D1" s="33">
        <v>42795</v>
      </c>
      <c r="E1" s="33">
        <v>42826</v>
      </c>
      <c r="F1" s="33">
        <v>42856</v>
      </c>
      <c r="G1" s="33">
        <v>42887</v>
      </c>
      <c r="H1" s="33">
        <v>42917</v>
      </c>
      <c r="I1" s="33">
        <v>42948</v>
      </c>
      <c r="J1" s="33">
        <v>42979</v>
      </c>
      <c r="K1" s="33">
        <v>43009</v>
      </c>
      <c r="L1" s="33">
        <v>43040</v>
      </c>
      <c r="M1" s="33">
        <v>43070</v>
      </c>
      <c r="N1" s="33">
        <v>43101</v>
      </c>
      <c r="O1" s="33">
        <v>43132</v>
      </c>
      <c r="P1" s="33">
        <v>43160</v>
      </c>
      <c r="Q1" s="33">
        <v>43191</v>
      </c>
      <c r="R1" s="33">
        <v>43221</v>
      </c>
      <c r="S1" s="33">
        <v>43252</v>
      </c>
      <c r="T1" s="33">
        <v>43282</v>
      </c>
      <c r="U1" s="33">
        <v>43313</v>
      </c>
      <c r="V1" s="33">
        <v>43344</v>
      </c>
      <c r="W1" s="33">
        <v>43374</v>
      </c>
      <c r="X1" s="33">
        <v>43405</v>
      </c>
      <c r="Y1" s="33">
        <v>43435</v>
      </c>
      <c r="Z1" s="33">
        <v>43466</v>
      </c>
      <c r="AA1" s="33">
        <v>43497</v>
      </c>
      <c r="AB1" s="33">
        <v>43525</v>
      </c>
      <c r="AC1" s="33">
        <v>43556</v>
      </c>
      <c r="AD1" s="33">
        <v>43586</v>
      </c>
      <c r="AE1" s="33">
        <v>43617</v>
      </c>
      <c r="AF1" s="33">
        <v>43647</v>
      </c>
      <c r="AG1" s="33">
        <v>43678</v>
      </c>
      <c r="AH1" s="33">
        <v>43709</v>
      </c>
      <c r="AI1" s="33">
        <v>43739</v>
      </c>
      <c r="AJ1" s="33">
        <v>43770</v>
      </c>
      <c r="AK1" s="33">
        <v>43800</v>
      </c>
      <c r="AL1" s="33">
        <v>43831</v>
      </c>
      <c r="AM1" s="33">
        <v>43862</v>
      </c>
      <c r="AN1" s="33">
        <v>43891</v>
      </c>
    </row>
    <row r="2" spans="1:40" x14ac:dyDescent="0.2">
      <c r="A2" s="34" t="s">
        <v>251</v>
      </c>
      <c r="B2" s="35">
        <v>17383</v>
      </c>
      <c r="C2" s="35">
        <v>17383</v>
      </c>
      <c r="D2" s="35">
        <v>16483</v>
      </c>
      <c r="E2" s="35">
        <v>17083</v>
      </c>
      <c r="F2" s="35">
        <v>17083</v>
      </c>
      <c r="G2" s="35">
        <v>17083</v>
      </c>
      <c r="H2" s="35">
        <v>17083</v>
      </c>
      <c r="I2" s="35">
        <v>17083</v>
      </c>
      <c r="J2" s="35">
        <v>17083</v>
      </c>
      <c r="K2" s="35">
        <v>17083</v>
      </c>
      <c r="L2" s="35">
        <v>17083</v>
      </c>
      <c r="M2" s="36">
        <v>19307</v>
      </c>
      <c r="N2" s="35">
        <v>23750</v>
      </c>
      <c r="O2" s="35">
        <v>23750</v>
      </c>
      <c r="P2" s="35">
        <v>23750</v>
      </c>
      <c r="Q2" s="35">
        <v>23750</v>
      </c>
      <c r="R2" s="35">
        <v>23750</v>
      </c>
      <c r="S2" s="35">
        <v>23750</v>
      </c>
      <c r="T2" s="35">
        <v>23750</v>
      </c>
      <c r="U2" s="35">
        <v>23750</v>
      </c>
      <c r="V2" s="35">
        <v>23750</v>
      </c>
      <c r="W2" s="35">
        <v>23750</v>
      </c>
      <c r="X2" s="35">
        <v>23750</v>
      </c>
      <c r="Y2" s="36">
        <v>24500</v>
      </c>
      <c r="Z2" s="35">
        <v>26000</v>
      </c>
      <c r="AA2" s="35">
        <v>26000</v>
      </c>
      <c r="AB2" s="35">
        <v>26000</v>
      </c>
      <c r="AC2" s="35">
        <v>26000</v>
      </c>
      <c r="AD2" s="35">
        <v>55241.25</v>
      </c>
      <c r="AE2" s="35">
        <v>45241.25</v>
      </c>
      <c r="AF2" s="35">
        <v>45241.25</v>
      </c>
      <c r="AG2" s="35">
        <v>45241.25</v>
      </c>
      <c r="AH2" s="35">
        <v>45241.25</v>
      </c>
      <c r="AI2" s="35">
        <v>45241.25</v>
      </c>
      <c r="AJ2" s="35">
        <v>45241.25</v>
      </c>
      <c r="AK2" s="36">
        <v>52305.369999999995</v>
      </c>
      <c r="AL2" s="35">
        <v>52433.33</v>
      </c>
      <c r="AM2" s="35">
        <v>52433.33</v>
      </c>
      <c r="AN2" s="35">
        <v>52433.33</v>
      </c>
    </row>
    <row r="3" spans="1:40" x14ac:dyDescent="0.2">
      <c r="A3" s="37" t="s">
        <v>252</v>
      </c>
      <c r="B3" s="35">
        <v>1979.6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6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6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6"/>
      <c r="AL3" s="35"/>
      <c r="AM3" s="35"/>
      <c r="AN3" s="35"/>
    </row>
    <row r="4" spans="1:40" x14ac:dyDescent="0.2">
      <c r="A4" s="38" t="s">
        <v>253</v>
      </c>
      <c r="B4" s="35">
        <v>10394</v>
      </c>
      <c r="C4" s="35">
        <v>10394</v>
      </c>
      <c r="D4" s="35">
        <v>10394</v>
      </c>
      <c r="E4" s="35">
        <v>10394</v>
      </c>
      <c r="F4" s="35">
        <v>10394</v>
      </c>
      <c r="G4" s="35">
        <v>10394</v>
      </c>
      <c r="H4" s="35">
        <v>10394</v>
      </c>
      <c r="I4" s="35">
        <v>10394</v>
      </c>
      <c r="J4" s="35">
        <v>10394</v>
      </c>
      <c r="K4" s="35">
        <v>9590</v>
      </c>
      <c r="L4" s="35">
        <v>9586</v>
      </c>
      <c r="M4" s="36">
        <v>9586</v>
      </c>
      <c r="N4" s="35">
        <v>9586</v>
      </c>
      <c r="O4" s="35">
        <v>9586</v>
      </c>
      <c r="P4" s="35">
        <v>9586</v>
      </c>
      <c r="Q4" s="35">
        <v>9586</v>
      </c>
      <c r="R4" s="35">
        <v>9586</v>
      </c>
      <c r="S4" s="35">
        <v>9586</v>
      </c>
      <c r="T4" s="35">
        <v>9586</v>
      </c>
      <c r="U4" s="35">
        <v>9586</v>
      </c>
      <c r="V4" s="35">
        <v>9586</v>
      </c>
      <c r="W4" s="35">
        <v>9590</v>
      </c>
      <c r="X4" s="35">
        <v>9586</v>
      </c>
      <c r="Y4" s="36">
        <v>9854.82</v>
      </c>
      <c r="Z4" s="39">
        <v>11669.33</v>
      </c>
      <c r="AA4" s="39">
        <v>11669.33</v>
      </c>
      <c r="AB4" s="39">
        <v>11669.33</v>
      </c>
      <c r="AC4" s="39">
        <v>11669.33</v>
      </c>
      <c r="AD4" s="39">
        <v>11669.33</v>
      </c>
      <c r="AE4" s="39">
        <v>11669.33</v>
      </c>
      <c r="AF4" s="39">
        <v>11669.33</v>
      </c>
      <c r="AG4" s="39">
        <v>11669.33</v>
      </c>
      <c r="AH4" s="39">
        <v>11669.33</v>
      </c>
      <c r="AI4" s="35">
        <v>13441.78</v>
      </c>
      <c r="AJ4" s="35">
        <v>13441.66</v>
      </c>
      <c r="AK4" s="36">
        <v>13172.88</v>
      </c>
      <c r="AL4" s="35">
        <v>13858.33</v>
      </c>
      <c r="AM4" s="35">
        <v>13858.33</v>
      </c>
      <c r="AN4" s="35">
        <v>13858.33</v>
      </c>
    </row>
    <row r="5" spans="1:40" x14ac:dyDescent="0.2">
      <c r="A5" s="38" t="s">
        <v>254</v>
      </c>
      <c r="B5" s="35">
        <v>74625</v>
      </c>
      <c r="C5" s="35">
        <v>74625</v>
      </c>
      <c r="D5" s="35">
        <v>74625</v>
      </c>
      <c r="E5" s="35">
        <v>74625</v>
      </c>
      <c r="F5" s="35">
        <v>74625</v>
      </c>
      <c r="G5" s="35">
        <v>74625</v>
      </c>
      <c r="H5" s="35">
        <v>68278</v>
      </c>
      <c r="I5" s="35">
        <v>68278</v>
      </c>
      <c r="J5" s="35">
        <v>68278</v>
      </c>
      <c r="K5" s="35">
        <v>68278</v>
      </c>
      <c r="L5" s="35">
        <v>68278</v>
      </c>
      <c r="M5" s="36">
        <v>68278</v>
      </c>
      <c r="N5" s="35">
        <v>68278</v>
      </c>
      <c r="O5" s="35">
        <v>68278</v>
      </c>
      <c r="P5" s="35">
        <v>68278</v>
      </c>
      <c r="Q5" s="35">
        <v>68278</v>
      </c>
      <c r="R5" s="35">
        <v>68278</v>
      </c>
      <c r="S5" s="35">
        <v>68278</v>
      </c>
      <c r="T5" s="35">
        <v>76944.740000000005</v>
      </c>
      <c r="U5" s="35">
        <v>76944.66</v>
      </c>
      <c r="V5" s="35">
        <v>76944.66</v>
      </c>
      <c r="W5" s="35">
        <v>76944.66</v>
      </c>
      <c r="X5" s="35">
        <v>76944.66</v>
      </c>
      <c r="Y5" s="36">
        <v>76940.66</v>
      </c>
      <c r="Z5" s="35">
        <v>71166.66</v>
      </c>
      <c r="AA5" s="35">
        <v>71166.66</v>
      </c>
      <c r="AB5" s="35">
        <v>71166.66</v>
      </c>
      <c r="AC5" s="35">
        <v>71166.66</v>
      </c>
      <c r="AD5" s="35">
        <v>71166.66</v>
      </c>
      <c r="AE5" s="35">
        <v>71166.66</v>
      </c>
      <c r="AF5" s="35">
        <v>71166.740000000005</v>
      </c>
      <c r="AG5" s="35">
        <v>71166.66</v>
      </c>
      <c r="AH5" s="35">
        <v>71166.66</v>
      </c>
      <c r="AI5" s="35">
        <v>89016.66</v>
      </c>
      <c r="AJ5" s="35">
        <v>89016.66</v>
      </c>
      <c r="AK5" s="36">
        <v>89016.66</v>
      </c>
      <c r="AL5" s="35">
        <v>89016.66</v>
      </c>
      <c r="AM5" s="35">
        <v>89016.66</v>
      </c>
      <c r="AN5" s="35">
        <v>89016.66</v>
      </c>
    </row>
    <row r="6" spans="1:40" x14ac:dyDescent="0.2">
      <c r="A6" s="38" t="s">
        <v>255</v>
      </c>
      <c r="B6" s="35">
        <v>57053</v>
      </c>
      <c r="C6" s="35">
        <v>99155</v>
      </c>
      <c r="D6" s="35">
        <v>69155</v>
      </c>
      <c r="E6" s="35">
        <v>69155</v>
      </c>
      <c r="F6" s="35">
        <v>69155</v>
      </c>
      <c r="G6" s="35">
        <v>69155</v>
      </c>
      <c r="H6" s="35">
        <v>69155</v>
      </c>
      <c r="I6" s="35">
        <v>69155</v>
      </c>
      <c r="J6" s="35">
        <v>69155</v>
      </c>
      <c r="K6" s="35">
        <v>69155</v>
      </c>
      <c r="L6" s="35">
        <v>69155</v>
      </c>
      <c r="M6" s="36">
        <v>69155</v>
      </c>
      <c r="N6" s="35">
        <v>66273</v>
      </c>
      <c r="O6" s="35">
        <v>60489</v>
      </c>
      <c r="P6" s="35">
        <v>60489</v>
      </c>
      <c r="Q6" s="35">
        <v>60489</v>
      </c>
      <c r="R6" s="35">
        <v>60489</v>
      </c>
      <c r="S6" s="35">
        <v>60489</v>
      </c>
      <c r="T6" s="35">
        <v>68739</v>
      </c>
      <c r="U6" s="35">
        <v>68739</v>
      </c>
      <c r="V6" s="35">
        <v>68739</v>
      </c>
      <c r="W6" s="35">
        <v>68739</v>
      </c>
      <c r="X6" s="35">
        <v>68739</v>
      </c>
      <c r="Y6" s="36">
        <v>68739</v>
      </c>
      <c r="Z6" s="35">
        <v>68739</v>
      </c>
      <c r="AA6" s="35">
        <v>68739</v>
      </c>
      <c r="AB6" s="35">
        <v>68739</v>
      </c>
      <c r="AC6" s="35">
        <v>68739</v>
      </c>
      <c r="AD6" s="35">
        <v>68739</v>
      </c>
      <c r="AE6" s="35">
        <v>68739</v>
      </c>
      <c r="AF6" s="35">
        <v>68739</v>
      </c>
      <c r="AG6" s="35">
        <v>68739</v>
      </c>
      <c r="AH6" s="35">
        <v>68739</v>
      </c>
      <c r="AI6" s="35">
        <v>68739</v>
      </c>
      <c r="AJ6" s="35">
        <v>68739</v>
      </c>
      <c r="AK6" s="36">
        <v>68739</v>
      </c>
      <c r="AL6" s="35">
        <v>72709</v>
      </c>
      <c r="AM6" s="35">
        <v>74650</v>
      </c>
      <c r="AN6" s="35">
        <v>74650</v>
      </c>
    </row>
    <row r="7" spans="1:40" x14ac:dyDescent="0.2">
      <c r="A7" s="38" t="s">
        <v>256</v>
      </c>
      <c r="B7" s="35">
        <v>40237</v>
      </c>
      <c r="C7" s="35">
        <v>30233</v>
      </c>
      <c r="D7" s="35">
        <v>30233</v>
      </c>
      <c r="E7" s="35">
        <v>30233</v>
      </c>
      <c r="F7" s="35">
        <v>30233</v>
      </c>
      <c r="G7" s="35">
        <v>30233</v>
      </c>
      <c r="H7" s="35">
        <v>30233</v>
      </c>
      <c r="I7" s="35">
        <v>30233</v>
      </c>
      <c r="J7" s="35">
        <v>30233</v>
      </c>
      <c r="K7" s="35">
        <v>30233</v>
      </c>
      <c r="L7" s="35">
        <v>30233</v>
      </c>
      <c r="M7" s="36">
        <v>30233</v>
      </c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6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6"/>
      <c r="AL7" s="35"/>
      <c r="AM7" s="35"/>
      <c r="AN7" s="35"/>
    </row>
    <row r="8" spans="1:40" x14ac:dyDescent="0.2">
      <c r="A8" s="38" t="s">
        <v>257</v>
      </c>
      <c r="B8" s="35"/>
      <c r="C8" s="35">
        <v>15975</v>
      </c>
      <c r="D8" s="35">
        <v>11950</v>
      </c>
      <c r="E8" s="35">
        <v>11950</v>
      </c>
      <c r="F8" s="35">
        <v>11950</v>
      </c>
      <c r="G8" s="35">
        <v>11950</v>
      </c>
      <c r="H8" s="35">
        <v>11950</v>
      </c>
      <c r="I8" s="35">
        <v>11950</v>
      </c>
      <c r="J8" s="35">
        <v>11950</v>
      </c>
      <c r="K8" s="35">
        <v>11950</v>
      </c>
      <c r="L8" s="35">
        <v>11950</v>
      </c>
      <c r="M8" s="36">
        <v>11950</v>
      </c>
      <c r="N8" s="35">
        <v>11950</v>
      </c>
      <c r="O8" s="35">
        <v>10650</v>
      </c>
      <c r="P8" s="35">
        <v>9350</v>
      </c>
      <c r="Q8" s="35">
        <v>9350</v>
      </c>
      <c r="R8" s="35">
        <v>9350</v>
      </c>
      <c r="S8" s="35">
        <v>9350</v>
      </c>
      <c r="T8" s="35">
        <v>9350</v>
      </c>
      <c r="U8" s="35">
        <v>9350</v>
      </c>
      <c r="V8" s="35">
        <v>9350</v>
      </c>
      <c r="W8" s="35">
        <v>9350</v>
      </c>
      <c r="X8" s="35">
        <v>9350</v>
      </c>
      <c r="Y8" s="36">
        <v>9350</v>
      </c>
      <c r="Z8" s="35">
        <v>9350</v>
      </c>
      <c r="AA8" s="35">
        <v>9350</v>
      </c>
      <c r="AB8" s="35">
        <v>9350</v>
      </c>
      <c r="AC8" s="35">
        <v>9350</v>
      </c>
      <c r="AD8" s="35">
        <v>9350</v>
      </c>
      <c r="AE8" s="35">
        <v>9350</v>
      </c>
      <c r="AF8" s="35">
        <v>9350</v>
      </c>
      <c r="AG8" s="35">
        <v>9350</v>
      </c>
      <c r="AH8" s="35">
        <v>9350</v>
      </c>
      <c r="AI8" s="35">
        <v>9350</v>
      </c>
      <c r="AJ8" s="35">
        <v>9350</v>
      </c>
      <c r="AK8" s="36">
        <v>9350</v>
      </c>
      <c r="AL8" s="35">
        <v>9350</v>
      </c>
      <c r="AM8" s="35">
        <v>8030.7999999999993</v>
      </c>
      <c r="AN8" s="35">
        <v>5033.33</v>
      </c>
    </row>
    <row r="9" spans="1:40" x14ac:dyDescent="0.2">
      <c r="A9" s="38" t="s">
        <v>258</v>
      </c>
      <c r="B9" s="35"/>
      <c r="C9" s="35"/>
      <c r="D9" s="35"/>
      <c r="E9" s="35">
        <v>1801</v>
      </c>
      <c r="F9" s="35">
        <v>2205</v>
      </c>
      <c r="G9" s="35">
        <v>2205</v>
      </c>
      <c r="H9" s="35">
        <v>2205</v>
      </c>
      <c r="I9" s="35">
        <v>2205</v>
      </c>
      <c r="J9" s="35">
        <v>2205</v>
      </c>
      <c r="K9" s="35">
        <v>2205</v>
      </c>
      <c r="L9" s="35">
        <v>2205</v>
      </c>
      <c r="M9" s="36">
        <v>2205</v>
      </c>
      <c r="N9" s="35">
        <v>2205</v>
      </c>
      <c r="O9" s="35">
        <v>2205</v>
      </c>
      <c r="P9" s="35">
        <v>2205</v>
      </c>
      <c r="Q9" s="35"/>
      <c r="R9" s="35"/>
      <c r="S9" s="35"/>
      <c r="T9" s="35"/>
      <c r="U9" s="35"/>
      <c r="V9" s="35"/>
      <c r="W9" s="35"/>
      <c r="X9" s="35"/>
      <c r="Y9" s="36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6"/>
      <c r="AL9" s="35"/>
      <c r="AM9" s="35"/>
      <c r="AN9" s="35"/>
    </row>
    <row r="10" spans="1:40" x14ac:dyDescent="0.2">
      <c r="A10" s="38" t="s">
        <v>259</v>
      </c>
      <c r="B10" s="35"/>
      <c r="C10" s="35"/>
      <c r="D10" s="35"/>
      <c r="E10" s="35"/>
      <c r="F10" s="35">
        <v>1500</v>
      </c>
      <c r="G10" s="35">
        <v>1500</v>
      </c>
      <c r="H10" s="35">
        <v>1500</v>
      </c>
      <c r="I10" s="35">
        <v>1500</v>
      </c>
      <c r="J10" s="35">
        <v>1500</v>
      </c>
      <c r="K10" s="35">
        <v>1500</v>
      </c>
      <c r="L10" s="35">
        <v>1500</v>
      </c>
      <c r="M10" s="36">
        <v>1500</v>
      </c>
      <c r="N10" s="35">
        <v>1500</v>
      </c>
      <c r="O10" s="35">
        <v>1500</v>
      </c>
      <c r="P10" s="35">
        <v>1500</v>
      </c>
      <c r="Q10" s="35">
        <v>1500</v>
      </c>
      <c r="R10" s="35">
        <v>1500</v>
      </c>
      <c r="S10" s="35">
        <v>1500</v>
      </c>
      <c r="T10" s="35">
        <v>1500</v>
      </c>
      <c r="U10" s="35">
        <v>1500</v>
      </c>
      <c r="V10" s="35">
        <v>1500</v>
      </c>
      <c r="W10" s="35">
        <v>1500</v>
      </c>
      <c r="X10" s="35">
        <v>1500</v>
      </c>
      <c r="Y10" s="36">
        <v>1500</v>
      </c>
      <c r="Z10" s="35">
        <v>1500</v>
      </c>
      <c r="AA10" s="35">
        <v>1500</v>
      </c>
      <c r="AB10" s="35"/>
      <c r="AC10" s="35"/>
      <c r="AD10" s="35"/>
      <c r="AE10" s="35"/>
      <c r="AF10" s="35"/>
      <c r="AG10" s="35"/>
      <c r="AH10" s="35"/>
      <c r="AI10" s="35"/>
      <c r="AJ10" s="35"/>
      <c r="AK10" s="36"/>
      <c r="AL10" s="35"/>
      <c r="AM10" s="35"/>
      <c r="AN10" s="35"/>
    </row>
    <row r="11" spans="1:40" x14ac:dyDescent="0.2">
      <c r="A11" s="37" t="s">
        <v>260</v>
      </c>
      <c r="B11" s="35"/>
      <c r="C11" s="35"/>
      <c r="D11" s="35"/>
      <c r="E11" s="35"/>
      <c r="F11" s="35"/>
      <c r="G11" s="35"/>
      <c r="H11" s="35"/>
      <c r="I11" s="35">
        <v>9175</v>
      </c>
      <c r="J11" s="35">
        <v>9175</v>
      </c>
      <c r="K11" s="35">
        <v>9175</v>
      </c>
      <c r="L11" s="35">
        <v>9175</v>
      </c>
      <c r="M11" s="36">
        <v>9175</v>
      </c>
      <c r="N11" s="35">
        <v>9175</v>
      </c>
      <c r="O11" s="35">
        <v>9175</v>
      </c>
      <c r="P11" s="35">
        <v>9175</v>
      </c>
      <c r="Q11" s="35">
        <v>9175</v>
      </c>
      <c r="R11" s="35">
        <v>9175</v>
      </c>
      <c r="S11" s="35">
        <v>9175</v>
      </c>
      <c r="T11" s="35">
        <v>9175</v>
      </c>
      <c r="U11" s="35">
        <v>9175</v>
      </c>
      <c r="V11" s="35">
        <v>9175</v>
      </c>
      <c r="W11" s="35">
        <v>9175</v>
      </c>
      <c r="X11" s="35">
        <v>9175</v>
      </c>
      <c r="Y11" s="36">
        <v>9175</v>
      </c>
      <c r="Z11" s="35">
        <v>9175</v>
      </c>
      <c r="AA11" s="35">
        <v>9175</v>
      </c>
      <c r="AB11" s="35">
        <v>9175</v>
      </c>
      <c r="AC11" s="35">
        <v>9175</v>
      </c>
      <c r="AD11" s="35">
        <v>9175</v>
      </c>
      <c r="AE11" s="35">
        <v>9175</v>
      </c>
      <c r="AF11" s="35"/>
      <c r="AG11" s="35"/>
      <c r="AH11" s="35"/>
      <c r="AI11" s="35"/>
      <c r="AJ11" s="35"/>
      <c r="AK11" s="36"/>
      <c r="AL11" s="35"/>
      <c r="AM11" s="35"/>
      <c r="AN11" s="35"/>
    </row>
    <row r="12" spans="1:40" x14ac:dyDescent="0.2">
      <c r="A12" s="38" t="s">
        <v>261</v>
      </c>
      <c r="B12" s="35"/>
      <c r="C12" s="35"/>
      <c r="D12" s="35"/>
      <c r="E12" s="35"/>
      <c r="F12" s="35"/>
      <c r="G12" s="35"/>
      <c r="H12" s="35"/>
      <c r="I12" s="35">
        <v>19387</v>
      </c>
      <c r="J12" s="35">
        <v>14383</v>
      </c>
      <c r="K12" s="35">
        <v>14383</v>
      </c>
      <c r="L12" s="35">
        <v>19383</v>
      </c>
      <c r="M12" s="36">
        <v>14383</v>
      </c>
      <c r="N12" s="35">
        <v>14383</v>
      </c>
      <c r="O12" s="35">
        <v>14383</v>
      </c>
      <c r="P12" s="35">
        <v>14383</v>
      </c>
      <c r="Q12" s="35">
        <v>14383</v>
      </c>
      <c r="R12" s="35">
        <v>14383</v>
      </c>
      <c r="S12" s="35">
        <v>14383</v>
      </c>
      <c r="T12" s="35">
        <v>14383</v>
      </c>
      <c r="U12" s="35">
        <v>12650</v>
      </c>
      <c r="V12" s="35">
        <v>12650</v>
      </c>
      <c r="W12" s="35">
        <v>12650</v>
      </c>
      <c r="X12" s="35">
        <v>12650</v>
      </c>
      <c r="Y12" s="36">
        <v>12650</v>
      </c>
      <c r="Z12" s="35">
        <v>12650</v>
      </c>
      <c r="AA12" s="35">
        <v>12650</v>
      </c>
      <c r="AB12" s="35">
        <v>12650</v>
      </c>
      <c r="AC12" s="35">
        <v>12650</v>
      </c>
      <c r="AD12" s="35">
        <v>12650</v>
      </c>
      <c r="AE12" s="35">
        <v>12650</v>
      </c>
      <c r="AF12" s="35">
        <v>12650</v>
      </c>
      <c r="AG12" s="35">
        <v>12650</v>
      </c>
      <c r="AH12" s="35">
        <v>12650</v>
      </c>
      <c r="AI12" s="35">
        <v>12650</v>
      </c>
      <c r="AJ12" s="35">
        <v>12650</v>
      </c>
      <c r="AK12" s="36">
        <v>12650</v>
      </c>
      <c r="AL12" s="35">
        <v>12650</v>
      </c>
      <c r="AM12" s="35">
        <v>12650</v>
      </c>
      <c r="AN12" s="35">
        <v>12650</v>
      </c>
    </row>
    <row r="13" spans="1:40" x14ac:dyDescent="0.2">
      <c r="A13" s="38" t="s">
        <v>262</v>
      </c>
      <c r="B13" s="35"/>
      <c r="C13" s="35"/>
      <c r="D13" s="35"/>
      <c r="E13" s="35"/>
      <c r="F13" s="35"/>
      <c r="G13" s="35">
        <v>2125</v>
      </c>
      <c r="H13" s="35">
        <v>1625</v>
      </c>
      <c r="I13" s="35">
        <v>1625</v>
      </c>
      <c r="J13" s="35">
        <v>1625</v>
      </c>
      <c r="K13" s="35">
        <v>1625</v>
      </c>
      <c r="L13" s="35">
        <v>1625</v>
      </c>
      <c r="M13" s="36">
        <v>1625</v>
      </c>
      <c r="N13" s="35">
        <v>1625</v>
      </c>
      <c r="O13" s="35">
        <v>1625</v>
      </c>
      <c r="P13" s="35">
        <v>1625</v>
      </c>
      <c r="Q13" s="35">
        <v>1625</v>
      </c>
      <c r="R13" s="35">
        <v>1625</v>
      </c>
      <c r="S13" s="35">
        <v>1940</v>
      </c>
      <c r="T13" s="35">
        <v>1940</v>
      </c>
      <c r="U13" s="35">
        <v>1940</v>
      </c>
      <c r="V13" s="35">
        <v>1940</v>
      </c>
      <c r="W13" s="35">
        <v>1940</v>
      </c>
      <c r="X13" s="35">
        <v>1940</v>
      </c>
      <c r="Y13" s="36">
        <v>1940</v>
      </c>
      <c r="Z13" s="35">
        <v>1940</v>
      </c>
      <c r="AA13" s="35">
        <v>1940</v>
      </c>
      <c r="AB13" s="35">
        <v>1940</v>
      </c>
      <c r="AC13" s="35">
        <v>1940</v>
      </c>
      <c r="AD13" s="35">
        <v>1940</v>
      </c>
      <c r="AE13" s="35"/>
      <c r="AF13" s="35"/>
      <c r="AG13" s="35"/>
      <c r="AH13" s="35"/>
      <c r="AI13" s="35"/>
      <c r="AJ13" s="35"/>
      <c r="AK13" s="36"/>
      <c r="AL13" s="35"/>
      <c r="AM13" s="35"/>
      <c r="AN13" s="35"/>
    </row>
    <row r="14" spans="1:40" x14ac:dyDescent="0.2">
      <c r="A14" s="38" t="s">
        <v>263</v>
      </c>
      <c r="B14" s="35"/>
      <c r="C14" s="35"/>
      <c r="D14" s="35"/>
      <c r="E14" s="35"/>
      <c r="F14" s="35"/>
      <c r="G14" s="35"/>
      <c r="H14" s="35"/>
      <c r="I14" s="35"/>
      <c r="J14" s="35">
        <v>2567</v>
      </c>
      <c r="K14" s="35">
        <v>3850</v>
      </c>
      <c r="L14" s="35">
        <v>3850</v>
      </c>
      <c r="M14" s="36">
        <v>3850</v>
      </c>
      <c r="N14" s="35">
        <v>3850</v>
      </c>
      <c r="O14" s="35">
        <v>3850</v>
      </c>
      <c r="P14" s="35">
        <v>5283</v>
      </c>
      <c r="Q14" s="35">
        <v>6000</v>
      </c>
      <c r="R14" s="35">
        <v>10582</v>
      </c>
      <c r="S14" s="35">
        <v>9866</v>
      </c>
      <c r="T14" s="35">
        <v>9866</v>
      </c>
      <c r="U14" s="35">
        <v>9866</v>
      </c>
      <c r="V14" s="35">
        <v>9866</v>
      </c>
      <c r="W14" s="35">
        <v>9866</v>
      </c>
      <c r="X14" s="35">
        <v>9866</v>
      </c>
      <c r="Y14" s="36">
        <v>9866</v>
      </c>
      <c r="Z14" s="35">
        <v>9866</v>
      </c>
      <c r="AA14" s="35">
        <v>9866</v>
      </c>
      <c r="AB14" s="35">
        <v>9866</v>
      </c>
      <c r="AC14" s="35">
        <v>9866</v>
      </c>
      <c r="AD14" s="35">
        <v>3292</v>
      </c>
      <c r="AE14" s="35"/>
      <c r="AF14" s="35"/>
      <c r="AG14" s="35"/>
      <c r="AH14" s="35"/>
      <c r="AI14" s="35"/>
      <c r="AJ14" s="35"/>
      <c r="AK14" s="36"/>
      <c r="AL14" s="35"/>
      <c r="AM14" s="35"/>
      <c r="AN14" s="35"/>
    </row>
    <row r="15" spans="1:40" x14ac:dyDescent="0.2">
      <c r="A15" s="38" t="s">
        <v>264</v>
      </c>
      <c r="B15" s="35"/>
      <c r="C15" s="35"/>
      <c r="D15" s="35"/>
      <c r="E15" s="35"/>
      <c r="F15" s="35"/>
      <c r="G15" s="35"/>
      <c r="H15" s="35"/>
      <c r="I15" s="35"/>
      <c r="J15" s="35">
        <v>7000</v>
      </c>
      <c r="K15" s="35">
        <v>6000</v>
      </c>
      <c r="L15" s="35">
        <v>27000</v>
      </c>
      <c r="M15" s="36">
        <v>40000</v>
      </c>
      <c r="N15" s="35">
        <v>28300</v>
      </c>
      <c r="O15" s="35">
        <v>23300</v>
      </c>
      <c r="P15" s="35">
        <v>23300</v>
      </c>
      <c r="Q15" s="35">
        <v>23300</v>
      </c>
      <c r="R15" s="35">
        <v>23300</v>
      </c>
      <c r="S15" s="35">
        <v>23300</v>
      </c>
      <c r="T15" s="35">
        <v>23300</v>
      </c>
      <c r="U15" s="35">
        <v>23300</v>
      </c>
      <c r="V15" s="35">
        <v>21783.37</v>
      </c>
      <c r="W15" s="35">
        <v>21783.33</v>
      </c>
      <c r="X15" s="35">
        <v>21783.33</v>
      </c>
      <c r="Y15" s="36">
        <v>21783.33</v>
      </c>
      <c r="Z15" s="35">
        <v>21783.33</v>
      </c>
      <c r="AA15" s="35">
        <v>21783.33</v>
      </c>
      <c r="AB15" s="35">
        <v>21783.33</v>
      </c>
      <c r="AC15" s="35">
        <v>21783.33</v>
      </c>
      <c r="AD15" s="35">
        <v>21783.33</v>
      </c>
      <c r="AE15" s="35">
        <v>21783.33</v>
      </c>
      <c r="AF15" s="35">
        <v>21783.33</v>
      </c>
      <c r="AG15" s="35">
        <v>21783.33</v>
      </c>
      <c r="AH15" s="35">
        <v>21783.37</v>
      </c>
      <c r="AI15" s="35">
        <v>21783.33</v>
      </c>
      <c r="AJ15" s="35">
        <v>21783.33</v>
      </c>
      <c r="AK15" s="36">
        <v>21783.33</v>
      </c>
      <c r="AL15" s="35">
        <v>21783.33</v>
      </c>
      <c r="AM15" s="35">
        <v>21783.33</v>
      </c>
      <c r="AN15" s="35">
        <v>21783.33</v>
      </c>
    </row>
    <row r="16" spans="1:40" x14ac:dyDescent="0.2">
      <c r="A16" s="38" t="s">
        <v>265</v>
      </c>
      <c r="B16" s="35"/>
      <c r="C16" s="35"/>
      <c r="D16" s="35"/>
      <c r="E16" s="35"/>
      <c r="F16" s="35"/>
      <c r="G16" s="35"/>
      <c r="H16" s="35"/>
      <c r="I16" s="35"/>
      <c r="J16" s="35">
        <v>9000</v>
      </c>
      <c r="K16" s="35">
        <v>18000</v>
      </c>
      <c r="L16" s="35">
        <v>18000</v>
      </c>
      <c r="M16" s="36">
        <v>9000</v>
      </c>
      <c r="N16" s="35">
        <v>0</v>
      </c>
      <c r="O16" s="35">
        <v>0</v>
      </c>
      <c r="P16" s="35">
        <v>0</v>
      </c>
      <c r="Q16" s="35">
        <v>5800</v>
      </c>
      <c r="R16" s="35">
        <v>5800</v>
      </c>
      <c r="S16" s="35">
        <v>5800</v>
      </c>
      <c r="T16" s="35">
        <v>5800</v>
      </c>
      <c r="U16" s="35">
        <v>5800</v>
      </c>
      <c r="V16" s="35">
        <v>5800</v>
      </c>
      <c r="W16" s="35">
        <v>5800</v>
      </c>
      <c r="X16" s="35">
        <v>5800</v>
      </c>
      <c r="Y16" s="36">
        <v>5800</v>
      </c>
      <c r="Z16" s="35">
        <v>5800</v>
      </c>
      <c r="AA16" s="35">
        <v>10800</v>
      </c>
      <c r="AB16" s="35">
        <v>10800</v>
      </c>
      <c r="AC16" s="35">
        <v>2900</v>
      </c>
      <c r="AD16" s="35">
        <v>2900</v>
      </c>
      <c r="AE16" s="35">
        <v>2900</v>
      </c>
      <c r="AF16" s="35">
        <v>2900</v>
      </c>
      <c r="AG16" s="35">
        <v>2900</v>
      </c>
      <c r="AH16" s="35">
        <v>2900</v>
      </c>
      <c r="AI16" s="35">
        <v>2900</v>
      </c>
      <c r="AJ16" s="35">
        <v>2900</v>
      </c>
      <c r="AK16" s="36">
        <v>2900</v>
      </c>
      <c r="AL16" s="35">
        <v>2900</v>
      </c>
      <c r="AM16" s="35">
        <v>2900</v>
      </c>
      <c r="AN16" s="35">
        <v>2900</v>
      </c>
    </row>
    <row r="17" spans="1:40" x14ac:dyDescent="0.2">
      <c r="A17" s="38" t="s">
        <v>266</v>
      </c>
      <c r="B17" s="35"/>
      <c r="C17" s="35"/>
      <c r="D17" s="35"/>
      <c r="E17" s="35"/>
      <c r="F17" s="35"/>
      <c r="G17" s="35"/>
      <c r="H17" s="35"/>
      <c r="I17" s="35"/>
      <c r="J17" s="35">
        <v>12790.75</v>
      </c>
      <c r="K17" s="35">
        <v>16749.5</v>
      </c>
      <c r="L17" s="35">
        <v>16749.5</v>
      </c>
      <c r="M17" s="36">
        <v>16749.5</v>
      </c>
      <c r="N17" s="35">
        <v>16749.5</v>
      </c>
      <c r="O17" s="35">
        <v>16749.5</v>
      </c>
      <c r="P17" s="35">
        <v>16749.5</v>
      </c>
      <c r="Q17" s="35">
        <v>16749.5</v>
      </c>
      <c r="R17" s="35">
        <v>16749.5</v>
      </c>
      <c r="S17" s="35">
        <v>16749.5</v>
      </c>
      <c r="T17" s="35">
        <v>16749.5</v>
      </c>
      <c r="U17" s="35">
        <v>16749.5</v>
      </c>
      <c r="V17" s="35">
        <v>13954.75</v>
      </c>
      <c r="W17" s="35"/>
      <c r="X17" s="35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6"/>
      <c r="AL17" s="35"/>
      <c r="AM17" s="35"/>
      <c r="AN17" s="35"/>
    </row>
    <row r="18" spans="1:40" x14ac:dyDescent="0.2">
      <c r="A18" s="38" t="s">
        <v>267</v>
      </c>
      <c r="B18" s="35"/>
      <c r="C18" s="35"/>
      <c r="D18" s="35"/>
      <c r="E18" s="35"/>
      <c r="F18" s="35"/>
      <c r="G18" s="35"/>
      <c r="H18" s="35"/>
      <c r="I18" s="35"/>
      <c r="J18" s="35"/>
      <c r="K18" s="35">
        <v>2500</v>
      </c>
      <c r="L18" s="35">
        <v>2500</v>
      </c>
      <c r="M18" s="36">
        <v>2500</v>
      </c>
      <c r="N18" s="35">
        <v>2500</v>
      </c>
      <c r="O18" s="35">
        <v>2500</v>
      </c>
      <c r="P18" s="35">
        <v>2500</v>
      </c>
      <c r="Q18" s="35">
        <v>2500</v>
      </c>
      <c r="R18" s="35">
        <v>2500</v>
      </c>
      <c r="S18" s="35">
        <v>2500</v>
      </c>
      <c r="T18" s="35">
        <v>2500</v>
      </c>
      <c r="U18" s="35">
        <v>2500</v>
      </c>
      <c r="V18" s="35">
        <v>2500</v>
      </c>
      <c r="W18" s="35">
        <v>2500</v>
      </c>
      <c r="X18" s="35">
        <v>2500</v>
      </c>
      <c r="Y18" s="36">
        <v>2500</v>
      </c>
      <c r="Z18" s="35">
        <v>2500</v>
      </c>
      <c r="AA18" s="35">
        <v>2500</v>
      </c>
      <c r="AB18" s="35">
        <v>2500</v>
      </c>
      <c r="AC18" s="35">
        <v>2500</v>
      </c>
      <c r="AD18" s="35">
        <v>2500</v>
      </c>
      <c r="AE18" s="35">
        <v>2500</v>
      </c>
      <c r="AF18" s="35">
        <v>2500</v>
      </c>
      <c r="AG18" s="35">
        <v>2500</v>
      </c>
      <c r="AH18" s="35">
        <v>2500</v>
      </c>
      <c r="AI18" s="35">
        <v>2500</v>
      </c>
      <c r="AJ18" s="35">
        <v>2500</v>
      </c>
      <c r="AK18" s="36">
        <v>2500</v>
      </c>
      <c r="AL18" s="35">
        <v>2500</v>
      </c>
      <c r="AM18" s="35">
        <v>2500</v>
      </c>
      <c r="AN18" s="35">
        <v>2500</v>
      </c>
    </row>
    <row r="19" spans="1:40" x14ac:dyDescent="0.2">
      <c r="A19" s="38" t="s">
        <v>268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6"/>
      <c r="N19" s="35">
        <v>20890</v>
      </c>
      <c r="O19" s="35">
        <v>21780</v>
      </c>
      <c r="P19" s="35">
        <v>21780</v>
      </c>
      <c r="Q19" s="35">
        <v>21780</v>
      </c>
      <c r="R19" s="35">
        <v>21780</v>
      </c>
      <c r="S19" s="35">
        <v>21780</v>
      </c>
      <c r="T19" s="35">
        <v>21780</v>
      </c>
      <c r="U19" s="35">
        <v>21780</v>
      </c>
      <c r="V19" s="35">
        <v>21780</v>
      </c>
      <c r="W19" s="35">
        <v>21780</v>
      </c>
      <c r="X19" s="35">
        <v>21780</v>
      </c>
      <c r="Y19" s="36">
        <v>21780</v>
      </c>
      <c r="Z19" s="35">
        <v>22986.77</v>
      </c>
      <c r="AA19" s="35">
        <v>25000</v>
      </c>
      <c r="AB19" s="35">
        <v>25000</v>
      </c>
      <c r="AC19" s="35">
        <v>25000</v>
      </c>
      <c r="AD19" s="35">
        <v>25000</v>
      </c>
      <c r="AE19" s="35">
        <v>25000</v>
      </c>
      <c r="AF19" s="35">
        <v>25000</v>
      </c>
      <c r="AG19" s="35">
        <v>25000</v>
      </c>
      <c r="AH19" s="35">
        <v>25000</v>
      </c>
      <c r="AI19" s="35">
        <v>25000</v>
      </c>
      <c r="AJ19" s="35">
        <v>25000</v>
      </c>
      <c r="AK19" s="36">
        <v>25000</v>
      </c>
      <c r="AL19" s="35">
        <v>25000</v>
      </c>
      <c r="AM19" s="35">
        <v>25000</v>
      </c>
      <c r="AN19" s="35">
        <v>25000</v>
      </c>
    </row>
    <row r="20" spans="1:40" x14ac:dyDescent="0.2">
      <c r="A20" s="37" t="s">
        <v>269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35"/>
      <c r="O20" s="35">
        <v>3840</v>
      </c>
      <c r="P20" s="35">
        <v>3840</v>
      </c>
      <c r="Q20" s="35">
        <v>3840</v>
      </c>
      <c r="R20" s="35"/>
      <c r="S20" s="35"/>
      <c r="T20" s="35"/>
      <c r="U20" s="35"/>
      <c r="V20" s="35"/>
      <c r="W20" s="35"/>
      <c r="X20" s="35"/>
      <c r="Y20" s="36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6"/>
      <c r="AL20" s="35"/>
      <c r="AM20" s="35"/>
      <c r="AN20" s="35"/>
    </row>
    <row r="21" spans="1:40" x14ac:dyDescent="0.2">
      <c r="A21" s="38" t="s">
        <v>270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6"/>
      <c r="N21" s="35"/>
      <c r="O21" s="35">
        <v>9516</v>
      </c>
      <c r="P21" s="35">
        <v>4516</v>
      </c>
      <c r="Q21" s="35">
        <v>4516</v>
      </c>
      <c r="R21" s="35">
        <v>4516</v>
      </c>
      <c r="S21" s="35">
        <v>4516</v>
      </c>
      <c r="T21" s="35">
        <v>4516</v>
      </c>
      <c r="U21" s="35">
        <v>4516</v>
      </c>
      <c r="V21" s="35">
        <v>4516</v>
      </c>
      <c r="W21" s="35">
        <v>4516</v>
      </c>
      <c r="X21" s="35">
        <v>4516</v>
      </c>
      <c r="Y21" s="36">
        <v>4516</v>
      </c>
      <c r="Z21" s="35">
        <v>4516</v>
      </c>
      <c r="AA21" s="35">
        <v>5416.74</v>
      </c>
      <c r="AB21" s="35">
        <v>5416.66</v>
      </c>
      <c r="AC21" s="35">
        <v>5416.66</v>
      </c>
      <c r="AD21" s="35">
        <v>5416.66</v>
      </c>
      <c r="AE21" s="35">
        <v>5416.66</v>
      </c>
      <c r="AF21" s="35">
        <v>5416.66</v>
      </c>
      <c r="AG21" s="35">
        <v>5416.66</v>
      </c>
      <c r="AH21" s="35">
        <v>5416.66</v>
      </c>
      <c r="AI21" s="35">
        <v>5416.66</v>
      </c>
      <c r="AJ21" s="35">
        <v>5416.66</v>
      </c>
      <c r="AK21" s="36">
        <v>5416.66</v>
      </c>
      <c r="AL21" s="35">
        <v>5416.66</v>
      </c>
      <c r="AM21" s="35">
        <v>7333.64</v>
      </c>
      <c r="AN21" s="35">
        <v>7333.32</v>
      </c>
    </row>
    <row r="22" spans="1:40" x14ac:dyDescent="0.2">
      <c r="A22" s="38" t="s">
        <v>271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6"/>
      <c r="N22" s="35"/>
      <c r="O22" s="35">
        <v>10039</v>
      </c>
      <c r="P22" s="35">
        <v>10066</v>
      </c>
      <c r="Q22" s="35">
        <v>10066</v>
      </c>
      <c r="R22" s="35">
        <v>10066</v>
      </c>
      <c r="S22" s="35">
        <v>10066</v>
      </c>
      <c r="T22" s="35">
        <v>10066</v>
      </c>
      <c r="U22" s="35">
        <v>10066</v>
      </c>
      <c r="V22" s="35">
        <v>10066</v>
      </c>
      <c r="W22" s="35">
        <v>10066</v>
      </c>
      <c r="X22" s="35">
        <v>10066</v>
      </c>
      <c r="Y22" s="36">
        <v>10066</v>
      </c>
      <c r="Z22" s="35">
        <v>10066</v>
      </c>
      <c r="AA22" s="35">
        <v>9201.5</v>
      </c>
      <c r="AB22" s="35">
        <v>8333</v>
      </c>
      <c r="AC22" s="35">
        <v>8333</v>
      </c>
      <c r="AD22" s="35">
        <v>8333</v>
      </c>
      <c r="AE22" s="35">
        <v>8333</v>
      </c>
      <c r="AF22" s="35">
        <v>8333</v>
      </c>
      <c r="AG22" s="35">
        <v>8333</v>
      </c>
      <c r="AH22" s="35">
        <v>8333</v>
      </c>
      <c r="AI22" s="35">
        <v>8333</v>
      </c>
      <c r="AJ22" s="35">
        <v>8333</v>
      </c>
      <c r="AK22" s="36">
        <v>8333</v>
      </c>
      <c r="AL22" s="35">
        <v>8333</v>
      </c>
      <c r="AM22" s="35">
        <v>9203.98</v>
      </c>
      <c r="AN22" s="35">
        <v>10066.66</v>
      </c>
    </row>
    <row r="23" spans="1:40" x14ac:dyDescent="0.2">
      <c r="A23" s="38" t="s">
        <v>272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6"/>
      <c r="N23" s="35"/>
      <c r="O23" s="35">
        <v>10600</v>
      </c>
      <c r="P23" s="35">
        <v>5600</v>
      </c>
      <c r="Q23" s="35">
        <v>5600</v>
      </c>
      <c r="R23" s="35">
        <v>5600</v>
      </c>
      <c r="S23" s="35">
        <v>5600</v>
      </c>
      <c r="T23" s="35">
        <v>5600</v>
      </c>
      <c r="U23" s="35">
        <v>5600</v>
      </c>
      <c r="V23" s="35">
        <v>5600</v>
      </c>
      <c r="W23" s="35">
        <v>5600</v>
      </c>
      <c r="X23" s="35">
        <v>5600</v>
      </c>
      <c r="Y23" s="36">
        <v>6404.9699999999993</v>
      </c>
      <c r="Z23" s="35">
        <v>12845.82</v>
      </c>
      <c r="AA23" s="35">
        <v>7245.82</v>
      </c>
      <c r="AB23" s="35">
        <v>7245.82</v>
      </c>
      <c r="AC23" s="35">
        <v>7245.82</v>
      </c>
      <c r="AD23" s="35">
        <v>7245.82</v>
      </c>
      <c r="AE23" s="35">
        <v>7245.82</v>
      </c>
      <c r="AF23" s="35">
        <v>7245.82</v>
      </c>
      <c r="AG23" s="35">
        <v>7245.82</v>
      </c>
      <c r="AH23" s="35">
        <v>7245.82</v>
      </c>
      <c r="AI23" s="35">
        <v>7245.82</v>
      </c>
      <c r="AJ23" s="35">
        <v>7245.82</v>
      </c>
      <c r="AK23" s="36">
        <v>4691.01</v>
      </c>
      <c r="AL23" s="35"/>
      <c r="AM23" s="35"/>
      <c r="AN23" s="35"/>
    </row>
    <row r="24" spans="1:40" x14ac:dyDescent="0.2">
      <c r="A24" s="38" t="s">
        <v>273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6"/>
      <c r="N24" s="35"/>
      <c r="O24" s="35"/>
      <c r="P24" s="35">
        <v>5858</v>
      </c>
      <c r="Q24" s="35">
        <v>8786</v>
      </c>
      <c r="R24" s="35">
        <v>8786</v>
      </c>
      <c r="S24" s="35">
        <v>8786</v>
      </c>
      <c r="T24" s="35">
        <v>8786</v>
      </c>
      <c r="U24" s="35">
        <v>8786</v>
      </c>
      <c r="V24" s="35">
        <v>8786</v>
      </c>
      <c r="W24" s="35">
        <v>8786</v>
      </c>
      <c r="X24" s="35">
        <v>8786</v>
      </c>
      <c r="Y24" s="36">
        <v>8786</v>
      </c>
      <c r="Z24" s="35">
        <v>8786</v>
      </c>
      <c r="AA24" s="35">
        <v>8786</v>
      </c>
      <c r="AB24" s="35">
        <v>11269</v>
      </c>
      <c r="AC24" s="35">
        <v>12500</v>
      </c>
      <c r="AD24" s="35">
        <v>12500</v>
      </c>
      <c r="AE24" s="35">
        <v>12500</v>
      </c>
      <c r="AF24" s="35">
        <v>12500</v>
      </c>
      <c r="AG24" s="35">
        <v>12500</v>
      </c>
      <c r="AH24" s="35">
        <v>12500</v>
      </c>
      <c r="AI24" s="35">
        <v>12500</v>
      </c>
      <c r="AJ24" s="35">
        <v>12500</v>
      </c>
      <c r="AK24" s="36">
        <v>12500</v>
      </c>
      <c r="AL24" s="35">
        <v>12500</v>
      </c>
      <c r="AM24" s="35">
        <v>12500</v>
      </c>
      <c r="AN24" s="35">
        <v>4167</v>
      </c>
    </row>
    <row r="25" spans="1:40" x14ac:dyDescent="0.2">
      <c r="A25" s="38" t="s">
        <v>274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6"/>
      <c r="N25" s="35"/>
      <c r="O25" s="35"/>
      <c r="P25" s="35">
        <v>20900</v>
      </c>
      <c r="Q25" s="35">
        <v>20900</v>
      </c>
      <c r="R25" s="35">
        <v>20900</v>
      </c>
      <c r="S25" s="35">
        <v>20900</v>
      </c>
      <c r="T25" s="35">
        <v>20900</v>
      </c>
      <c r="U25" s="35">
        <v>20900</v>
      </c>
      <c r="V25" s="35">
        <v>20900</v>
      </c>
      <c r="W25" s="35">
        <v>20900</v>
      </c>
      <c r="X25" s="35">
        <v>20900</v>
      </c>
      <c r="Y25" s="36">
        <v>20900</v>
      </c>
      <c r="Z25" s="35">
        <v>20900</v>
      </c>
      <c r="AA25" s="35">
        <v>20900</v>
      </c>
      <c r="AB25" s="35">
        <v>38216.700000000004</v>
      </c>
      <c r="AC25" s="35">
        <v>48216.380000000005</v>
      </c>
      <c r="AD25" s="35">
        <v>48216.380000000005</v>
      </c>
      <c r="AE25" s="35">
        <v>38216.380000000005</v>
      </c>
      <c r="AF25" s="35">
        <v>38216.380000000005</v>
      </c>
      <c r="AG25" s="35">
        <v>38216.380000000005</v>
      </c>
      <c r="AH25" s="35">
        <v>38216.380000000005</v>
      </c>
      <c r="AI25" s="35">
        <v>38216.380000000005</v>
      </c>
      <c r="AJ25" s="35">
        <v>38216.380000000005</v>
      </c>
      <c r="AK25" s="36">
        <v>38216.380000000005</v>
      </c>
      <c r="AL25" s="35">
        <v>38216.380000000005</v>
      </c>
      <c r="AM25" s="35">
        <v>38216.380000000005</v>
      </c>
      <c r="AN25" s="35">
        <v>38216.380000000005</v>
      </c>
    </row>
    <row r="26" spans="1:40" x14ac:dyDescent="0.2">
      <c r="A26" s="38" t="s">
        <v>275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6"/>
      <c r="N26" s="35"/>
      <c r="O26" s="35"/>
      <c r="P26" s="35">
        <v>1250</v>
      </c>
      <c r="Q26" s="35">
        <v>1500</v>
      </c>
      <c r="R26" s="35">
        <v>1500</v>
      </c>
      <c r="S26" s="35">
        <v>1500</v>
      </c>
      <c r="T26" s="35">
        <v>1500</v>
      </c>
      <c r="U26" s="35">
        <v>1500</v>
      </c>
      <c r="V26" s="35">
        <v>1500</v>
      </c>
      <c r="W26" s="35">
        <v>1500</v>
      </c>
      <c r="X26" s="35">
        <v>1500</v>
      </c>
      <c r="Y26" s="36">
        <v>1500</v>
      </c>
      <c r="Z26" s="35">
        <v>1500</v>
      </c>
      <c r="AA26" s="35">
        <v>1500</v>
      </c>
      <c r="AB26" s="35">
        <v>1500</v>
      </c>
      <c r="AC26" s="35">
        <v>1500</v>
      </c>
      <c r="AD26" s="35">
        <v>1500</v>
      </c>
      <c r="AE26" s="35">
        <v>1500</v>
      </c>
      <c r="AF26" s="35">
        <v>1500</v>
      </c>
      <c r="AG26" s="35">
        <v>1500</v>
      </c>
      <c r="AH26" s="35">
        <v>1500</v>
      </c>
      <c r="AI26" s="35">
        <v>1500</v>
      </c>
      <c r="AJ26" s="35">
        <v>1500</v>
      </c>
      <c r="AK26" s="36">
        <v>1500</v>
      </c>
      <c r="AL26" s="35">
        <v>1500</v>
      </c>
      <c r="AM26" s="35">
        <v>1500</v>
      </c>
      <c r="AN26" s="35">
        <v>1500</v>
      </c>
    </row>
    <row r="27" spans="1:40" x14ac:dyDescent="0.2">
      <c r="A27" s="38" t="s">
        <v>276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6"/>
      <c r="N27" s="35"/>
      <c r="O27" s="35"/>
      <c r="P27" s="35">
        <v>14916</v>
      </c>
      <c r="Q27" s="35">
        <v>13366</v>
      </c>
      <c r="R27" s="35">
        <v>13366</v>
      </c>
      <c r="S27" s="35">
        <v>13366</v>
      </c>
      <c r="T27" s="35">
        <v>13366</v>
      </c>
      <c r="U27" s="35">
        <v>13366</v>
      </c>
      <c r="V27" s="35">
        <v>13366</v>
      </c>
      <c r="W27" s="35">
        <v>13366</v>
      </c>
      <c r="X27" s="35">
        <v>13366</v>
      </c>
      <c r="Y27" s="36">
        <v>13366</v>
      </c>
      <c r="Z27" s="35">
        <v>13366</v>
      </c>
      <c r="AA27" s="35">
        <v>13366</v>
      </c>
      <c r="AB27" s="35">
        <v>3450</v>
      </c>
      <c r="AC27" s="35"/>
      <c r="AD27" s="35"/>
      <c r="AE27" s="35"/>
      <c r="AF27" s="35"/>
      <c r="AG27" s="35"/>
      <c r="AH27" s="35"/>
      <c r="AI27" s="35"/>
      <c r="AJ27" s="35"/>
      <c r="AK27" s="36"/>
      <c r="AL27" s="35"/>
      <c r="AM27" s="35"/>
      <c r="AN27" s="35"/>
    </row>
    <row r="28" spans="1:40" x14ac:dyDescent="0.2">
      <c r="A28" s="38" t="s">
        <v>277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6"/>
      <c r="N28" s="35"/>
      <c r="O28" s="35"/>
      <c r="P28" s="35">
        <v>14358.67</v>
      </c>
      <c r="Q28" s="35">
        <v>9513.67</v>
      </c>
      <c r="R28" s="35">
        <v>9513.66</v>
      </c>
      <c r="S28" s="35">
        <v>9513.66</v>
      </c>
      <c r="T28" s="35">
        <v>9513.66</v>
      </c>
      <c r="U28" s="35">
        <v>9513.65</v>
      </c>
      <c r="V28" s="35">
        <v>9513.65</v>
      </c>
      <c r="W28" s="35">
        <v>9513.64</v>
      </c>
      <c r="X28" s="35">
        <v>9513.64</v>
      </c>
      <c r="Y28" s="36">
        <v>9513.64</v>
      </c>
      <c r="Z28" s="35">
        <v>9513.64</v>
      </c>
      <c r="AA28" s="35">
        <v>9513.64</v>
      </c>
      <c r="AB28" s="35">
        <v>9211.0499999999993</v>
      </c>
      <c r="AC28" s="35">
        <v>9210.9599999999991</v>
      </c>
      <c r="AD28" s="35">
        <v>9210.9599999999991</v>
      </c>
      <c r="AE28" s="35">
        <v>9210.9599999999991</v>
      </c>
      <c r="AF28" s="35">
        <v>9210.9599999999991</v>
      </c>
      <c r="AG28" s="35">
        <v>9210.9599999999991</v>
      </c>
      <c r="AH28" s="35">
        <v>9210.9599999999991</v>
      </c>
      <c r="AI28" s="35">
        <v>9210.9599999999991</v>
      </c>
      <c r="AJ28" s="35">
        <v>9210.9599999999991</v>
      </c>
      <c r="AK28" s="36">
        <v>9210.9599999999991</v>
      </c>
      <c r="AL28" s="35">
        <v>9210.9599999999991</v>
      </c>
      <c r="AM28" s="35">
        <v>9210.9599999999991</v>
      </c>
      <c r="AN28" s="35">
        <v>9210.9599999999991</v>
      </c>
    </row>
    <row r="29" spans="1:40" x14ac:dyDescent="0.2">
      <c r="A29" s="38" t="s">
        <v>278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6"/>
      <c r="N29" s="35"/>
      <c r="O29" s="35"/>
      <c r="P29" s="35">
        <v>10374.689999999999</v>
      </c>
      <c r="Q29" s="35">
        <v>5374.49</v>
      </c>
      <c r="R29" s="35">
        <v>5374.49</v>
      </c>
      <c r="S29" s="35">
        <v>5374.49</v>
      </c>
      <c r="T29" s="35">
        <v>5374.49</v>
      </c>
      <c r="U29" s="35">
        <v>5374.49</v>
      </c>
      <c r="V29" s="35">
        <v>5374.49</v>
      </c>
      <c r="W29" s="35">
        <v>5374.49</v>
      </c>
      <c r="X29" s="35">
        <v>5374.49</v>
      </c>
      <c r="Y29" s="36">
        <v>5374.49</v>
      </c>
      <c r="Z29" s="35">
        <v>5374.49</v>
      </c>
      <c r="AA29" s="35">
        <v>5374.49</v>
      </c>
      <c r="AB29" s="35">
        <v>4507.83</v>
      </c>
      <c r="AC29" s="35">
        <v>4507.83</v>
      </c>
      <c r="AD29" s="35">
        <v>4507.83</v>
      </c>
      <c r="AE29" s="35">
        <v>4507.83</v>
      </c>
      <c r="AF29" s="35">
        <v>4507.83</v>
      </c>
      <c r="AG29" s="35">
        <v>4507.83</v>
      </c>
      <c r="AH29" s="35">
        <v>4507.83</v>
      </c>
      <c r="AI29" s="35">
        <v>4507.83</v>
      </c>
      <c r="AJ29" s="35">
        <v>4507.83</v>
      </c>
      <c r="AK29" s="36">
        <v>4507.83</v>
      </c>
      <c r="AL29" s="35">
        <v>4507.83</v>
      </c>
      <c r="AM29" s="35">
        <v>4507.83</v>
      </c>
      <c r="AN29" s="35">
        <v>4507.83</v>
      </c>
    </row>
    <row r="30" spans="1:40" x14ac:dyDescent="0.2">
      <c r="A30" s="38" t="s">
        <v>279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6"/>
      <c r="N30" s="35"/>
      <c r="O30" s="35"/>
      <c r="P30" s="35"/>
      <c r="Q30" s="35">
        <v>4166.74</v>
      </c>
      <c r="R30" s="35">
        <v>4166.66</v>
      </c>
      <c r="S30" s="35">
        <v>4166.66</v>
      </c>
      <c r="T30" s="35">
        <v>4166.66</v>
      </c>
      <c r="U30" s="35">
        <v>6166.66</v>
      </c>
      <c r="V30" s="35">
        <v>4166.66</v>
      </c>
      <c r="W30" s="35">
        <v>4166.66</v>
      </c>
      <c r="X30" s="35">
        <v>4166.66</v>
      </c>
      <c r="Y30" s="36">
        <v>4166.66</v>
      </c>
      <c r="Z30" s="35">
        <v>4166.66</v>
      </c>
      <c r="AA30" s="35">
        <v>4166.66</v>
      </c>
      <c r="AB30" s="35">
        <v>4166.66</v>
      </c>
      <c r="AC30" s="35">
        <v>4153.38</v>
      </c>
      <c r="AD30" s="35">
        <v>4153.33</v>
      </c>
      <c r="AE30" s="35">
        <v>4153.33</v>
      </c>
      <c r="AF30" s="35">
        <v>4153.33</v>
      </c>
      <c r="AG30" s="35">
        <v>4153.33</v>
      </c>
      <c r="AH30" s="35">
        <v>4153.33</v>
      </c>
      <c r="AI30" s="35">
        <v>4153.33</v>
      </c>
      <c r="AJ30" s="35">
        <v>4153.33</v>
      </c>
      <c r="AK30" s="36">
        <v>4153.33</v>
      </c>
      <c r="AL30" s="35">
        <v>4153.33</v>
      </c>
      <c r="AM30" s="35">
        <v>4153.33</v>
      </c>
      <c r="AN30" s="35">
        <v>4153.33</v>
      </c>
    </row>
    <row r="31" spans="1:40" x14ac:dyDescent="0.2">
      <c r="A31" s="38" t="s">
        <v>280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6"/>
      <c r="N31" s="35"/>
      <c r="O31" s="35"/>
      <c r="P31" s="35"/>
      <c r="Q31" s="35">
        <v>41933.369999999995</v>
      </c>
      <c r="R31" s="35">
        <v>36933.33</v>
      </c>
      <c r="S31" s="35">
        <v>31933.33</v>
      </c>
      <c r="T31" s="35">
        <v>78433.33</v>
      </c>
      <c r="U31" s="35">
        <v>78433.33</v>
      </c>
      <c r="V31" s="35">
        <v>78433.33</v>
      </c>
      <c r="W31" s="35">
        <v>31933.33</v>
      </c>
      <c r="X31" s="35">
        <v>31933.33</v>
      </c>
      <c r="Y31" s="36">
        <v>31933.33</v>
      </c>
      <c r="Z31" s="35">
        <v>31933.33</v>
      </c>
      <c r="AA31" s="35">
        <v>31933.33</v>
      </c>
      <c r="AB31" s="35">
        <v>31933.33</v>
      </c>
      <c r="AC31" s="35">
        <v>3182</v>
      </c>
      <c r="AD31" s="35">
        <v>29091.66</v>
      </c>
      <c r="AE31" s="35">
        <v>19091.66</v>
      </c>
      <c r="AF31" s="35">
        <v>19091.66</v>
      </c>
      <c r="AG31" s="35">
        <v>19091.66</v>
      </c>
      <c r="AH31" s="35">
        <v>19091.66</v>
      </c>
      <c r="AI31" s="35">
        <v>36716.660000000003</v>
      </c>
      <c r="AJ31" s="35">
        <v>36716.660000000003</v>
      </c>
      <c r="AK31" s="36">
        <v>36716.660000000003</v>
      </c>
      <c r="AL31" s="35">
        <v>36716.660000000003</v>
      </c>
      <c r="AM31" s="35">
        <v>36716.660000000003</v>
      </c>
      <c r="AN31" s="35">
        <v>36716.660000000003</v>
      </c>
    </row>
    <row r="32" spans="1:40" x14ac:dyDescent="0.2">
      <c r="A32" s="38" t="s">
        <v>281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6"/>
      <c r="N32" s="35"/>
      <c r="O32" s="35"/>
      <c r="P32" s="35"/>
      <c r="Q32" s="35">
        <v>11620.85</v>
      </c>
      <c r="R32" s="35">
        <v>13241.66</v>
      </c>
      <c r="S32" s="35">
        <v>13241.66</v>
      </c>
      <c r="T32" s="35">
        <v>13241.66</v>
      </c>
      <c r="U32" s="35">
        <v>13241.66</v>
      </c>
      <c r="V32" s="35">
        <v>13241.66</v>
      </c>
      <c r="W32" s="35">
        <v>15716.720000000001</v>
      </c>
      <c r="X32" s="35">
        <v>18191.66</v>
      </c>
      <c r="Y32" s="36">
        <v>18191.66</v>
      </c>
      <c r="Z32" s="35">
        <v>18191.66</v>
      </c>
      <c r="AA32" s="35">
        <v>18191.66</v>
      </c>
      <c r="AB32" s="35">
        <v>18191.66</v>
      </c>
      <c r="AC32" s="35">
        <v>18191.66</v>
      </c>
      <c r="AD32" s="35">
        <v>18191.66</v>
      </c>
      <c r="AE32" s="35">
        <v>18191.66</v>
      </c>
      <c r="AF32" s="35">
        <v>18191.66</v>
      </c>
      <c r="AG32" s="35">
        <v>18191.66</v>
      </c>
      <c r="AH32" s="35">
        <v>18191.66</v>
      </c>
      <c r="AI32" s="35">
        <v>20666.740000000002</v>
      </c>
      <c r="AJ32" s="35">
        <v>23141.66</v>
      </c>
      <c r="AK32" s="36">
        <v>23141.66</v>
      </c>
      <c r="AL32" s="35">
        <v>23141.66</v>
      </c>
      <c r="AM32" s="35">
        <v>23141.66</v>
      </c>
      <c r="AN32" s="35">
        <v>23141.66</v>
      </c>
    </row>
    <row r="33" spans="1:40" x14ac:dyDescent="0.2">
      <c r="A33" s="38" t="s">
        <v>282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6"/>
      <c r="N33" s="35"/>
      <c r="O33" s="35"/>
      <c r="P33" s="35"/>
      <c r="Q33" s="35">
        <v>3555</v>
      </c>
      <c r="R33" s="35">
        <v>4800</v>
      </c>
      <c r="S33" s="35">
        <v>4800</v>
      </c>
      <c r="T33" s="35">
        <v>4800</v>
      </c>
      <c r="U33" s="35">
        <v>4800</v>
      </c>
      <c r="V33" s="35">
        <v>4800</v>
      </c>
      <c r="W33" s="35">
        <v>4800</v>
      </c>
      <c r="X33" s="35">
        <v>4800</v>
      </c>
      <c r="Y33" s="36">
        <v>4800</v>
      </c>
      <c r="Z33" s="35">
        <v>4800</v>
      </c>
      <c r="AA33" s="35">
        <v>4800</v>
      </c>
      <c r="AB33" s="35">
        <v>4800</v>
      </c>
      <c r="AC33" s="35">
        <v>2840.62</v>
      </c>
      <c r="AD33" s="35">
        <v>4781.66</v>
      </c>
      <c r="AE33" s="35">
        <v>4781.66</v>
      </c>
      <c r="AF33" s="35">
        <v>4781.66</v>
      </c>
      <c r="AG33" s="35">
        <v>4781.66</v>
      </c>
      <c r="AH33" s="35">
        <v>4781.66</v>
      </c>
      <c r="AI33" s="35">
        <v>4781.66</v>
      </c>
      <c r="AJ33" s="35">
        <v>4781.66</v>
      </c>
      <c r="AK33" s="36">
        <v>4781.66</v>
      </c>
      <c r="AL33" s="35">
        <v>4781.66</v>
      </c>
      <c r="AM33" s="35">
        <v>4781.66</v>
      </c>
      <c r="AN33" s="35">
        <v>4781.66</v>
      </c>
    </row>
    <row r="34" spans="1:40" x14ac:dyDescent="0.2">
      <c r="A34" s="38" t="s">
        <v>283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6"/>
      <c r="N34" s="35"/>
      <c r="O34" s="35"/>
      <c r="P34" s="35"/>
      <c r="Q34" s="35"/>
      <c r="R34" s="35">
        <v>9991.74</v>
      </c>
      <c r="S34" s="35">
        <v>4991.66</v>
      </c>
      <c r="T34" s="35">
        <v>4991.66</v>
      </c>
      <c r="U34" s="35">
        <v>4991.66</v>
      </c>
      <c r="V34" s="35">
        <v>4991.66</v>
      </c>
      <c r="W34" s="35">
        <v>4991.66</v>
      </c>
      <c r="X34" s="35">
        <v>4991.66</v>
      </c>
      <c r="Y34" s="36">
        <v>4991.66</v>
      </c>
      <c r="Z34" s="35">
        <v>4991.66</v>
      </c>
      <c r="AA34" s="35">
        <v>4991.66</v>
      </c>
      <c r="AB34" s="35">
        <v>4991.66</v>
      </c>
      <c r="AC34" s="35">
        <v>4991.66</v>
      </c>
      <c r="AD34" s="35">
        <v>6658.48</v>
      </c>
      <c r="AE34" s="35">
        <v>6658.32</v>
      </c>
      <c r="AF34" s="35">
        <v>6658.32</v>
      </c>
      <c r="AG34" s="35">
        <v>6658.32</v>
      </c>
      <c r="AH34" s="35">
        <v>6658.32</v>
      </c>
      <c r="AI34" s="35">
        <v>6658.32</v>
      </c>
      <c r="AJ34" s="35">
        <v>6658.32</v>
      </c>
      <c r="AK34" s="36">
        <v>6658.32</v>
      </c>
      <c r="AL34" s="35">
        <v>6658.32</v>
      </c>
      <c r="AM34" s="35">
        <v>6658.32</v>
      </c>
      <c r="AN34" s="35">
        <v>6658.32</v>
      </c>
    </row>
    <row r="35" spans="1:40" x14ac:dyDescent="0.2">
      <c r="A35" s="38" t="s">
        <v>284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6"/>
      <c r="N35" s="35"/>
      <c r="O35" s="35"/>
      <c r="P35" s="35"/>
      <c r="Q35" s="35"/>
      <c r="R35" s="35"/>
      <c r="S35" s="35">
        <v>7300</v>
      </c>
      <c r="T35" s="35">
        <v>4800</v>
      </c>
      <c r="U35" s="35">
        <v>8800</v>
      </c>
      <c r="V35" s="35">
        <v>4800</v>
      </c>
      <c r="W35" s="35">
        <v>4800</v>
      </c>
      <c r="X35" s="35">
        <v>8800</v>
      </c>
      <c r="Y35" s="36">
        <v>8800</v>
      </c>
      <c r="Z35" s="35">
        <v>4800</v>
      </c>
      <c r="AA35" s="35">
        <v>4800</v>
      </c>
      <c r="AB35" s="35">
        <v>4800</v>
      </c>
      <c r="AC35" s="35">
        <v>4800</v>
      </c>
      <c r="AD35" s="35">
        <v>4800</v>
      </c>
      <c r="AE35" s="35">
        <v>9233.369999999999</v>
      </c>
      <c r="AF35" s="35">
        <v>6733.33</v>
      </c>
      <c r="AG35" s="35">
        <v>6733.33</v>
      </c>
      <c r="AH35" s="35">
        <v>6733.33</v>
      </c>
      <c r="AI35" s="35">
        <v>6733.33</v>
      </c>
      <c r="AJ35" s="35">
        <v>6733.33</v>
      </c>
      <c r="AK35" s="36">
        <v>6733.33</v>
      </c>
      <c r="AL35" s="35">
        <v>6733.33</v>
      </c>
      <c r="AM35" s="35">
        <v>6733.33</v>
      </c>
      <c r="AN35" s="35">
        <v>6733.33</v>
      </c>
    </row>
    <row r="36" spans="1:40" x14ac:dyDescent="0.2">
      <c r="A36" s="38" t="s">
        <v>285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6"/>
      <c r="N36" s="35"/>
      <c r="O36" s="35"/>
      <c r="P36" s="35"/>
      <c r="Q36" s="35"/>
      <c r="R36" s="35"/>
      <c r="S36" s="35">
        <v>13098</v>
      </c>
      <c r="T36" s="35">
        <v>13082</v>
      </c>
      <c r="U36" s="35">
        <v>13082</v>
      </c>
      <c r="V36" s="35">
        <v>13082</v>
      </c>
      <c r="W36" s="35">
        <v>13082</v>
      </c>
      <c r="X36" s="35">
        <v>13082</v>
      </c>
      <c r="Y36" s="36">
        <v>21799</v>
      </c>
      <c r="Z36" s="35">
        <v>26799</v>
      </c>
      <c r="AA36" s="35">
        <v>53882.19</v>
      </c>
      <c r="AB36" s="35">
        <v>58465.31</v>
      </c>
      <c r="AC36" s="35">
        <v>50965.31</v>
      </c>
      <c r="AD36" s="35">
        <v>50965.31</v>
      </c>
      <c r="AE36" s="35">
        <v>56910.18</v>
      </c>
      <c r="AF36" s="35">
        <v>56910.18</v>
      </c>
      <c r="AG36" s="35">
        <v>56910.18</v>
      </c>
      <c r="AH36" s="35">
        <v>56910.18</v>
      </c>
      <c r="AI36" s="35">
        <v>56910.18</v>
      </c>
      <c r="AJ36" s="35">
        <v>73068.31</v>
      </c>
      <c r="AK36" s="36">
        <v>63068.24</v>
      </c>
      <c r="AL36" s="35">
        <v>63068.24</v>
      </c>
      <c r="AM36" s="35">
        <v>63068.24</v>
      </c>
      <c r="AN36" s="35">
        <v>63068.24</v>
      </c>
    </row>
    <row r="37" spans="1:40" x14ac:dyDescent="0.2">
      <c r="A37" s="38" t="s">
        <v>286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6"/>
      <c r="N37" s="35"/>
      <c r="O37" s="35"/>
      <c r="P37" s="35"/>
      <c r="Q37" s="35"/>
      <c r="R37" s="35"/>
      <c r="S37" s="35">
        <v>8067</v>
      </c>
      <c r="T37" s="35">
        <v>4600</v>
      </c>
      <c r="U37" s="35">
        <v>4600</v>
      </c>
      <c r="V37" s="35">
        <v>4600</v>
      </c>
      <c r="W37" s="35">
        <v>4600</v>
      </c>
      <c r="X37" s="35">
        <v>4600</v>
      </c>
      <c r="Y37" s="36">
        <v>4600</v>
      </c>
      <c r="Z37" s="35">
        <v>4600</v>
      </c>
      <c r="AA37" s="35">
        <v>4600</v>
      </c>
      <c r="AB37" s="35">
        <v>4600</v>
      </c>
      <c r="AC37" s="35">
        <v>4600</v>
      </c>
      <c r="AD37" s="35">
        <v>4600</v>
      </c>
      <c r="AE37" s="35">
        <v>5779.22</v>
      </c>
      <c r="AF37" s="35">
        <v>6369.16</v>
      </c>
      <c r="AG37" s="35">
        <v>6369.16</v>
      </c>
      <c r="AH37" s="35">
        <v>6369.16</v>
      </c>
      <c r="AI37" s="35">
        <v>6914.62</v>
      </c>
      <c r="AJ37" s="35">
        <v>9096.43</v>
      </c>
      <c r="AK37" s="36">
        <v>9096.43</v>
      </c>
      <c r="AL37" s="35">
        <v>6369.16</v>
      </c>
      <c r="AM37" s="35">
        <v>6369.16</v>
      </c>
      <c r="AN37" s="35">
        <v>6369.16</v>
      </c>
    </row>
    <row r="38" spans="1:40" x14ac:dyDescent="0.2">
      <c r="A38" s="38" t="s">
        <v>287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6"/>
      <c r="N38" s="35"/>
      <c r="O38" s="35"/>
      <c r="P38" s="35"/>
      <c r="Q38" s="35"/>
      <c r="R38" s="35"/>
      <c r="S38" s="35"/>
      <c r="T38" s="35">
        <v>2500</v>
      </c>
      <c r="U38" s="35">
        <v>4178.37</v>
      </c>
      <c r="V38" s="35">
        <v>4178.33</v>
      </c>
      <c r="W38" s="35">
        <v>4178.33</v>
      </c>
      <c r="X38" s="35">
        <v>4178.33</v>
      </c>
      <c r="Y38" s="36">
        <v>4178.33</v>
      </c>
      <c r="Z38" s="35">
        <v>4178.33</v>
      </c>
      <c r="AA38" s="35">
        <v>4178.33</v>
      </c>
      <c r="AB38" s="35">
        <v>4178.33</v>
      </c>
      <c r="AC38" s="35">
        <v>4178.33</v>
      </c>
      <c r="AD38" s="35">
        <v>4178.33</v>
      </c>
      <c r="AE38" s="35">
        <v>4178.33</v>
      </c>
      <c r="AF38" s="35">
        <v>4178.33</v>
      </c>
      <c r="AG38" s="35">
        <v>4166.82</v>
      </c>
      <c r="AH38" s="35">
        <v>4166.66</v>
      </c>
      <c r="AI38" s="35">
        <v>4166.66</v>
      </c>
      <c r="AJ38" s="35">
        <v>4166.66</v>
      </c>
      <c r="AK38" s="36">
        <v>4166.66</v>
      </c>
      <c r="AL38" s="35">
        <v>4166.66</v>
      </c>
      <c r="AM38" s="35">
        <v>4166.66</v>
      </c>
      <c r="AN38" s="35">
        <v>4166.66</v>
      </c>
    </row>
    <row r="39" spans="1:40" x14ac:dyDescent="0.2">
      <c r="A39" s="38" t="s">
        <v>288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6"/>
      <c r="N39" s="35"/>
      <c r="O39" s="35"/>
      <c r="P39" s="35"/>
      <c r="Q39" s="35"/>
      <c r="R39" s="35"/>
      <c r="S39" s="35"/>
      <c r="T39" s="35">
        <v>7866.74</v>
      </c>
      <c r="U39" s="35">
        <v>5366.66</v>
      </c>
      <c r="V39" s="35">
        <v>5366.66</v>
      </c>
      <c r="W39" s="35">
        <v>5366.66</v>
      </c>
      <c r="X39" s="35">
        <v>5366.66</v>
      </c>
      <c r="Y39" s="36">
        <v>5366.66</v>
      </c>
      <c r="Z39" s="35">
        <v>5366.66</v>
      </c>
      <c r="AA39" s="35">
        <v>5366.66</v>
      </c>
      <c r="AB39" s="35">
        <v>5366.66</v>
      </c>
      <c r="AC39" s="35">
        <v>5366.66</v>
      </c>
      <c r="AD39" s="35">
        <v>5366.66</v>
      </c>
      <c r="AE39" s="35">
        <v>5366.66</v>
      </c>
      <c r="AF39" s="35"/>
      <c r="AG39" s="35"/>
      <c r="AH39" s="35"/>
      <c r="AI39" s="35"/>
      <c r="AJ39" s="35"/>
      <c r="AK39" s="36"/>
      <c r="AL39" s="35"/>
      <c r="AM39" s="35"/>
      <c r="AN39" s="35"/>
    </row>
    <row r="40" spans="1:40" x14ac:dyDescent="0.2">
      <c r="A40" s="38" t="s">
        <v>289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6"/>
      <c r="N40" s="35"/>
      <c r="O40" s="35"/>
      <c r="P40" s="35"/>
      <c r="Q40" s="35"/>
      <c r="R40" s="35"/>
      <c r="S40" s="35"/>
      <c r="T40" s="35">
        <v>27696.78</v>
      </c>
      <c r="U40" s="35">
        <v>95400</v>
      </c>
      <c r="V40" s="35">
        <v>95400</v>
      </c>
      <c r="W40" s="35">
        <v>95400</v>
      </c>
      <c r="X40" s="35">
        <v>95400</v>
      </c>
      <c r="Y40" s="36">
        <v>95400</v>
      </c>
      <c r="Z40" s="35">
        <v>95400</v>
      </c>
      <c r="AA40" s="35">
        <v>95400</v>
      </c>
      <c r="AB40" s="35">
        <v>95400</v>
      </c>
      <c r="AC40" s="35">
        <v>95400</v>
      </c>
      <c r="AD40" s="35">
        <v>95400</v>
      </c>
      <c r="AE40" s="35">
        <v>95400</v>
      </c>
      <c r="AF40" s="35">
        <v>88567.223225806461</v>
      </c>
      <c r="AG40" s="35">
        <v>71866.66</v>
      </c>
      <c r="AH40" s="35">
        <v>71866.66</v>
      </c>
      <c r="AI40" s="35">
        <v>71866.66</v>
      </c>
      <c r="AJ40" s="35">
        <v>71866.66</v>
      </c>
      <c r="AK40" s="36">
        <v>71866.66</v>
      </c>
      <c r="AL40" s="35">
        <v>71866.66</v>
      </c>
      <c r="AM40" s="35">
        <v>71866.66</v>
      </c>
      <c r="AN40" s="35">
        <v>71866.66</v>
      </c>
    </row>
    <row r="41" spans="1:40" x14ac:dyDescent="0.2">
      <c r="A41" s="38" t="s">
        <v>290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6"/>
      <c r="N41" s="35"/>
      <c r="O41" s="35"/>
      <c r="P41" s="35"/>
      <c r="Q41" s="35"/>
      <c r="R41" s="35"/>
      <c r="S41" s="35"/>
      <c r="T41" s="35"/>
      <c r="U41" s="35">
        <v>7241</v>
      </c>
      <c r="V41" s="35">
        <v>4466</v>
      </c>
      <c r="W41" s="35">
        <v>4466</v>
      </c>
      <c r="X41" s="35">
        <v>4466</v>
      </c>
      <c r="Y41" s="36">
        <v>4466</v>
      </c>
      <c r="Z41" s="35">
        <v>4466</v>
      </c>
      <c r="AA41" s="35">
        <v>4466</v>
      </c>
      <c r="AB41" s="35">
        <v>4466</v>
      </c>
      <c r="AC41" s="35">
        <v>4466</v>
      </c>
      <c r="AD41" s="35">
        <v>4466</v>
      </c>
      <c r="AE41" s="35">
        <v>4466</v>
      </c>
      <c r="AF41" s="35">
        <v>4466</v>
      </c>
      <c r="AG41" s="35">
        <v>4474</v>
      </c>
      <c r="AH41" s="35">
        <v>4466</v>
      </c>
      <c r="AI41" s="35">
        <v>4466</v>
      </c>
      <c r="AJ41" s="35">
        <v>4466</v>
      </c>
      <c r="AK41" s="36">
        <v>4466</v>
      </c>
      <c r="AL41" s="35">
        <v>4466</v>
      </c>
      <c r="AM41" s="35">
        <v>4466</v>
      </c>
      <c r="AN41" s="35">
        <v>4466</v>
      </c>
    </row>
    <row r="42" spans="1:40" x14ac:dyDescent="0.2">
      <c r="A42" s="38" t="s">
        <v>291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6"/>
      <c r="N42" s="35"/>
      <c r="O42" s="35"/>
      <c r="P42" s="35"/>
      <c r="Q42" s="35"/>
      <c r="R42" s="35"/>
      <c r="S42" s="35"/>
      <c r="T42" s="35"/>
      <c r="U42" s="35">
        <v>1318</v>
      </c>
      <c r="V42" s="35">
        <v>10416</v>
      </c>
      <c r="W42" s="35">
        <v>7916</v>
      </c>
      <c r="X42" s="35">
        <v>7916</v>
      </c>
      <c r="Y42" s="36">
        <v>7916</v>
      </c>
      <c r="Z42" s="35">
        <v>7916</v>
      </c>
      <c r="AA42" s="35">
        <v>7916</v>
      </c>
      <c r="AB42" s="35">
        <v>7916</v>
      </c>
      <c r="AC42" s="35">
        <v>7916</v>
      </c>
      <c r="AD42" s="35">
        <v>7916</v>
      </c>
      <c r="AE42" s="35">
        <v>7916</v>
      </c>
      <c r="AF42" s="35">
        <v>7916</v>
      </c>
      <c r="AG42" s="35">
        <v>7924</v>
      </c>
      <c r="AH42" s="35">
        <v>10416</v>
      </c>
      <c r="AI42" s="35">
        <v>7916</v>
      </c>
      <c r="AJ42" s="35">
        <v>7916</v>
      </c>
      <c r="AK42" s="36">
        <v>7916</v>
      </c>
      <c r="AL42" s="35">
        <v>7916</v>
      </c>
      <c r="AM42" s="35">
        <v>7916</v>
      </c>
      <c r="AN42" s="35">
        <v>7916</v>
      </c>
    </row>
    <row r="43" spans="1:40" x14ac:dyDescent="0.2">
      <c r="A43" s="38" t="s">
        <v>292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6"/>
      <c r="N43" s="35"/>
      <c r="O43" s="35"/>
      <c r="P43" s="35"/>
      <c r="Q43" s="35"/>
      <c r="R43" s="35"/>
      <c r="S43" s="35"/>
      <c r="T43" s="35"/>
      <c r="U43" s="35"/>
      <c r="V43" s="35">
        <v>52360.590000000004</v>
      </c>
      <c r="W43" s="35">
        <v>58333.320000000007</v>
      </c>
      <c r="X43" s="35">
        <v>58333.320000000007</v>
      </c>
      <c r="Y43" s="36">
        <v>58333.320000000007</v>
      </c>
      <c r="Z43" s="35">
        <v>58333.320000000007</v>
      </c>
      <c r="AA43" s="35">
        <v>58333.320000000007</v>
      </c>
      <c r="AB43" s="35">
        <v>58333.320000000007</v>
      </c>
      <c r="AC43" s="35">
        <v>58333.320000000007</v>
      </c>
      <c r="AD43" s="35">
        <v>58333.320000000007</v>
      </c>
      <c r="AE43" s="35">
        <v>58333.320000000007</v>
      </c>
      <c r="AF43" s="35">
        <v>58333.320000000007</v>
      </c>
      <c r="AG43" s="35">
        <v>58333.320000000007</v>
      </c>
      <c r="AH43" s="35">
        <v>54722.210000000006</v>
      </c>
      <c r="AI43" s="35">
        <v>54166.66</v>
      </c>
      <c r="AJ43" s="35">
        <v>54166.66</v>
      </c>
      <c r="AK43" s="36">
        <v>54166.66</v>
      </c>
      <c r="AL43" s="35">
        <v>54166.66</v>
      </c>
      <c r="AM43" s="35">
        <v>54166.66</v>
      </c>
      <c r="AN43" s="35">
        <v>54166.66</v>
      </c>
    </row>
    <row r="44" spans="1:40" x14ac:dyDescent="0.2">
      <c r="A44" s="38" t="s">
        <v>293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6"/>
      <c r="N44" s="35"/>
      <c r="O44" s="35"/>
      <c r="P44" s="35"/>
      <c r="Q44" s="35"/>
      <c r="R44" s="35"/>
      <c r="S44" s="35"/>
      <c r="T44" s="35"/>
      <c r="U44" s="35"/>
      <c r="V44" s="35"/>
      <c r="W44" s="35">
        <v>84182.28</v>
      </c>
      <c r="X44" s="35">
        <v>84182.22</v>
      </c>
      <c r="Y44" s="36">
        <v>84182.22</v>
      </c>
      <c r="Z44" s="35">
        <v>91004.06</v>
      </c>
      <c r="AA44" s="35">
        <v>84075.99</v>
      </c>
      <c r="AB44" s="35">
        <v>84075.99</v>
      </c>
      <c r="AC44" s="35">
        <v>91003.99</v>
      </c>
      <c r="AD44" s="35">
        <v>92735.99</v>
      </c>
      <c r="AE44" s="35">
        <v>92735.99</v>
      </c>
      <c r="AF44" s="35">
        <v>92735.99</v>
      </c>
      <c r="AG44" s="35">
        <v>116135.99</v>
      </c>
      <c r="AH44" s="35">
        <v>116135.99</v>
      </c>
      <c r="AI44" s="35">
        <v>117098.22</v>
      </c>
      <c r="AJ44" s="35">
        <v>118830.22</v>
      </c>
      <c r="AK44" s="36">
        <v>120562.22</v>
      </c>
      <c r="AL44" s="35">
        <v>231733.45</v>
      </c>
      <c r="AM44" s="35">
        <v>231733.33</v>
      </c>
      <c r="AN44" s="35">
        <v>231733.33</v>
      </c>
    </row>
    <row r="45" spans="1:40" x14ac:dyDescent="0.2">
      <c r="A45" s="38" t="s">
        <v>294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6"/>
      <c r="N45" s="35"/>
      <c r="O45" s="35"/>
      <c r="P45" s="35"/>
      <c r="Q45" s="35"/>
      <c r="R45" s="35"/>
      <c r="S45" s="35"/>
      <c r="T45" s="35"/>
      <c r="U45" s="35"/>
      <c r="V45" s="35"/>
      <c r="W45" s="35">
        <v>42075</v>
      </c>
      <c r="X45" s="35">
        <v>42075</v>
      </c>
      <c r="Y45" s="36">
        <v>42075</v>
      </c>
      <c r="Z45" s="35">
        <v>42075</v>
      </c>
      <c r="AA45" s="35">
        <v>42075</v>
      </c>
      <c r="AB45" s="35">
        <v>42075</v>
      </c>
      <c r="AC45" s="35">
        <v>42075</v>
      </c>
      <c r="AD45" s="35">
        <v>42075</v>
      </c>
      <c r="AE45" s="35">
        <v>42075</v>
      </c>
      <c r="AF45" s="35">
        <v>42075</v>
      </c>
      <c r="AG45" s="35">
        <v>42075</v>
      </c>
      <c r="AH45" s="35">
        <v>42075</v>
      </c>
      <c r="AI45" s="35">
        <v>42075</v>
      </c>
      <c r="AJ45" s="35">
        <v>48262.5</v>
      </c>
      <c r="AK45" s="36">
        <v>48262.5</v>
      </c>
      <c r="AL45" s="35">
        <v>48262.5</v>
      </c>
      <c r="AM45" s="35">
        <v>48262.5</v>
      </c>
      <c r="AN45" s="35">
        <v>48262.5</v>
      </c>
    </row>
    <row r="46" spans="1:40" x14ac:dyDescent="0.2">
      <c r="A46" s="38" t="s">
        <v>295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6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>
        <v>9483.4599999999991</v>
      </c>
      <c r="Y46" s="36">
        <v>5379.99</v>
      </c>
      <c r="Z46" s="35">
        <v>5379.99</v>
      </c>
      <c r="AA46" s="35">
        <v>5379.99</v>
      </c>
      <c r="AB46" s="35">
        <v>5379.99</v>
      </c>
      <c r="AC46" s="35">
        <v>5379.99</v>
      </c>
      <c r="AD46" s="35">
        <v>5379.99</v>
      </c>
      <c r="AE46" s="35">
        <v>5379.99</v>
      </c>
      <c r="AF46" s="35">
        <v>5379.99</v>
      </c>
      <c r="AG46" s="35">
        <v>5379.99</v>
      </c>
      <c r="AH46" s="35">
        <v>5379.99</v>
      </c>
      <c r="AI46" s="35">
        <v>5379.99</v>
      </c>
      <c r="AJ46" s="35">
        <v>6137.8099999999995</v>
      </c>
      <c r="AK46" s="36">
        <v>6289.33</v>
      </c>
      <c r="AL46" s="35">
        <v>6289.33</v>
      </c>
      <c r="AM46" s="35">
        <v>6289.33</v>
      </c>
      <c r="AN46" s="35">
        <v>6289.33</v>
      </c>
    </row>
    <row r="47" spans="1:40" x14ac:dyDescent="0.2">
      <c r="A47" s="38" t="s">
        <v>296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6"/>
      <c r="N47" s="35"/>
      <c r="O47" s="35"/>
      <c r="P47" s="35"/>
      <c r="Q47" s="35"/>
      <c r="R47" s="35"/>
      <c r="S47" s="35"/>
      <c r="T47" s="35"/>
      <c r="U47" s="35"/>
      <c r="V47" s="35"/>
      <c r="W47" s="35">
        <v>645.16</v>
      </c>
      <c r="X47" s="35">
        <v>4999.99</v>
      </c>
      <c r="Y47" s="36">
        <v>4999.99</v>
      </c>
      <c r="Z47" s="35">
        <v>4999.99</v>
      </c>
      <c r="AA47" s="35">
        <v>4999.99</v>
      </c>
      <c r="AB47" s="35">
        <v>4999.99</v>
      </c>
      <c r="AC47" s="35">
        <v>4999.99</v>
      </c>
      <c r="AD47" s="35">
        <v>4999.99</v>
      </c>
      <c r="AE47" s="35">
        <v>4999.99</v>
      </c>
      <c r="AF47" s="35">
        <v>4999.99</v>
      </c>
      <c r="AG47" s="35">
        <v>4999.99</v>
      </c>
      <c r="AH47" s="35">
        <v>4999.99</v>
      </c>
      <c r="AI47" s="35">
        <v>4354.95</v>
      </c>
      <c r="AJ47" s="35"/>
      <c r="AK47" s="36"/>
      <c r="AL47" s="35"/>
      <c r="AM47" s="35"/>
      <c r="AN47" s="35"/>
    </row>
    <row r="48" spans="1:40" x14ac:dyDescent="0.2">
      <c r="A48" s="38" t="s">
        <v>297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6"/>
      <c r="N48" s="35"/>
      <c r="O48" s="35"/>
      <c r="P48" s="35"/>
      <c r="Q48" s="35"/>
      <c r="R48" s="35"/>
      <c r="S48" s="35"/>
      <c r="T48" s="35"/>
      <c r="U48" s="35"/>
      <c r="V48" s="35"/>
      <c r="W48" s="35">
        <v>22151.18</v>
      </c>
      <c r="X48" s="35">
        <v>39226.660000000003</v>
      </c>
      <c r="Y48" s="36">
        <v>34226.660000000003</v>
      </c>
      <c r="Z48" s="35">
        <v>34226.660000000003</v>
      </c>
      <c r="AA48" s="35">
        <v>34226.660000000003</v>
      </c>
      <c r="AB48" s="35">
        <v>34226.660000000003</v>
      </c>
      <c r="AC48" s="35">
        <v>34226.660000000003</v>
      </c>
      <c r="AD48" s="35">
        <v>34226.660000000003</v>
      </c>
      <c r="AE48" s="35">
        <v>34226.660000000003</v>
      </c>
      <c r="AF48" s="35">
        <v>38066.660000000003</v>
      </c>
      <c r="AG48" s="35">
        <v>39986.660000000003</v>
      </c>
      <c r="AH48" s="35">
        <v>39986.660000000003</v>
      </c>
      <c r="AI48" s="35">
        <v>39986.660000000003</v>
      </c>
      <c r="AJ48" s="35">
        <v>39986.660000000003</v>
      </c>
      <c r="AK48" s="36">
        <v>39986.660000000003</v>
      </c>
      <c r="AL48" s="35">
        <v>58609.03</v>
      </c>
      <c r="AM48" s="35">
        <v>44613.33</v>
      </c>
      <c r="AN48" s="35">
        <v>44613.33</v>
      </c>
    </row>
    <row r="49" spans="1:40" x14ac:dyDescent="0.2">
      <c r="A49" s="38" t="s">
        <v>298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6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>
        <v>36000</v>
      </c>
      <c r="Y49" s="36">
        <v>36000</v>
      </c>
      <c r="Z49" s="35">
        <v>36000</v>
      </c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6"/>
      <c r="AL49" s="35"/>
      <c r="AM49" s="35"/>
      <c r="AN49" s="35"/>
    </row>
    <row r="50" spans="1:40" x14ac:dyDescent="0.2">
      <c r="A50" s="38" t="s">
        <v>299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6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>
        <v>15572.82</v>
      </c>
      <c r="Y50" s="36">
        <v>16693.330000000002</v>
      </c>
      <c r="Z50" s="35">
        <v>16693.330000000002</v>
      </c>
      <c r="AA50" s="35">
        <v>16693.330000000002</v>
      </c>
      <c r="AB50" s="35">
        <v>16693.330000000002</v>
      </c>
      <c r="AC50" s="35">
        <v>16693.330000000002</v>
      </c>
      <c r="AD50" s="35">
        <v>16693.330000000002</v>
      </c>
      <c r="AE50" s="35">
        <v>16693.330000000002</v>
      </c>
      <c r="AF50" s="35">
        <v>16693.330000000002</v>
      </c>
      <c r="AG50" s="35">
        <v>16693.330000000002</v>
      </c>
      <c r="AH50" s="35">
        <v>16693.330000000002</v>
      </c>
      <c r="AI50" s="35">
        <v>16693.330000000002</v>
      </c>
      <c r="AJ50" s="35">
        <v>21693.37</v>
      </c>
      <c r="AK50" s="36">
        <v>16693.330000000002</v>
      </c>
      <c r="AL50" s="35">
        <v>16693.330000000002</v>
      </c>
      <c r="AM50" s="35">
        <v>16693.330000000002</v>
      </c>
      <c r="AN50" s="35">
        <v>16693.330000000002</v>
      </c>
    </row>
    <row r="51" spans="1:40" x14ac:dyDescent="0.2">
      <c r="A51" s="38" t="s">
        <v>300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6"/>
      <c r="N51" s="35"/>
      <c r="O51" s="35"/>
      <c r="P51" s="35"/>
      <c r="Q51" s="35"/>
      <c r="R51" s="35"/>
      <c r="S51" s="35"/>
      <c r="T51" s="35"/>
      <c r="U51" s="35"/>
      <c r="V51" s="35"/>
      <c r="W51" s="35">
        <v>118.28</v>
      </c>
      <c r="X51" s="35">
        <v>6833.33</v>
      </c>
      <c r="Y51" s="36">
        <v>1833.33</v>
      </c>
      <c r="Z51" s="35">
        <v>1833.33</v>
      </c>
      <c r="AA51" s="35">
        <v>1833.33</v>
      </c>
      <c r="AB51" s="35">
        <v>1833.33</v>
      </c>
      <c r="AC51" s="35">
        <v>1833.33</v>
      </c>
      <c r="AD51" s="35">
        <v>1833.33</v>
      </c>
      <c r="AE51" s="35">
        <v>1833.33</v>
      </c>
      <c r="AF51" s="35">
        <v>1833.33</v>
      </c>
      <c r="AG51" s="35">
        <v>1833.33</v>
      </c>
      <c r="AH51" s="35">
        <v>1833.33</v>
      </c>
      <c r="AI51" s="35">
        <v>1715.09</v>
      </c>
      <c r="AJ51" s="35"/>
      <c r="AK51" s="36"/>
      <c r="AL51" s="35"/>
      <c r="AM51" s="35"/>
      <c r="AN51" s="35"/>
    </row>
    <row r="52" spans="1:40" x14ac:dyDescent="0.2">
      <c r="A52" s="37" t="s">
        <v>301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6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6">
        <v>567.74</v>
      </c>
      <c r="Z52" s="35">
        <v>4400</v>
      </c>
      <c r="AA52" s="35">
        <v>4400</v>
      </c>
      <c r="AB52" s="35">
        <v>4400</v>
      </c>
      <c r="AC52" s="35">
        <v>4400</v>
      </c>
      <c r="AD52" s="35">
        <v>4400</v>
      </c>
      <c r="AE52" s="35">
        <v>4400</v>
      </c>
      <c r="AF52" s="35">
        <v>4400</v>
      </c>
      <c r="AG52" s="35">
        <v>4400</v>
      </c>
      <c r="AH52" s="35">
        <v>4400</v>
      </c>
      <c r="AI52" s="35">
        <v>4400</v>
      </c>
      <c r="AJ52" s="35">
        <v>4400</v>
      </c>
      <c r="AK52" s="36">
        <v>4400</v>
      </c>
      <c r="AL52" s="35">
        <v>4400</v>
      </c>
      <c r="AM52" s="35">
        <v>4400</v>
      </c>
      <c r="AN52" s="35">
        <v>4400</v>
      </c>
    </row>
    <row r="53" spans="1:40" x14ac:dyDescent="0.2">
      <c r="A53" s="38" t="s">
        <v>302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6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6">
        <v>1800</v>
      </c>
      <c r="Z53" s="39">
        <v>5400</v>
      </c>
      <c r="AA53" s="39">
        <v>5400</v>
      </c>
      <c r="AB53" s="39">
        <v>5400</v>
      </c>
      <c r="AC53" s="39">
        <v>5400</v>
      </c>
      <c r="AD53" s="39">
        <v>5400</v>
      </c>
      <c r="AE53" s="39">
        <v>5400</v>
      </c>
      <c r="AF53" s="39">
        <v>5400</v>
      </c>
      <c r="AG53" s="39">
        <v>5400</v>
      </c>
      <c r="AH53" s="39">
        <v>5400</v>
      </c>
      <c r="AI53" s="39">
        <v>5400</v>
      </c>
      <c r="AJ53" s="39">
        <v>5400</v>
      </c>
      <c r="AK53" s="36">
        <v>5400</v>
      </c>
      <c r="AL53" s="39">
        <v>5400</v>
      </c>
      <c r="AM53" s="39">
        <v>5400</v>
      </c>
      <c r="AN53" s="39">
        <v>5400</v>
      </c>
    </row>
    <row r="54" spans="1:40" x14ac:dyDescent="0.2">
      <c r="A54" s="38" t="s">
        <v>303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6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6"/>
      <c r="Z54" s="35">
        <v>7167.78</v>
      </c>
      <c r="AA54" s="35">
        <v>3733.33</v>
      </c>
      <c r="AB54" s="35">
        <v>3733.33</v>
      </c>
      <c r="AC54" s="35">
        <v>3733.33</v>
      </c>
      <c r="AD54" s="35">
        <v>3733.33</v>
      </c>
      <c r="AE54" s="35">
        <v>3733.33</v>
      </c>
      <c r="AF54" s="35">
        <v>3733.33</v>
      </c>
      <c r="AG54" s="35">
        <v>3733.33</v>
      </c>
      <c r="AH54" s="35">
        <v>3733.33</v>
      </c>
      <c r="AI54" s="35">
        <v>3733.33</v>
      </c>
      <c r="AJ54" s="35">
        <v>3733.33</v>
      </c>
      <c r="AK54" s="36">
        <v>3733.33</v>
      </c>
      <c r="AL54" s="35">
        <v>3232.09</v>
      </c>
      <c r="AM54" s="35">
        <v>11372.32</v>
      </c>
      <c r="AN54" s="35">
        <v>19411.16</v>
      </c>
    </row>
    <row r="55" spans="1:40" x14ac:dyDescent="0.2">
      <c r="A55" s="38" t="s">
        <v>304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6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6"/>
      <c r="Z55" s="35"/>
      <c r="AA55" s="35">
        <v>13500</v>
      </c>
      <c r="AB55" s="35">
        <v>13500</v>
      </c>
      <c r="AC55" s="35">
        <v>13500</v>
      </c>
      <c r="AD55" s="35">
        <v>13500</v>
      </c>
      <c r="AE55" s="35">
        <v>13500</v>
      </c>
      <c r="AF55" s="35">
        <v>13500</v>
      </c>
      <c r="AG55" s="35">
        <v>13500</v>
      </c>
      <c r="AH55" s="35">
        <v>13500</v>
      </c>
      <c r="AI55" s="35">
        <v>13500</v>
      </c>
      <c r="AJ55" s="35">
        <v>15993.15</v>
      </c>
      <c r="AK55" s="36">
        <v>22000</v>
      </c>
      <c r="AL55" s="35">
        <v>22000</v>
      </c>
      <c r="AM55" s="35">
        <v>22000</v>
      </c>
      <c r="AN55" s="35">
        <v>22000</v>
      </c>
    </row>
    <row r="56" spans="1:40" x14ac:dyDescent="0.2">
      <c r="A56" s="38" t="s">
        <v>305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6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6"/>
      <c r="Z56" s="35"/>
      <c r="AA56" s="35"/>
      <c r="AB56" s="35">
        <v>18334</v>
      </c>
      <c r="AC56" s="35">
        <v>27500</v>
      </c>
      <c r="AD56" s="35">
        <v>27500</v>
      </c>
      <c r="AE56" s="35">
        <v>27500</v>
      </c>
      <c r="AF56" s="35">
        <v>27500</v>
      </c>
      <c r="AG56" s="35">
        <v>27500</v>
      </c>
      <c r="AH56" s="35">
        <v>27500</v>
      </c>
      <c r="AI56" s="35">
        <v>27500</v>
      </c>
      <c r="AJ56" s="35">
        <v>27500</v>
      </c>
      <c r="AK56" s="36">
        <v>27500</v>
      </c>
      <c r="AL56" s="35">
        <v>27500</v>
      </c>
      <c r="AM56" s="35">
        <v>27500</v>
      </c>
      <c r="AN56" s="35">
        <v>35069.33</v>
      </c>
    </row>
    <row r="57" spans="1:40" x14ac:dyDescent="0.2">
      <c r="A57" s="38" t="s">
        <v>306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6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6"/>
      <c r="Z57" s="35"/>
      <c r="AA57" s="35"/>
      <c r="AB57" s="35">
        <v>10416.370000000001</v>
      </c>
      <c r="AC57" s="35">
        <v>20833.330000000002</v>
      </c>
      <c r="AD57" s="35">
        <v>20833.330000000002</v>
      </c>
      <c r="AE57" s="35">
        <v>20833.330000000002</v>
      </c>
      <c r="AF57" s="35">
        <v>20833.330000000002</v>
      </c>
      <c r="AG57" s="35">
        <v>20833.330000000002</v>
      </c>
      <c r="AH57" s="35">
        <v>20833.330000000002</v>
      </c>
      <c r="AI57" s="35">
        <v>37470.83</v>
      </c>
      <c r="AJ57" s="35">
        <v>37470.83</v>
      </c>
      <c r="AK57" s="36">
        <v>37470.83</v>
      </c>
      <c r="AL57" s="35">
        <v>37470.83</v>
      </c>
      <c r="AM57" s="35">
        <v>37470.83</v>
      </c>
      <c r="AN57" s="35">
        <v>27054.5</v>
      </c>
    </row>
    <row r="58" spans="1:40" x14ac:dyDescent="0.2">
      <c r="A58" s="38" t="s">
        <v>307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6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6"/>
      <c r="Z58" s="35"/>
      <c r="AA58" s="35"/>
      <c r="AB58" s="35">
        <v>10733.37</v>
      </c>
      <c r="AC58" s="35">
        <v>10733.33</v>
      </c>
      <c r="AD58" s="35">
        <v>10733.33</v>
      </c>
      <c r="AE58" s="35">
        <v>10733.33</v>
      </c>
      <c r="AF58" s="35">
        <v>10733.33</v>
      </c>
      <c r="AG58" s="35">
        <v>10733.33</v>
      </c>
      <c r="AH58" s="35">
        <v>10733.33</v>
      </c>
      <c r="AI58" s="35">
        <v>10733.33</v>
      </c>
      <c r="AJ58" s="35">
        <v>10733.33</v>
      </c>
      <c r="AK58" s="36">
        <v>10733.33</v>
      </c>
      <c r="AL58" s="35">
        <v>10733.33</v>
      </c>
      <c r="AM58" s="35">
        <v>10733.33</v>
      </c>
      <c r="AN58" s="35">
        <v>12900.11</v>
      </c>
    </row>
    <row r="59" spans="1:40" x14ac:dyDescent="0.2">
      <c r="A59" s="38" t="s">
        <v>308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6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6"/>
      <c r="Z59" s="35"/>
      <c r="AA59" s="35"/>
      <c r="AB59" s="35">
        <v>2083.37</v>
      </c>
      <c r="AC59" s="35">
        <v>4166.66</v>
      </c>
      <c r="AD59" s="35">
        <v>4166.66</v>
      </c>
      <c r="AE59" s="35">
        <v>4166.66</v>
      </c>
      <c r="AF59" s="35">
        <v>4166.66</v>
      </c>
      <c r="AG59" s="35">
        <v>4166.66</v>
      </c>
      <c r="AH59" s="35">
        <v>4166.66</v>
      </c>
      <c r="AI59" s="35">
        <v>4166.66</v>
      </c>
      <c r="AJ59" s="35">
        <v>4166.66</v>
      </c>
      <c r="AK59" s="36">
        <v>4166.66</v>
      </c>
      <c r="AL59" s="35">
        <v>4166.66</v>
      </c>
      <c r="AM59" s="35">
        <v>4166.66</v>
      </c>
      <c r="AN59" s="35">
        <v>2083.37</v>
      </c>
    </row>
    <row r="60" spans="1:40" x14ac:dyDescent="0.2">
      <c r="A60" s="38" t="s">
        <v>309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6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6"/>
      <c r="Z60" s="35"/>
      <c r="AA60" s="35"/>
      <c r="AB60" s="35">
        <v>13750.11</v>
      </c>
      <c r="AC60" s="35">
        <v>13749.99</v>
      </c>
      <c r="AD60" s="35">
        <v>13749.99</v>
      </c>
      <c r="AE60" s="35">
        <v>13749.99</v>
      </c>
      <c r="AF60" s="35">
        <v>13749.99</v>
      </c>
      <c r="AG60" s="35">
        <v>13749.99</v>
      </c>
      <c r="AH60" s="35">
        <v>13749.99</v>
      </c>
      <c r="AI60" s="35">
        <v>13749.99</v>
      </c>
      <c r="AJ60" s="35">
        <v>13749.99</v>
      </c>
      <c r="AK60" s="36">
        <v>13749.99</v>
      </c>
      <c r="AL60" s="35">
        <v>13749.99</v>
      </c>
      <c r="AM60" s="35">
        <v>13749.99</v>
      </c>
      <c r="AN60" s="35"/>
    </row>
    <row r="61" spans="1:40" x14ac:dyDescent="0.2">
      <c r="A61" s="38" t="s">
        <v>310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6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6"/>
      <c r="Z61" s="35"/>
      <c r="AA61" s="35"/>
      <c r="AB61" s="35"/>
      <c r="AC61" s="35">
        <v>14583.45</v>
      </c>
      <c r="AD61" s="35">
        <v>9583.33</v>
      </c>
      <c r="AE61" s="35">
        <v>9583.33</v>
      </c>
      <c r="AF61" s="35">
        <v>9583.33</v>
      </c>
      <c r="AG61" s="35">
        <v>9583.33</v>
      </c>
      <c r="AH61" s="35">
        <v>9583.33</v>
      </c>
      <c r="AI61" s="35">
        <v>9583.33</v>
      </c>
      <c r="AJ61" s="35">
        <v>9583.33</v>
      </c>
      <c r="AK61" s="40">
        <v>9583.33</v>
      </c>
      <c r="AL61" s="35">
        <v>9583.33</v>
      </c>
      <c r="AM61" s="35">
        <v>9583.33</v>
      </c>
      <c r="AN61" s="35">
        <v>9583.33</v>
      </c>
    </row>
    <row r="62" spans="1:40" x14ac:dyDescent="0.2">
      <c r="A62" s="38" t="s">
        <v>311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6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6"/>
      <c r="Z62" s="35"/>
      <c r="AA62" s="35"/>
      <c r="AB62" s="35"/>
      <c r="AC62" s="35">
        <v>12499.99</v>
      </c>
      <c r="AD62" s="35">
        <v>12499.91</v>
      </c>
      <c r="AE62" s="35">
        <v>12499.91</v>
      </c>
      <c r="AF62" s="35">
        <v>12499.91</v>
      </c>
      <c r="AG62" s="35">
        <v>12499.91</v>
      </c>
      <c r="AH62" s="35">
        <v>12499.91</v>
      </c>
      <c r="AI62" s="35">
        <v>12499.91</v>
      </c>
      <c r="AJ62" s="35">
        <v>12499.91</v>
      </c>
      <c r="AK62" s="36">
        <v>12499.91</v>
      </c>
      <c r="AL62" s="35">
        <v>12499.91</v>
      </c>
      <c r="AM62" s="35">
        <v>12499.91</v>
      </c>
      <c r="AN62" s="35">
        <v>12499.91</v>
      </c>
    </row>
    <row r="63" spans="1:40" x14ac:dyDescent="0.2">
      <c r="A63" s="38" t="s">
        <v>312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6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6"/>
      <c r="Z63" s="35"/>
      <c r="AA63" s="35"/>
      <c r="AB63" s="35"/>
      <c r="AC63" s="35">
        <v>6442.95</v>
      </c>
      <c r="AD63" s="35">
        <v>6442.85</v>
      </c>
      <c r="AE63" s="35">
        <v>6442.85</v>
      </c>
      <c r="AF63" s="35">
        <v>6442.85</v>
      </c>
      <c r="AG63" s="35">
        <v>6442.85</v>
      </c>
      <c r="AH63" s="35">
        <v>6442.85</v>
      </c>
      <c r="AI63" s="35">
        <v>6442.85</v>
      </c>
      <c r="AJ63" s="35">
        <v>6442.85</v>
      </c>
      <c r="AK63" s="36">
        <v>6442.85</v>
      </c>
      <c r="AL63" s="35">
        <v>6442.85</v>
      </c>
      <c r="AM63" s="35">
        <v>6442.85</v>
      </c>
      <c r="AN63" s="35">
        <v>6442.85</v>
      </c>
    </row>
    <row r="64" spans="1:40" x14ac:dyDescent="0.2">
      <c r="A64" s="38" t="s">
        <v>313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6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6"/>
      <c r="Z64" s="35"/>
      <c r="AA64" s="35"/>
      <c r="AB64" s="35"/>
      <c r="AC64" s="35">
        <v>31395</v>
      </c>
      <c r="AD64" s="35">
        <v>31395</v>
      </c>
      <c r="AE64" s="35">
        <v>31395</v>
      </c>
      <c r="AF64" s="35">
        <v>31395</v>
      </c>
      <c r="AG64" s="35">
        <v>31395</v>
      </c>
      <c r="AH64" s="35">
        <v>31395</v>
      </c>
      <c r="AI64" s="35">
        <v>31395</v>
      </c>
      <c r="AJ64" s="35">
        <v>31395</v>
      </c>
      <c r="AK64" s="36">
        <v>31395</v>
      </c>
      <c r="AL64" s="35">
        <v>31395</v>
      </c>
      <c r="AM64" s="35">
        <v>31395</v>
      </c>
      <c r="AN64" s="35">
        <v>31395</v>
      </c>
    </row>
    <row r="65" spans="1:40" x14ac:dyDescent="0.2">
      <c r="A65" s="38" t="s">
        <v>314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6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6"/>
      <c r="Z65" s="35"/>
      <c r="AA65" s="35"/>
      <c r="AB65" s="35">
        <v>150</v>
      </c>
      <c r="AC65" s="35">
        <v>300</v>
      </c>
      <c r="AD65" s="35">
        <v>300</v>
      </c>
      <c r="AE65" s="35">
        <v>300</v>
      </c>
      <c r="AF65" s="35">
        <v>300</v>
      </c>
      <c r="AG65" s="35">
        <v>300</v>
      </c>
      <c r="AH65" s="35">
        <v>300</v>
      </c>
      <c r="AI65" s="35">
        <v>300</v>
      </c>
      <c r="AJ65" s="35">
        <v>300</v>
      </c>
      <c r="AK65" s="36">
        <v>300</v>
      </c>
      <c r="AL65" s="35">
        <v>300</v>
      </c>
      <c r="AM65" s="35">
        <v>300</v>
      </c>
      <c r="AN65" s="35">
        <v>150</v>
      </c>
    </row>
    <row r="66" spans="1:40" x14ac:dyDescent="0.2">
      <c r="A66" s="38" t="s">
        <v>315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6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6"/>
      <c r="Z66" s="35"/>
      <c r="AA66" s="35"/>
      <c r="AB66" s="35"/>
      <c r="AC66" s="35"/>
      <c r="AD66" s="35">
        <v>362.91</v>
      </c>
      <c r="AE66" s="35">
        <v>9166.74</v>
      </c>
      <c r="AF66" s="35">
        <v>4166.66</v>
      </c>
      <c r="AG66" s="35">
        <v>4166.66</v>
      </c>
      <c r="AH66" s="35">
        <v>4166.66</v>
      </c>
      <c r="AI66" s="35">
        <v>7916.66</v>
      </c>
      <c r="AJ66" s="35">
        <v>7916.66</v>
      </c>
      <c r="AK66" s="36">
        <v>7916.66</v>
      </c>
      <c r="AL66" s="35">
        <v>7916.66</v>
      </c>
      <c r="AM66" s="35">
        <v>7916.66</v>
      </c>
      <c r="AN66" s="35">
        <v>7916.66</v>
      </c>
    </row>
    <row r="67" spans="1:40" x14ac:dyDescent="0.2">
      <c r="A67" s="38" t="s">
        <v>316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6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6"/>
      <c r="Z67" s="35"/>
      <c r="AA67" s="35"/>
      <c r="AB67" s="35"/>
      <c r="AC67" s="35"/>
      <c r="AD67" s="35">
        <v>5541.74</v>
      </c>
      <c r="AE67" s="35">
        <v>3041.66</v>
      </c>
      <c r="AF67" s="35">
        <v>3041.66</v>
      </c>
      <c r="AG67" s="35">
        <v>3041.66</v>
      </c>
      <c r="AH67" s="35">
        <v>3041.66</v>
      </c>
      <c r="AI67" s="35">
        <v>3041.66</v>
      </c>
      <c r="AJ67" s="35">
        <v>3041.66</v>
      </c>
      <c r="AK67" s="36">
        <v>3041.66</v>
      </c>
      <c r="AL67" s="35">
        <v>3041.66</v>
      </c>
      <c r="AM67" s="35">
        <v>3041.66</v>
      </c>
      <c r="AN67" s="35">
        <v>3041.66</v>
      </c>
    </row>
    <row r="68" spans="1:40" x14ac:dyDescent="0.2">
      <c r="A68" s="38" t="s">
        <v>317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6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6"/>
      <c r="Z68" s="35"/>
      <c r="AA68" s="35"/>
      <c r="AB68" s="35"/>
      <c r="AC68" s="35"/>
      <c r="AD68" s="35"/>
      <c r="AE68" s="35">
        <v>40750</v>
      </c>
      <c r="AF68" s="35">
        <v>35750</v>
      </c>
      <c r="AG68" s="35">
        <v>35750</v>
      </c>
      <c r="AH68" s="35">
        <v>35750</v>
      </c>
      <c r="AI68" s="35">
        <v>35750</v>
      </c>
      <c r="AJ68" s="35">
        <v>35750</v>
      </c>
      <c r="AK68" s="36">
        <v>35750</v>
      </c>
      <c r="AL68" s="35">
        <v>44275</v>
      </c>
      <c r="AM68" s="35">
        <v>44275</v>
      </c>
      <c r="AN68" s="35">
        <v>44275</v>
      </c>
    </row>
    <row r="69" spans="1:40" x14ac:dyDescent="0.2">
      <c r="A69" s="38" t="s">
        <v>318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6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6"/>
      <c r="Z69" s="35"/>
      <c r="AA69" s="35"/>
      <c r="AB69" s="35"/>
      <c r="AC69" s="35"/>
      <c r="AD69" s="35"/>
      <c r="AE69" s="35">
        <v>8633.369999999999</v>
      </c>
      <c r="AF69" s="35">
        <v>8066.66</v>
      </c>
      <c r="AG69" s="35">
        <v>8066.66</v>
      </c>
      <c r="AH69" s="35">
        <v>8066.66</v>
      </c>
      <c r="AI69" s="35">
        <v>8066.66</v>
      </c>
      <c r="AJ69" s="35">
        <v>8066.66</v>
      </c>
      <c r="AK69" s="36">
        <v>8066.66</v>
      </c>
      <c r="AL69" s="35">
        <v>22866.66</v>
      </c>
      <c r="AM69" s="35">
        <v>12866.66</v>
      </c>
      <c r="AN69" s="35">
        <v>12866.66</v>
      </c>
    </row>
    <row r="70" spans="1:40" x14ac:dyDescent="0.2">
      <c r="A70" s="38" t="s">
        <v>319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6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6"/>
      <c r="Z70" s="35"/>
      <c r="AA70" s="35"/>
      <c r="AB70" s="35"/>
      <c r="AC70" s="35"/>
      <c r="AD70" s="35"/>
      <c r="AE70" s="35">
        <v>14583.48</v>
      </c>
      <c r="AF70" s="35">
        <v>9583.32</v>
      </c>
      <c r="AG70" s="35">
        <v>9583.32</v>
      </c>
      <c r="AH70" s="35">
        <v>9583.32</v>
      </c>
      <c r="AI70" s="35">
        <v>9583.32</v>
      </c>
      <c r="AJ70" s="35">
        <v>9583.32</v>
      </c>
      <c r="AK70" s="36">
        <v>9583.32</v>
      </c>
      <c r="AL70" s="35">
        <v>9583.32</v>
      </c>
      <c r="AM70" s="35">
        <v>9583.32</v>
      </c>
      <c r="AN70" s="35">
        <v>9583.32</v>
      </c>
    </row>
    <row r="71" spans="1:40" x14ac:dyDescent="0.2">
      <c r="A71" s="38" t="s">
        <v>320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6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6"/>
      <c r="Z71" s="35"/>
      <c r="AA71" s="35"/>
      <c r="AB71" s="35"/>
      <c r="AC71" s="35"/>
      <c r="AD71" s="35"/>
      <c r="AE71" s="35">
        <v>9200.11</v>
      </c>
      <c r="AF71" s="35">
        <v>4199.99</v>
      </c>
      <c r="AG71" s="35">
        <v>4199.99</v>
      </c>
      <c r="AH71" s="35">
        <v>4199.99</v>
      </c>
      <c r="AI71" s="35">
        <v>4199.99</v>
      </c>
      <c r="AJ71" s="35">
        <v>4199.99</v>
      </c>
      <c r="AK71" s="36">
        <v>9199.99</v>
      </c>
      <c r="AL71" s="35">
        <v>9199.99</v>
      </c>
      <c r="AM71" s="35">
        <v>9199.99</v>
      </c>
      <c r="AN71" s="35">
        <v>9199.99</v>
      </c>
    </row>
    <row r="72" spans="1:40" x14ac:dyDescent="0.2">
      <c r="A72" s="38" t="s">
        <v>321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6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6"/>
      <c r="Z72" s="35"/>
      <c r="AA72" s="35"/>
      <c r="AB72" s="35"/>
      <c r="AC72" s="35"/>
      <c r="AD72" s="35"/>
      <c r="AE72" s="35">
        <v>13898.7</v>
      </c>
      <c r="AF72" s="35">
        <v>21058.55</v>
      </c>
      <c r="AG72" s="35">
        <v>21058.55</v>
      </c>
      <c r="AH72" s="35">
        <v>21058.55</v>
      </c>
      <c r="AI72" s="35">
        <v>21058.55</v>
      </c>
      <c r="AJ72" s="35">
        <v>21058.55</v>
      </c>
      <c r="AK72" s="36">
        <v>21058.55</v>
      </c>
      <c r="AL72" s="35">
        <v>50000</v>
      </c>
      <c r="AM72" s="35">
        <v>50000</v>
      </c>
      <c r="AN72" s="35">
        <v>50000</v>
      </c>
    </row>
    <row r="73" spans="1:40" x14ac:dyDescent="0.2">
      <c r="A73" s="38" t="s">
        <v>322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6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6"/>
      <c r="Z73" s="35"/>
      <c r="AA73" s="35"/>
      <c r="AB73" s="35"/>
      <c r="AC73" s="35"/>
      <c r="AD73" s="35"/>
      <c r="AE73" s="35"/>
      <c r="AF73" s="35">
        <v>5000</v>
      </c>
      <c r="AG73" s="35">
        <v>5000</v>
      </c>
      <c r="AH73" s="35">
        <v>5000</v>
      </c>
      <c r="AI73" s="35">
        <v>5000</v>
      </c>
      <c r="AJ73" s="35">
        <v>5000</v>
      </c>
      <c r="AK73" s="36">
        <v>5000</v>
      </c>
      <c r="AL73" s="35">
        <v>5000</v>
      </c>
      <c r="AM73" s="35">
        <v>5000</v>
      </c>
      <c r="AN73" s="35">
        <v>5000</v>
      </c>
    </row>
    <row r="74" spans="1:40" x14ac:dyDescent="0.2">
      <c r="A74" s="38" t="s">
        <v>323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6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6"/>
      <c r="Z74" s="35"/>
      <c r="AA74" s="35"/>
      <c r="AB74" s="35"/>
      <c r="AC74" s="35"/>
      <c r="AD74" s="35"/>
      <c r="AE74" s="35"/>
      <c r="AF74" s="35">
        <v>2916.74</v>
      </c>
      <c r="AG74" s="35">
        <v>2916.66</v>
      </c>
      <c r="AH74" s="35">
        <v>2916.66</v>
      </c>
      <c r="AI74" s="35">
        <v>2916.66</v>
      </c>
      <c r="AJ74" s="35">
        <v>2916.66</v>
      </c>
      <c r="AK74" s="36">
        <v>2916.66</v>
      </c>
      <c r="AL74" s="35">
        <v>2916.66</v>
      </c>
      <c r="AM74" s="35">
        <v>2916.66</v>
      </c>
      <c r="AN74" s="35">
        <v>2916.66</v>
      </c>
    </row>
    <row r="75" spans="1:40" x14ac:dyDescent="0.2">
      <c r="A75" s="38" t="s">
        <v>324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6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6"/>
      <c r="Z75" s="35"/>
      <c r="AA75" s="35"/>
      <c r="AB75" s="35"/>
      <c r="AC75" s="35"/>
      <c r="AD75" s="35"/>
      <c r="AE75" s="35"/>
      <c r="AF75" s="35">
        <v>47127.17</v>
      </c>
      <c r="AG75" s="35">
        <v>47127.17</v>
      </c>
      <c r="AH75" s="35">
        <v>47127.16</v>
      </c>
      <c r="AI75" s="35">
        <v>22018.1</v>
      </c>
      <c r="AJ75" s="35">
        <v>29105.52</v>
      </c>
      <c r="AK75" s="36">
        <v>29105.52</v>
      </c>
      <c r="AL75" s="35">
        <v>29105.52</v>
      </c>
      <c r="AM75" s="35">
        <v>29105.52</v>
      </c>
      <c r="AN75" s="35">
        <v>29105.52</v>
      </c>
    </row>
    <row r="76" spans="1:40" x14ac:dyDescent="0.2">
      <c r="A76" s="38" t="s">
        <v>325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6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6"/>
      <c r="Z76" s="35"/>
      <c r="AA76" s="35"/>
      <c r="AB76" s="35"/>
      <c r="AC76" s="35"/>
      <c r="AD76" s="35"/>
      <c r="AE76" s="35"/>
      <c r="AF76" s="35"/>
      <c r="AG76" s="35">
        <v>7212</v>
      </c>
      <c r="AH76" s="35">
        <v>24839</v>
      </c>
      <c r="AI76" s="35">
        <v>24839</v>
      </c>
      <c r="AJ76" s="35">
        <v>20387</v>
      </c>
      <c r="AK76" s="36">
        <v>9505</v>
      </c>
      <c r="AL76" s="35">
        <v>9505</v>
      </c>
      <c r="AM76" s="35">
        <v>9505</v>
      </c>
      <c r="AN76" s="35">
        <v>9505</v>
      </c>
    </row>
    <row r="77" spans="1:40" x14ac:dyDescent="0.2">
      <c r="A77" s="38" t="s">
        <v>326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6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6"/>
      <c r="Z77" s="35"/>
      <c r="AA77" s="35"/>
      <c r="AB77" s="35"/>
      <c r="AC77" s="35"/>
      <c r="AD77" s="35"/>
      <c r="AE77" s="35"/>
      <c r="AF77" s="35"/>
      <c r="AG77" s="35">
        <v>24800.829999999998</v>
      </c>
      <c r="AH77" s="35">
        <v>24800.829999999998</v>
      </c>
      <c r="AI77" s="35">
        <v>24800.829999999998</v>
      </c>
      <c r="AJ77" s="35">
        <v>24800.829999999998</v>
      </c>
      <c r="AK77" s="36">
        <v>24800.829999999998</v>
      </c>
      <c r="AL77" s="35">
        <v>24800.829999999998</v>
      </c>
      <c r="AM77" s="35">
        <v>24800.829999999998</v>
      </c>
      <c r="AN77" s="35">
        <v>24800.829999999998</v>
      </c>
    </row>
    <row r="78" spans="1:40" x14ac:dyDescent="0.2">
      <c r="A78" s="38" t="s">
        <v>327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6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6"/>
      <c r="Z78" s="35"/>
      <c r="AA78" s="35"/>
      <c r="AB78" s="35"/>
      <c r="AC78" s="35"/>
      <c r="AD78" s="35"/>
      <c r="AE78" s="35"/>
      <c r="AF78" s="35">
        <v>19303.650000000001</v>
      </c>
      <c r="AG78" s="35">
        <v>57910.83</v>
      </c>
      <c r="AH78" s="35">
        <v>57910.83</v>
      </c>
      <c r="AI78" s="35">
        <v>57910.83</v>
      </c>
      <c r="AJ78" s="35">
        <v>57910.83</v>
      </c>
      <c r="AK78" s="36">
        <v>57910.83</v>
      </c>
      <c r="AL78" s="35">
        <v>57910.83</v>
      </c>
      <c r="AM78" s="35">
        <v>57910.83</v>
      </c>
      <c r="AN78" s="35">
        <v>57910.83</v>
      </c>
    </row>
    <row r="79" spans="1:40" x14ac:dyDescent="0.2">
      <c r="A79" s="38" t="s">
        <v>328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6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6"/>
      <c r="Z79" s="35"/>
      <c r="AA79" s="35"/>
      <c r="AB79" s="35"/>
      <c r="AC79" s="35"/>
      <c r="AD79" s="35"/>
      <c r="AE79" s="35"/>
      <c r="AF79" s="35"/>
      <c r="AG79" s="35"/>
      <c r="AH79" s="35">
        <v>12850</v>
      </c>
      <c r="AI79" s="35">
        <v>12850</v>
      </c>
      <c r="AJ79" s="35">
        <v>7850</v>
      </c>
      <c r="AK79" s="36">
        <v>7850</v>
      </c>
      <c r="AL79" s="35">
        <v>7850</v>
      </c>
      <c r="AM79" s="35">
        <v>7850</v>
      </c>
      <c r="AN79" s="35">
        <v>7850</v>
      </c>
    </row>
    <row r="80" spans="1:40" x14ac:dyDescent="0.2">
      <c r="A80" s="38" t="s">
        <v>329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6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6"/>
      <c r="Z80" s="35"/>
      <c r="AA80" s="35"/>
      <c r="AB80" s="35"/>
      <c r="AC80" s="35"/>
      <c r="AD80" s="35"/>
      <c r="AE80" s="35"/>
      <c r="AF80" s="35"/>
      <c r="AG80" s="35"/>
      <c r="AH80" s="35">
        <v>3750</v>
      </c>
      <c r="AI80" s="35">
        <v>3750</v>
      </c>
      <c r="AJ80" s="35">
        <v>3750</v>
      </c>
      <c r="AK80" s="36">
        <v>3750</v>
      </c>
      <c r="AL80" s="35">
        <v>3750</v>
      </c>
      <c r="AM80" s="35">
        <v>3750</v>
      </c>
      <c r="AN80" s="35">
        <v>3750</v>
      </c>
    </row>
    <row r="81" spans="1:40" x14ac:dyDescent="0.2">
      <c r="A81" s="38" t="s">
        <v>330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6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6"/>
      <c r="Z81" s="35"/>
      <c r="AA81" s="35"/>
      <c r="AB81" s="35"/>
      <c r="AC81" s="35"/>
      <c r="AD81" s="35"/>
      <c r="AE81" s="35"/>
      <c r="AF81" s="35"/>
      <c r="AG81" s="35"/>
      <c r="AH81" s="35">
        <v>37511.15</v>
      </c>
      <c r="AI81" s="35">
        <v>37510.990000000005</v>
      </c>
      <c r="AJ81" s="35">
        <v>37510.990000000005</v>
      </c>
      <c r="AK81" s="36">
        <v>37510.990000000005</v>
      </c>
      <c r="AL81" s="35">
        <v>37510.990000000005</v>
      </c>
      <c r="AM81" s="35">
        <v>37510.990000000005</v>
      </c>
      <c r="AN81" s="35">
        <v>37510.990000000005</v>
      </c>
    </row>
    <row r="82" spans="1:40" x14ac:dyDescent="0.2">
      <c r="A82" s="38" t="s">
        <v>331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6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6"/>
      <c r="Z82" s="35"/>
      <c r="AA82" s="35"/>
      <c r="AB82" s="35"/>
      <c r="AC82" s="35"/>
      <c r="AD82" s="35"/>
      <c r="AE82" s="35"/>
      <c r="AF82" s="35"/>
      <c r="AG82" s="35"/>
      <c r="AH82" s="35">
        <v>10000</v>
      </c>
      <c r="AI82" s="35">
        <v>10000</v>
      </c>
      <c r="AJ82" s="35">
        <v>10000</v>
      </c>
      <c r="AK82" s="36">
        <v>10000</v>
      </c>
      <c r="AL82" s="35">
        <v>10000</v>
      </c>
      <c r="AM82" s="35">
        <v>10000</v>
      </c>
      <c r="AN82" s="35">
        <v>10000</v>
      </c>
    </row>
    <row r="83" spans="1:40" x14ac:dyDescent="0.2">
      <c r="A83" s="38" t="s">
        <v>332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6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6"/>
      <c r="Z83" s="35"/>
      <c r="AA83" s="35"/>
      <c r="AB83" s="35"/>
      <c r="AC83" s="35"/>
      <c r="AD83" s="35"/>
      <c r="AE83" s="35"/>
      <c r="AF83" s="35"/>
      <c r="AG83" s="35"/>
      <c r="AH83" s="35">
        <v>2733.33</v>
      </c>
      <c r="AI83" s="35">
        <v>4100</v>
      </c>
      <c r="AJ83" s="35">
        <v>4100</v>
      </c>
      <c r="AK83" s="36">
        <v>4100</v>
      </c>
      <c r="AL83" s="35">
        <v>4100</v>
      </c>
      <c r="AM83" s="35">
        <v>4100</v>
      </c>
      <c r="AN83" s="35">
        <v>4100</v>
      </c>
    </row>
    <row r="84" spans="1:40" x14ac:dyDescent="0.2">
      <c r="A84" s="38" t="s">
        <v>333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6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6"/>
      <c r="Z84" s="35"/>
      <c r="AA84" s="35"/>
      <c r="AB84" s="35"/>
      <c r="AC84" s="35"/>
      <c r="AD84" s="35"/>
      <c r="AE84" s="35"/>
      <c r="AF84" s="35"/>
      <c r="AG84" s="35"/>
      <c r="AH84" s="35">
        <v>12083.35</v>
      </c>
      <c r="AI84" s="35">
        <v>24166.66</v>
      </c>
      <c r="AJ84" s="35">
        <v>24166.66</v>
      </c>
      <c r="AK84" s="36">
        <v>24166.66</v>
      </c>
      <c r="AL84" s="35">
        <v>24166.66</v>
      </c>
      <c r="AM84" s="35">
        <v>24166.66</v>
      </c>
      <c r="AN84" s="35">
        <v>22083.35</v>
      </c>
    </row>
    <row r="85" spans="1:40" x14ac:dyDescent="0.2">
      <c r="A85" s="38" t="s">
        <v>334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6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6"/>
      <c r="Z85" s="35"/>
      <c r="AA85" s="35"/>
      <c r="AB85" s="35"/>
      <c r="AC85" s="35"/>
      <c r="AD85" s="35"/>
      <c r="AE85" s="35"/>
      <c r="AF85" s="35"/>
      <c r="AG85" s="35"/>
      <c r="AH85" s="35">
        <v>11250</v>
      </c>
      <c r="AI85" s="35">
        <v>22500</v>
      </c>
      <c r="AJ85" s="35">
        <v>22500</v>
      </c>
      <c r="AK85" s="36">
        <v>22500</v>
      </c>
      <c r="AL85" s="35">
        <v>22500</v>
      </c>
      <c r="AM85" s="35">
        <v>22500</v>
      </c>
      <c r="AN85" s="35">
        <v>22500</v>
      </c>
    </row>
    <row r="86" spans="1:40" x14ac:dyDescent="0.2">
      <c r="A86" s="38" t="s">
        <v>335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6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6"/>
      <c r="Z86" s="35"/>
      <c r="AA86" s="35"/>
      <c r="AB86" s="35"/>
      <c r="AC86" s="35"/>
      <c r="AD86" s="35"/>
      <c r="AE86" s="35"/>
      <c r="AF86" s="35"/>
      <c r="AG86" s="35"/>
      <c r="AH86" s="35"/>
      <c r="AI86" s="35">
        <v>11733.45</v>
      </c>
      <c r="AJ86" s="35">
        <v>11733.33</v>
      </c>
      <c r="AK86" s="36">
        <v>11733.33</v>
      </c>
      <c r="AL86" s="35">
        <v>11733.33</v>
      </c>
      <c r="AM86" s="35">
        <v>11733.33</v>
      </c>
      <c r="AN86" s="35">
        <v>11733.33</v>
      </c>
    </row>
    <row r="87" spans="1:40" x14ac:dyDescent="0.2">
      <c r="A87" s="38" t="s">
        <v>336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6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6"/>
      <c r="Z87" s="35"/>
      <c r="AA87" s="35"/>
      <c r="AB87" s="35"/>
      <c r="AC87" s="35"/>
      <c r="AD87" s="35"/>
      <c r="AE87" s="35"/>
      <c r="AF87" s="35"/>
      <c r="AG87" s="35"/>
      <c r="AH87" s="35"/>
      <c r="AI87" s="35">
        <v>31166.68</v>
      </c>
      <c r="AJ87" s="35">
        <v>31166.660000000003</v>
      </c>
      <c r="AK87" s="36">
        <v>31166.660000000003</v>
      </c>
      <c r="AL87" s="35">
        <v>80772</v>
      </c>
      <c r="AM87" s="35">
        <v>80772</v>
      </c>
      <c r="AN87" s="35">
        <v>80772</v>
      </c>
    </row>
    <row r="88" spans="1:40" x14ac:dyDescent="0.2">
      <c r="A88" s="38" t="s">
        <v>337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6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6"/>
      <c r="Z88" s="35"/>
      <c r="AA88" s="35"/>
      <c r="AB88" s="35"/>
      <c r="AC88" s="35"/>
      <c r="AD88" s="35"/>
      <c r="AE88" s="35"/>
      <c r="AF88" s="35"/>
      <c r="AG88" s="35"/>
      <c r="AH88" s="35"/>
      <c r="AI88" s="35">
        <v>10000</v>
      </c>
      <c r="AJ88" s="35">
        <v>10000</v>
      </c>
      <c r="AK88" s="36">
        <v>10000</v>
      </c>
      <c r="AL88" s="35">
        <v>10000</v>
      </c>
      <c r="AM88" s="35">
        <v>10000</v>
      </c>
      <c r="AN88" s="35">
        <v>10000</v>
      </c>
    </row>
    <row r="89" spans="1:40" x14ac:dyDescent="0.2">
      <c r="A89" s="38" t="s">
        <v>338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6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6"/>
      <c r="Z89" s="35"/>
      <c r="AA89" s="35"/>
      <c r="AB89" s="35"/>
      <c r="AC89" s="35"/>
      <c r="AD89" s="35"/>
      <c r="AE89" s="35"/>
      <c r="AF89" s="35"/>
      <c r="AG89" s="35"/>
      <c r="AH89" s="35"/>
      <c r="AI89" s="35">
        <v>7200</v>
      </c>
      <c r="AJ89" s="35">
        <v>2200</v>
      </c>
      <c r="AK89" s="36">
        <v>2200</v>
      </c>
      <c r="AL89" s="35">
        <v>2200</v>
      </c>
      <c r="AM89" s="35">
        <v>2200</v>
      </c>
      <c r="AN89" s="35">
        <v>2200</v>
      </c>
    </row>
    <row r="90" spans="1:40" x14ac:dyDescent="0.2">
      <c r="A90" s="38" t="s">
        <v>339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6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6"/>
      <c r="Z90" s="35"/>
      <c r="AA90" s="35"/>
      <c r="AB90" s="35"/>
      <c r="AC90" s="35"/>
      <c r="AD90" s="35"/>
      <c r="AE90" s="35"/>
      <c r="AF90" s="35"/>
      <c r="AG90" s="35"/>
      <c r="AH90" s="35"/>
      <c r="AI90" s="35">
        <v>6356.74</v>
      </c>
      <c r="AJ90" s="35">
        <v>6356.66</v>
      </c>
      <c r="AK90" s="36">
        <v>6356.66</v>
      </c>
      <c r="AL90" s="35">
        <v>6356.66</v>
      </c>
      <c r="AM90" s="35">
        <v>6356.66</v>
      </c>
      <c r="AN90" s="35">
        <v>6356.66</v>
      </c>
    </row>
    <row r="91" spans="1:40" x14ac:dyDescent="0.2">
      <c r="A91" s="38" t="s">
        <v>340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6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6"/>
      <c r="Z91" s="35"/>
      <c r="AA91" s="35"/>
      <c r="AB91" s="35"/>
      <c r="AC91" s="35"/>
      <c r="AD91" s="35"/>
      <c r="AE91" s="35"/>
      <c r="AF91" s="35"/>
      <c r="AG91" s="35"/>
      <c r="AH91" s="35"/>
      <c r="AI91" s="35">
        <v>28875</v>
      </c>
      <c r="AJ91" s="35">
        <v>28875</v>
      </c>
      <c r="AK91" s="36">
        <v>28875</v>
      </c>
      <c r="AL91" s="35">
        <v>28875</v>
      </c>
      <c r="AM91" s="35">
        <v>28875</v>
      </c>
      <c r="AN91" s="35">
        <v>28875</v>
      </c>
    </row>
    <row r="92" spans="1:40" x14ac:dyDescent="0.2">
      <c r="A92" s="38" t="s">
        <v>341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6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6"/>
      <c r="Z92" s="35"/>
      <c r="AA92" s="35"/>
      <c r="AB92" s="35"/>
      <c r="AC92" s="35"/>
      <c r="AD92" s="35"/>
      <c r="AE92" s="35"/>
      <c r="AF92" s="35"/>
      <c r="AG92" s="35"/>
      <c r="AH92" s="35"/>
      <c r="AI92" s="35">
        <v>18900</v>
      </c>
      <c r="AJ92" s="35">
        <v>21000</v>
      </c>
      <c r="AK92" s="36">
        <v>21000</v>
      </c>
      <c r="AL92" s="35">
        <v>21000</v>
      </c>
      <c r="AM92" s="35">
        <v>21000</v>
      </c>
      <c r="AN92" s="35">
        <v>21000</v>
      </c>
    </row>
    <row r="93" spans="1:40" x14ac:dyDescent="0.2">
      <c r="A93" s="38" t="s">
        <v>342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6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6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>
        <v>7500</v>
      </c>
      <c r="AK93" s="36">
        <v>2500</v>
      </c>
      <c r="AL93" s="35">
        <v>2500</v>
      </c>
      <c r="AM93" s="35">
        <v>2500</v>
      </c>
      <c r="AN93" s="35">
        <v>2500</v>
      </c>
    </row>
    <row r="94" spans="1:40" ht="16" x14ac:dyDescent="0.2">
      <c r="A94" s="38" t="s">
        <v>343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2"/>
      <c r="Z94" s="41"/>
      <c r="AA94" s="41"/>
      <c r="AB94" s="41"/>
      <c r="AC94" s="41"/>
      <c r="AD94" s="41"/>
      <c r="AE94" s="41"/>
      <c r="AF94" s="41"/>
      <c r="AG94" s="41"/>
      <c r="AH94" s="41"/>
      <c r="AI94" s="41">
        <v>17500</v>
      </c>
      <c r="AJ94" s="41">
        <v>35000</v>
      </c>
      <c r="AK94" s="42">
        <v>35000</v>
      </c>
      <c r="AL94" s="41">
        <v>35000</v>
      </c>
      <c r="AM94" s="41">
        <v>17500</v>
      </c>
      <c r="AN94" s="41">
        <v>28985.48</v>
      </c>
    </row>
    <row r="95" spans="1:40" x14ac:dyDescent="0.2">
      <c r="A95" s="38" t="s">
        <v>344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6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6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>
        <v>8804.2099999999991</v>
      </c>
      <c r="AK95" s="36">
        <v>17008.330000000002</v>
      </c>
      <c r="AL95" s="35">
        <v>16408.330000000002</v>
      </c>
      <c r="AM95" s="35">
        <v>12808.33</v>
      </c>
      <c r="AN95" s="35">
        <v>9208.33</v>
      </c>
    </row>
    <row r="96" spans="1:40" x14ac:dyDescent="0.2">
      <c r="A96" s="38" t="s">
        <v>345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6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6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6"/>
      <c r="AL96" s="35">
        <v>41666.9</v>
      </c>
      <c r="AM96" s="35">
        <v>41666.660000000003</v>
      </c>
      <c r="AN96" s="35">
        <v>41666.660000000003</v>
      </c>
    </row>
    <row r="97" spans="1:40" x14ac:dyDescent="0.2">
      <c r="A97" s="38" t="s">
        <v>346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6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6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6">
        <v>16017.25</v>
      </c>
      <c r="AL97" s="35">
        <v>16017.25</v>
      </c>
      <c r="AM97" s="35">
        <v>16017.25</v>
      </c>
      <c r="AN97" s="35">
        <v>16017.25</v>
      </c>
    </row>
    <row r="98" spans="1:40" x14ac:dyDescent="0.2">
      <c r="A98" s="38" t="s">
        <v>347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6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6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>
        <v>26172</v>
      </c>
      <c r="AK98" s="36">
        <v>23173</v>
      </c>
      <c r="AL98" s="35">
        <v>23173</v>
      </c>
      <c r="AM98" s="35">
        <v>23173</v>
      </c>
      <c r="AN98" s="35">
        <v>23173</v>
      </c>
    </row>
    <row r="99" spans="1:40" x14ac:dyDescent="0.2">
      <c r="A99" s="38" t="s">
        <v>348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6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6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6">
        <v>4902.16</v>
      </c>
      <c r="AL99" s="35">
        <v>4902.08</v>
      </c>
      <c r="AM99" s="35">
        <v>4902.08</v>
      </c>
      <c r="AN99" s="35">
        <v>4902.08</v>
      </c>
    </row>
    <row r="100" spans="1:40" x14ac:dyDescent="0.2">
      <c r="A100" s="38" t="s">
        <v>349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6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6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6">
        <v>5995.5</v>
      </c>
      <c r="AL100" s="35">
        <v>8993.08</v>
      </c>
      <c r="AM100" s="35">
        <v>8993.08</v>
      </c>
      <c r="AN100" s="35">
        <v>8993.08</v>
      </c>
    </row>
    <row r="101" spans="1:40" x14ac:dyDescent="0.2">
      <c r="A101" s="38" t="s">
        <v>350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6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6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6">
        <v>10007.01</v>
      </c>
      <c r="AL101" s="35">
        <v>27291.66</v>
      </c>
      <c r="AM101" s="35">
        <v>27291.66</v>
      </c>
      <c r="AN101" s="35">
        <v>27291.66</v>
      </c>
    </row>
    <row r="102" spans="1:40" x14ac:dyDescent="0.2">
      <c r="A102" s="38" t="s">
        <v>351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6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6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6">
        <v>3125</v>
      </c>
      <c r="AL102" s="35">
        <v>3125</v>
      </c>
      <c r="AM102" s="35">
        <v>3125</v>
      </c>
      <c r="AN102" s="35">
        <v>3125</v>
      </c>
    </row>
    <row r="103" spans="1:40" x14ac:dyDescent="0.2">
      <c r="A103" s="38" t="s">
        <v>352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6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6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6">
        <v>4797</v>
      </c>
      <c r="AL103" s="35">
        <v>4797</v>
      </c>
      <c r="AM103" s="35">
        <v>4797</v>
      </c>
      <c r="AN103" s="35">
        <v>4797</v>
      </c>
    </row>
    <row r="104" spans="1:40" x14ac:dyDescent="0.2">
      <c r="A104" s="38" t="s">
        <v>353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6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6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6"/>
      <c r="AL104" s="35">
        <v>17637.080000000002</v>
      </c>
      <c r="AM104" s="35">
        <v>16636.97</v>
      </c>
      <c r="AN104" s="35">
        <v>16636.97</v>
      </c>
    </row>
    <row r="105" spans="1:40" x14ac:dyDescent="0.2">
      <c r="A105" s="38" t="s">
        <v>354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6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6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6">
        <v>958.41</v>
      </c>
      <c r="AL105" s="35">
        <v>1916.66</v>
      </c>
      <c r="AM105" s="35">
        <v>1916.66</v>
      </c>
      <c r="AN105" s="35">
        <v>1916.66</v>
      </c>
    </row>
    <row r="106" spans="1:40" x14ac:dyDescent="0.2">
      <c r="A106" s="38" t="s">
        <v>355</v>
      </c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6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6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6"/>
      <c r="AL106" s="35">
        <v>23661.71</v>
      </c>
      <c r="AM106" s="35">
        <v>31886.66</v>
      </c>
      <c r="AN106" s="35">
        <v>27886.66</v>
      </c>
    </row>
    <row r="107" spans="1:40" x14ac:dyDescent="0.2">
      <c r="A107" s="38" t="s">
        <v>356</v>
      </c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6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6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6"/>
      <c r="AL107" s="35"/>
      <c r="AM107" s="35"/>
      <c r="AN107" s="35"/>
    </row>
    <row r="108" spans="1:40" x14ac:dyDescent="0.2">
      <c r="A108" s="38" t="s">
        <v>357</v>
      </c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6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6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6"/>
      <c r="AL108" s="35"/>
      <c r="AM108" s="35">
        <v>1325</v>
      </c>
      <c r="AN108" s="35">
        <v>3975</v>
      </c>
    </row>
    <row r="109" spans="1:40" x14ac:dyDescent="0.2">
      <c r="A109" s="38" t="s">
        <v>358</v>
      </c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6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6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6"/>
      <c r="AL109" s="35"/>
      <c r="AM109" s="35"/>
      <c r="AN109" s="35">
        <v>89930</v>
      </c>
    </row>
    <row r="110" spans="1:40" x14ac:dyDescent="0.2">
      <c r="A110" s="38" t="s">
        <v>359</v>
      </c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6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6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6"/>
      <c r="AL110" s="35"/>
      <c r="AM110" s="35"/>
      <c r="AN110" s="35">
        <v>7333.33</v>
      </c>
    </row>
    <row r="111" spans="1:40" x14ac:dyDescent="0.2">
      <c r="A111" s="38" t="s">
        <v>360</v>
      </c>
      <c r="B111" s="38"/>
      <c r="C111" s="38"/>
      <c r="D111" s="38"/>
      <c r="E111" s="38"/>
      <c r="F111" s="38"/>
      <c r="G111" s="38"/>
      <c r="H111" s="38"/>
      <c r="I111" s="43"/>
      <c r="J111" s="38"/>
      <c r="K111" s="38"/>
      <c r="L111" s="38"/>
      <c r="M111" s="44"/>
      <c r="N111" s="38"/>
      <c r="O111" s="38"/>
      <c r="P111" s="43"/>
      <c r="Q111" s="43"/>
      <c r="R111" s="43"/>
      <c r="S111" s="43"/>
      <c r="T111" s="43"/>
      <c r="U111" s="43"/>
      <c r="V111" s="43"/>
      <c r="W111" s="43"/>
      <c r="X111" s="43"/>
      <c r="Y111" s="45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5"/>
      <c r="AL111" s="43"/>
      <c r="AM111" s="43"/>
      <c r="AN111" s="43"/>
    </row>
    <row r="112" spans="1:40" x14ac:dyDescent="0.2">
      <c r="A112" s="38" t="s">
        <v>361</v>
      </c>
      <c r="B112" s="38"/>
      <c r="C112" s="38"/>
      <c r="D112" s="38"/>
      <c r="E112" s="38"/>
      <c r="F112" s="38"/>
      <c r="G112" s="38"/>
      <c r="H112" s="38"/>
      <c r="I112" s="43"/>
      <c r="J112" s="38"/>
      <c r="K112" s="38"/>
      <c r="L112" s="38"/>
      <c r="M112" s="44"/>
      <c r="N112" s="38"/>
      <c r="O112" s="38"/>
      <c r="P112" s="43"/>
      <c r="Q112" s="43"/>
      <c r="R112" s="43"/>
      <c r="S112" s="43"/>
      <c r="T112" s="43"/>
      <c r="U112" s="43"/>
      <c r="V112" s="43"/>
      <c r="W112" s="43"/>
      <c r="X112" s="43"/>
      <c r="Y112" s="45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5"/>
      <c r="AL112" s="43"/>
      <c r="AM112" s="43"/>
      <c r="AN112" s="43"/>
    </row>
    <row r="113" spans="1:40" x14ac:dyDescent="0.2">
      <c r="A113" s="38" t="s">
        <v>362</v>
      </c>
      <c r="B113" s="38"/>
      <c r="C113" s="38"/>
      <c r="D113" s="38"/>
      <c r="E113" s="38"/>
      <c r="F113" s="38"/>
      <c r="G113" s="38"/>
      <c r="H113" s="38"/>
      <c r="I113" s="43"/>
      <c r="J113" s="38"/>
      <c r="K113" s="38"/>
      <c r="L113" s="38"/>
      <c r="M113" s="44"/>
      <c r="N113" s="38"/>
      <c r="O113" s="38"/>
      <c r="P113" s="43"/>
      <c r="Q113" s="43"/>
      <c r="R113" s="43"/>
      <c r="S113" s="43"/>
      <c r="T113" s="43"/>
      <c r="U113" s="43"/>
      <c r="V113" s="43"/>
      <c r="W113" s="43"/>
      <c r="X113" s="43"/>
      <c r="Y113" s="45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5"/>
      <c r="AL113" s="43"/>
      <c r="AM113" s="43"/>
      <c r="AN113" s="43"/>
    </row>
    <row r="114" spans="1:40" x14ac:dyDescent="0.2">
      <c r="A114" s="38" t="s">
        <v>363</v>
      </c>
      <c r="B114" s="38"/>
      <c r="C114" s="38"/>
      <c r="D114" s="38"/>
      <c r="E114" s="38"/>
      <c r="F114" s="38"/>
      <c r="G114" s="38"/>
      <c r="H114" s="38"/>
      <c r="I114" s="43"/>
      <c r="J114" s="38"/>
      <c r="K114" s="38"/>
      <c r="L114" s="38"/>
      <c r="M114" s="44"/>
      <c r="N114" s="38"/>
      <c r="O114" s="38"/>
      <c r="P114" s="43"/>
      <c r="Q114" s="43"/>
      <c r="R114" s="43"/>
      <c r="S114" s="43"/>
      <c r="T114" s="43"/>
      <c r="U114" s="43"/>
      <c r="V114" s="43"/>
      <c r="W114" s="43"/>
      <c r="X114" s="43"/>
      <c r="Y114" s="45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5"/>
      <c r="AL114" s="43"/>
      <c r="AM114" s="43"/>
      <c r="AN114" s="43"/>
    </row>
    <row r="115" spans="1:40" x14ac:dyDescent="0.2">
      <c r="A115" s="38" t="s">
        <v>364</v>
      </c>
      <c r="B115" s="38"/>
      <c r="C115" s="38"/>
      <c r="D115" s="38"/>
      <c r="E115" s="38"/>
      <c r="F115" s="38"/>
      <c r="G115" s="38"/>
      <c r="H115" s="38"/>
      <c r="I115" s="43"/>
      <c r="J115" s="38"/>
      <c r="K115" s="38"/>
      <c r="L115" s="38"/>
      <c r="M115" s="44"/>
      <c r="N115" s="38"/>
      <c r="O115" s="38"/>
      <c r="P115" s="43"/>
      <c r="Q115" s="43"/>
      <c r="R115" s="43"/>
      <c r="S115" s="43"/>
      <c r="T115" s="43"/>
      <c r="U115" s="43"/>
      <c r="V115" s="43"/>
      <c r="W115" s="43"/>
      <c r="X115" s="43"/>
      <c r="Y115" s="45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5"/>
      <c r="AL115" s="43"/>
      <c r="AM115" s="43"/>
      <c r="AN115" s="43"/>
    </row>
    <row r="116" spans="1:40" x14ac:dyDescent="0.2">
      <c r="A116" s="38" t="s">
        <v>365</v>
      </c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7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7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7"/>
      <c r="AL116" s="46"/>
      <c r="AM116" s="46"/>
      <c r="AN116" s="46"/>
    </row>
  </sheetData>
  <conditionalFormatting sqref="AO2:XFD115 B108:AL108 B109:AM110 B111:AN115 B2:AN107 A2:A116">
    <cfRule type="expression" dxfId="0" priority="2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5DB9-B883-E04F-94E3-C0F795B29FCC}">
  <dimension ref="A1:N236"/>
  <sheetViews>
    <sheetView zoomScaleNormal="100" workbookViewId="0">
      <pane xSplit="2" ySplit="1" topLeftCell="C2" activePane="bottomRight" state="frozen"/>
      <selection activeCell="N236" sqref="N236"/>
      <selection pane="topRight" activeCell="N236" sqref="N236"/>
      <selection pane="bottomLeft" activeCell="N236" sqref="N236"/>
      <selection pane="bottomRight" activeCell="E7" sqref="E7"/>
    </sheetView>
  </sheetViews>
  <sheetFormatPr baseColWidth="10" defaultColWidth="9.1640625" defaultRowHeight="15" x14ac:dyDescent="0.2"/>
  <cols>
    <col min="1" max="1" width="19.5" style="11" bestFit="1" customWidth="1"/>
    <col min="2" max="2" width="54.1640625" style="11" customWidth="1"/>
    <col min="3" max="3" width="10.33203125" style="11" customWidth="1"/>
    <col min="4" max="13" width="12" style="11" customWidth="1"/>
    <col min="14" max="14" width="13.6640625" style="11" customWidth="1"/>
    <col min="15" max="16384" width="9.1640625" style="11"/>
  </cols>
  <sheetData>
    <row r="1" spans="1:14" x14ac:dyDescent="0.2">
      <c r="A1" s="11" t="s">
        <v>394</v>
      </c>
      <c r="B1" s="3"/>
      <c r="C1" s="31">
        <v>43101</v>
      </c>
      <c r="D1" s="31">
        <v>43132</v>
      </c>
      <c r="E1" s="31">
        <v>43160</v>
      </c>
      <c r="F1" s="31">
        <v>43191</v>
      </c>
      <c r="G1" s="31">
        <v>43221</v>
      </c>
      <c r="H1" s="31">
        <v>43252</v>
      </c>
      <c r="I1" s="31">
        <v>43282</v>
      </c>
      <c r="J1" s="31">
        <v>43313</v>
      </c>
      <c r="K1" s="31">
        <v>43344</v>
      </c>
      <c r="L1" s="31">
        <v>43374</v>
      </c>
      <c r="M1" s="31">
        <v>43405</v>
      </c>
      <c r="N1" s="31">
        <v>43435</v>
      </c>
    </row>
    <row r="2" spans="1:14" x14ac:dyDescent="0.2">
      <c r="B2" s="5" t="s">
        <v>14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B3" s="5" t="s">
        <v>28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3" t="s">
        <v>16</v>
      </c>
      <c r="B4" s="5" t="s">
        <v>29</v>
      </c>
      <c r="C4" s="7">
        <f>2530</f>
        <v>2530</v>
      </c>
      <c r="D4" s="7">
        <f>2530</f>
        <v>2530</v>
      </c>
      <c r="E4" s="7">
        <f>2530</f>
        <v>2530</v>
      </c>
      <c r="F4" s="7">
        <f>2530</f>
        <v>2530</v>
      </c>
      <c r="G4" s="7">
        <f>2530</f>
        <v>2530</v>
      </c>
      <c r="H4" s="7">
        <f>2530</f>
        <v>2530</v>
      </c>
      <c r="I4" s="7">
        <f>2530</f>
        <v>2530</v>
      </c>
      <c r="J4" s="7">
        <f>2530</f>
        <v>2530</v>
      </c>
      <c r="K4" s="7">
        <f>2530</f>
        <v>2530</v>
      </c>
      <c r="L4" s="7">
        <f>2530</f>
        <v>2530</v>
      </c>
      <c r="M4" s="7">
        <f>2530</f>
        <v>2530</v>
      </c>
      <c r="N4" s="7">
        <f>2530</f>
        <v>2530</v>
      </c>
    </row>
    <row r="5" spans="1:14" x14ac:dyDescent="0.2">
      <c r="A5" s="13" t="s">
        <v>16</v>
      </c>
      <c r="B5" s="5" t="s">
        <v>30</v>
      </c>
      <c r="C5" s="7">
        <f>10120</f>
        <v>10120</v>
      </c>
      <c r="D5" s="7">
        <f>10120</f>
        <v>10120</v>
      </c>
      <c r="E5" s="7">
        <f>10120</f>
        <v>10120</v>
      </c>
      <c r="F5" s="7">
        <f>8278</f>
        <v>8278</v>
      </c>
      <c r="G5" s="7">
        <f>10120</f>
        <v>10120</v>
      </c>
      <c r="H5" s="7">
        <f>10120</f>
        <v>10120</v>
      </c>
      <c r="I5" s="7">
        <f>10120</f>
        <v>10120</v>
      </c>
      <c r="J5" s="7">
        <f>10120</f>
        <v>10120</v>
      </c>
      <c r="K5" s="7">
        <f>10120</f>
        <v>10120</v>
      </c>
      <c r="L5" s="7">
        <f>10120</f>
        <v>10120</v>
      </c>
      <c r="M5" s="7">
        <f>10120</f>
        <v>10120</v>
      </c>
      <c r="N5" s="7">
        <f>10120</f>
        <v>10120</v>
      </c>
    </row>
    <row r="6" spans="1:14" x14ac:dyDescent="0.2">
      <c r="A6" s="13" t="s">
        <v>15</v>
      </c>
      <c r="B6" s="5" t="s">
        <v>31</v>
      </c>
      <c r="C6" s="7">
        <f>28612</f>
        <v>28612</v>
      </c>
      <c r="D6" s="7">
        <f>23396.5</f>
        <v>23396.5</v>
      </c>
      <c r="E6" s="7">
        <f>25863.76</f>
        <v>25863.759999999998</v>
      </c>
      <c r="F6" s="7">
        <f>35306.14</f>
        <v>35306.14</v>
      </c>
      <c r="G6" s="7">
        <f>37291.07</f>
        <v>37291.07</v>
      </c>
      <c r="H6" s="7">
        <f>40115.99</f>
        <v>40115.99</v>
      </c>
      <c r="I6" s="7">
        <f>59384.15</f>
        <v>59384.15</v>
      </c>
      <c r="J6" s="7">
        <f>64600.3</f>
        <v>64600.3</v>
      </c>
      <c r="K6" s="7">
        <f>64886.86</f>
        <v>64886.86</v>
      </c>
      <c r="L6" s="7">
        <f>76765.71</f>
        <v>76765.710000000006</v>
      </c>
      <c r="M6" s="7">
        <f>79498.59</f>
        <v>79498.59</v>
      </c>
      <c r="N6" s="7">
        <f>82802.27</f>
        <v>82802.27</v>
      </c>
    </row>
    <row r="7" spans="1:14" x14ac:dyDescent="0.2">
      <c r="A7" s="13" t="s">
        <v>16</v>
      </c>
      <c r="B7" s="5" t="s">
        <v>32</v>
      </c>
      <c r="C7" s="7">
        <f>224752.5</f>
        <v>224752.5</v>
      </c>
      <c r="D7" s="7">
        <f>252769</f>
        <v>252769</v>
      </c>
      <c r="E7" s="7">
        <f>308274.1</f>
        <v>308274.09999999998</v>
      </c>
      <c r="F7" s="7">
        <f>357584.48</f>
        <v>357584.48</v>
      </c>
      <c r="G7" s="7">
        <f>365241.97</f>
        <v>365241.97</v>
      </c>
      <c r="H7" s="7">
        <f>384980.97</f>
        <v>384980.97</v>
      </c>
      <c r="I7" s="7">
        <f>417210.07</f>
        <v>417210.07</v>
      </c>
      <c r="J7" s="7">
        <f>491701.34</f>
        <v>491701.34</v>
      </c>
      <c r="K7" s="7">
        <f>542286.95</f>
        <v>542286.94999999995</v>
      </c>
      <c r="L7" s="7">
        <f>674076.99</f>
        <v>674076.99</v>
      </c>
      <c r="M7" s="7">
        <f>747016.63</f>
        <v>747016.63</v>
      </c>
      <c r="N7" s="7">
        <f>763634.52</f>
        <v>763634.52</v>
      </c>
    </row>
    <row r="8" spans="1:14" x14ac:dyDescent="0.2">
      <c r="A8" s="13" t="s">
        <v>15</v>
      </c>
      <c r="B8" s="5" t="s">
        <v>33</v>
      </c>
      <c r="C8" s="7">
        <f>15000</f>
        <v>15000</v>
      </c>
      <c r="D8" s="7">
        <f>15000</f>
        <v>15000</v>
      </c>
      <c r="E8" s="7">
        <f>14845</f>
        <v>14845</v>
      </c>
      <c r="F8" s="7">
        <f>15305</f>
        <v>15305</v>
      </c>
      <c r="G8" s="7">
        <f>10420</f>
        <v>10420</v>
      </c>
      <c r="H8" s="7">
        <f>7920</f>
        <v>7920</v>
      </c>
      <c r="I8" s="7">
        <f>5420</f>
        <v>5420</v>
      </c>
      <c r="J8" s="7">
        <f>5420</f>
        <v>5420</v>
      </c>
      <c r="K8" s="7">
        <f>2920</f>
        <v>2920</v>
      </c>
      <c r="L8" s="7">
        <f>420</f>
        <v>420</v>
      </c>
      <c r="M8" s="7">
        <f>20420</f>
        <v>20420</v>
      </c>
      <c r="N8" s="7">
        <f>420</f>
        <v>420</v>
      </c>
    </row>
    <row r="9" spans="1:14" x14ac:dyDescent="0.2">
      <c r="A9" s="13" t="s">
        <v>16</v>
      </c>
      <c r="B9" s="5" t="s">
        <v>34</v>
      </c>
      <c r="C9" s="6"/>
      <c r="D9" s="6"/>
      <c r="E9" s="6"/>
      <c r="F9" s="6"/>
      <c r="G9" s="6"/>
      <c r="H9" s="6"/>
      <c r="I9" s="7">
        <f>46500</f>
        <v>46500</v>
      </c>
      <c r="J9" s="7">
        <f>46500</f>
        <v>46500</v>
      </c>
      <c r="K9" s="7">
        <f>46500</f>
        <v>46500</v>
      </c>
      <c r="L9" s="6"/>
      <c r="M9" s="6"/>
      <c r="N9" s="6"/>
    </row>
    <row r="10" spans="1:14" x14ac:dyDescent="0.2">
      <c r="B10" s="5" t="s">
        <v>35</v>
      </c>
      <c r="C10" s="8">
        <f t="shared" ref="C10:N10" si="0">((((((C3)+(C4))+(C5))+(C6))+(C7))+(C8))+(C9)</f>
        <v>281014.5</v>
      </c>
      <c r="D10" s="8">
        <f t="shared" si="0"/>
        <v>303815.5</v>
      </c>
      <c r="E10" s="8">
        <f t="shared" si="0"/>
        <v>361632.86</v>
      </c>
      <c r="F10" s="8">
        <f t="shared" si="0"/>
        <v>419003.62</v>
      </c>
      <c r="G10" s="8">
        <f t="shared" si="0"/>
        <v>425603.04</v>
      </c>
      <c r="H10" s="8">
        <f t="shared" si="0"/>
        <v>445666.95999999996</v>
      </c>
      <c r="I10" s="8">
        <f t="shared" si="0"/>
        <v>541164.22</v>
      </c>
      <c r="J10" s="8">
        <f t="shared" si="0"/>
        <v>620871.64</v>
      </c>
      <c r="K10" s="8">
        <f t="shared" si="0"/>
        <v>669243.80999999994</v>
      </c>
      <c r="L10" s="8">
        <f t="shared" si="0"/>
        <v>763912.7</v>
      </c>
      <c r="M10" s="8">
        <f t="shared" si="0"/>
        <v>859585.22</v>
      </c>
      <c r="N10" s="8">
        <f t="shared" si="0"/>
        <v>859506.79</v>
      </c>
    </row>
    <row r="11" spans="1:14" x14ac:dyDescent="0.2">
      <c r="B11" s="16" t="s">
        <v>13</v>
      </c>
      <c r="C11" s="8">
        <f t="shared" ref="C11:N11" si="1">C10</f>
        <v>281014.5</v>
      </c>
      <c r="D11" s="8">
        <f t="shared" si="1"/>
        <v>303815.5</v>
      </c>
      <c r="E11" s="8">
        <f t="shared" si="1"/>
        <v>361632.86</v>
      </c>
      <c r="F11" s="8">
        <f t="shared" si="1"/>
        <v>419003.62</v>
      </c>
      <c r="G11" s="8">
        <f t="shared" si="1"/>
        <v>425603.04</v>
      </c>
      <c r="H11" s="8">
        <f t="shared" si="1"/>
        <v>445666.95999999996</v>
      </c>
      <c r="I11" s="8">
        <f t="shared" si="1"/>
        <v>541164.22</v>
      </c>
      <c r="J11" s="8">
        <f t="shared" si="1"/>
        <v>620871.64</v>
      </c>
      <c r="K11" s="8">
        <f t="shared" si="1"/>
        <v>669243.80999999994</v>
      </c>
      <c r="L11" s="8">
        <f t="shared" si="1"/>
        <v>763912.7</v>
      </c>
      <c r="M11" s="8">
        <f t="shared" si="1"/>
        <v>859585.22</v>
      </c>
      <c r="N11" s="8">
        <f t="shared" si="1"/>
        <v>859506.79</v>
      </c>
    </row>
    <row r="12" spans="1:14" x14ac:dyDescent="0.2">
      <c r="B12" s="5" t="s">
        <v>12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">
      <c r="B13" s="5" t="s">
        <v>36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B14" s="5" t="s">
        <v>37</v>
      </c>
      <c r="C14" s="7">
        <f>0</f>
        <v>0</v>
      </c>
      <c r="D14" s="7">
        <f>33012.63</f>
        <v>33012.629999999997</v>
      </c>
      <c r="E14" s="7">
        <f>28431.14</f>
        <v>28431.14</v>
      </c>
      <c r="F14" s="7">
        <f>33887.04</f>
        <v>33887.040000000001</v>
      </c>
      <c r="G14" s="7">
        <f>44511.65</f>
        <v>44511.65</v>
      </c>
      <c r="H14" s="7">
        <f>59645.73</f>
        <v>59645.73</v>
      </c>
      <c r="I14" s="7">
        <f>61026.5</f>
        <v>61026.5</v>
      </c>
      <c r="J14" s="7">
        <f>49468.91</f>
        <v>49468.91</v>
      </c>
      <c r="K14" s="7">
        <f>51833.3</f>
        <v>51833.3</v>
      </c>
      <c r="L14" s="7">
        <f>56814.01</f>
        <v>56814.01</v>
      </c>
      <c r="M14" s="7">
        <f>87438.64</f>
        <v>87438.64</v>
      </c>
      <c r="N14" s="7">
        <f>251458.41</f>
        <v>251458.41</v>
      </c>
    </row>
    <row r="15" spans="1:14" x14ac:dyDescent="0.2">
      <c r="B15" s="5" t="s">
        <v>38</v>
      </c>
      <c r="C15" s="6"/>
      <c r="D15" s="6"/>
      <c r="E15" s="6"/>
      <c r="F15" s="6"/>
      <c r="G15" s="6"/>
      <c r="H15" s="7">
        <f>1030</f>
        <v>1030</v>
      </c>
      <c r="I15" s="7">
        <f>1295.5</f>
        <v>1295.5</v>
      </c>
      <c r="J15" s="7">
        <f>1334.5</f>
        <v>1334.5</v>
      </c>
      <c r="K15" s="7">
        <f>1315</f>
        <v>1315</v>
      </c>
      <c r="L15" s="7">
        <f>1600</f>
        <v>1600</v>
      </c>
      <c r="M15" s="7">
        <f>1600</f>
        <v>1600</v>
      </c>
      <c r="N15" s="7">
        <f>1600</f>
        <v>1600</v>
      </c>
    </row>
    <row r="16" spans="1:14" x14ac:dyDescent="0.2">
      <c r="B16" s="5" t="s">
        <v>39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2:14" x14ac:dyDescent="0.2">
      <c r="B17" s="5" t="s">
        <v>40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2:14" x14ac:dyDescent="0.2">
      <c r="B18" s="15" t="s">
        <v>41</v>
      </c>
      <c r="C18" s="8">
        <f t="shared" ref="C18:N18" si="2">(C16)+(C17)</f>
        <v>0</v>
      </c>
      <c r="D18" s="8">
        <f t="shared" si="2"/>
        <v>0</v>
      </c>
      <c r="E18" s="8">
        <f t="shared" si="2"/>
        <v>0</v>
      </c>
      <c r="F18" s="8">
        <f t="shared" si="2"/>
        <v>0</v>
      </c>
      <c r="G18" s="8">
        <f t="shared" si="2"/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M18" s="8">
        <f t="shared" si="2"/>
        <v>0</v>
      </c>
      <c r="N18" s="8">
        <f t="shared" si="2"/>
        <v>0</v>
      </c>
    </row>
    <row r="19" spans="2:14" x14ac:dyDescent="0.2">
      <c r="B19" s="5" t="s">
        <v>42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2:14" x14ac:dyDescent="0.2">
      <c r="B20" s="5" t="s">
        <v>43</v>
      </c>
      <c r="C20" s="7">
        <f>21730.76</f>
        <v>21730.76</v>
      </c>
      <c r="D20" s="7">
        <f>26153.84</f>
        <v>26153.84</v>
      </c>
      <c r="E20" s="7">
        <f>7192.3</f>
        <v>7192.3</v>
      </c>
      <c r="F20" s="7">
        <f>28461.54</f>
        <v>28461.54</v>
      </c>
      <c r="G20" s="7">
        <f>77135.24</f>
        <v>77135.240000000005</v>
      </c>
      <c r="H20" s="7">
        <f>56067.54</f>
        <v>56067.54</v>
      </c>
      <c r="I20" s="7">
        <f>72307.7</f>
        <v>72307.7</v>
      </c>
      <c r="J20" s="7">
        <f>72307.7</f>
        <v>72307.7</v>
      </c>
      <c r="K20" s="7">
        <f>81734.82</f>
        <v>81734.820000000007</v>
      </c>
      <c r="L20" s="7">
        <f>99961.53</f>
        <v>99961.53</v>
      </c>
      <c r="M20" s="7">
        <f>71153.84</f>
        <v>71153.84</v>
      </c>
      <c r="N20" s="7">
        <f>85342.3</f>
        <v>85342.3</v>
      </c>
    </row>
    <row r="21" spans="2:14" x14ac:dyDescent="0.2">
      <c r="B21" s="5" t="s">
        <v>44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7">
        <f>64166.67</f>
        <v>64166.67</v>
      </c>
    </row>
    <row r="22" spans="2:14" x14ac:dyDescent="0.2">
      <c r="B22" s="5" t="s">
        <v>45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7">
        <f>12498.75</f>
        <v>12498.75</v>
      </c>
      <c r="N22" s="7">
        <f>-9265</f>
        <v>-9265</v>
      </c>
    </row>
    <row r="23" spans="2:14" x14ac:dyDescent="0.2">
      <c r="B23" s="5" t="s">
        <v>46</v>
      </c>
      <c r="C23" s="7">
        <f>-510.87</f>
        <v>-510.87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7">
        <f>26636.59</f>
        <v>26636.59</v>
      </c>
    </row>
    <row r="24" spans="2:14" x14ac:dyDescent="0.2">
      <c r="B24" s="5" t="s">
        <v>47</v>
      </c>
      <c r="C24" s="7">
        <f>2100.46</f>
        <v>2100.46</v>
      </c>
      <c r="D24" s="7">
        <f>2139.51</f>
        <v>2139.5100000000002</v>
      </c>
      <c r="E24" s="7">
        <f>511.73</f>
        <v>511.73</v>
      </c>
      <c r="F24" s="7">
        <f>2626.29</f>
        <v>2626.29</v>
      </c>
      <c r="G24" s="7">
        <f>5484.42</f>
        <v>5484.42</v>
      </c>
      <c r="H24" s="7">
        <f>3577.3</f>
        <v>3577.3</v>
      </c>
      <c r="I24" s="7">
        <f>4956.18</f>
        <v>4956.18</v>
      </c>
      <c r="J24" s="7">
        <f>4754.9</f>
        <v>4754.8999999999996</v>
      </c>
      <c r="K24" s="7">
        <f>5458.27</f>
        <v>5458.27</v>
      </c>
      <c r="L24" s="7">
        <f>6466.94</f>
        <v>6466.94</v>
      </c>
      <c r="M24" s="7">
        <f>5440.18</f>
        <v>5440.18</v>
      </c>
      <c r="N24" s="7">
        <f>6207.83</f>
        <v>6207.83</v>
      </c>
    </row>
    <row r="25" spans="2:14" x14ac:dyDescent="0.2">
      <c r="B25" s="5" t="s">
        <v>48</v>
      </c>
      <c r="C25" s="7">
        <f>1573.66</f>
        <v>1573.66</v>
      </c>
      <c r="D25" s="7">
        <f>2206.38</f>
        <v>2206.38</v>
      </c>
      <c r="E25" s="7">
        <f>746.72</f>
        <v>746.72</v>
      </c>
      <c r="F25" s="7">
        <f>1666.36</f>
        <v>1666.36</v>
      </c>
      <c r="G25" s="7">
        <f>4933.84</f>
        <v>4933.84</v>
      </c>
      <c r="H25" s="7">
        <f>4100.66</f>
        <v>4100.66</v>
      </c>
      <c r="I25" s="7">
        <f>4445.34</f>
        <v>4445.34</v>
      </c>
      <c r="J25" s="7">
        <f>4445.34</f>
        <v>4445.34</v>
      </c>
      <c r="K25" s="7">
        <f>4905.16</f>
        <v>4905.16</v>
      </c>
      <c r="L25" s="7">
        <f>5288.55</f>
        <v>5288.55</v>
      </c>
      <c r="M25" s="7">
        <f>3903.88</f>
        <v>3903.88</v>
      </c>
      <c r="N25" s="7">
        <f>4163.14</f>
        <v>4163.1400000000003</v>
      </c>
    </row>
    <row r="26" spans="2:14" x14ac:dyDescent="0.2">
      <c r="B26" s="5" t="s">
        <v>49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2:14" x14ac:dyDescent="0.2">
      <c r="B27" s="15" t="s">
        <v>50</v>
      </c>
      <c r="C27" s="8">
        <f t="shared" ref="C27:N27" si="3">(((((((C19)+(C20))+(C21))+(C22))+(C23))+(C24))+(C25))+(C26)</f>
        <v>24894.01</v>
      </c>
      <c r="D27" s="8">
        <f t="shared" si="3"/>
        <v>30499.73</v>
      </c>
      <c r="E27" s="8">
        <f t="shared" si="3"/>
        <v>8450.75</v>
      </c>
      <c r="F27" s="8">
        <f t="shared" si="3"/>
        <v>32754.190000000002</v>
      </c>
      <c r="G27" s="8">
        <f t="shared" si="3"/>
        <v>87553.5</v>
      </c>
      <c r="H27" s="8">
        <f t="shared" si="3"/>
        <v>63745.5</v>
      </c>
      <c r="I27" s="8">
        <f t="shared" si="3"/>
        <v>81709.22</v>
      </c>
      <c r="J27" s="8">
        <f t="shared" si="3"/>
        <v>81507.939999999988</v>
      </c>
      <c r="K27" s="8">
        <f t="shared" si="3"/>
        <v>92098.250000000015</v>
      </c>
      <c r="L27" s="8">
        <f t="shared" si="3"/>
        <v>111717.02</v>
      </c>
      <c r="M27" s="8">
        <f t="shared" si="3"/>
        <v>92996.65</v>
      </c>
      <c r="N27" s="8">
        <f t="shared" si="3"/>
        <v>177251.53</v>
      </c>
    </row>
    <row r="28" spans="2:14" x14ac:dyDescent="0.2">
      <c r="B28" s="5" t="s">
        <v>51</v>
      </c>
      <c r="C28" s="6"/>
      <c r="D28" s="6"/>
      <c r="E28" s="6"/>
      <c r="F28" s="7">
        <f>2569.51</f>
        <v>2569.5100000000002</v>
      </c>
      <c r="G28" s="7">
        <f>15983.95</f>
        <v>15983.95</v>
      </c>
      <c r="H28" s="7">
        <f>13018.87</f>
        <v>13018.87</v>
      </c>
      <c r="I28" s="7">
        <f>13100</f>
        <v>13100</v>
      </c>
      <c r="J28" s="7">
        <f>17486</f>
        <v>17486</v>
      </c>
      <c r="K28" s="7">
        <f>30486.66</f>
        <v>30486.66</v>
      </c>
      <c r="L28" s="7">
        <f>24252.89</f>
        <v>24252.89</v>
      </c>
      <c r="M28" s="7">
        <f>33650.05</f>
        <v>33650.050000000003</v>
      </c>
      <c r="N28" s="7">
        <f>49162.09</f>
        <v>49162.09</v>
      </c>
    </row>
    <row r="29" spans="2:14" x14ac:dyDescent="0.2">
      <c r="B29" s="5" t="s">
        <v>52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2:14" x14ac:dyDescent="0.2">
      <c r="B30" s="5" t="s">
        <v>53</v>
      </c>
      <c r="C30" s="6"/>
      <c r="D30" s="6"/>
      <c r="E30" s="6"/>
      <c r="F30" s="6"/>
      <c r="G30" s="6"/>
      <c r="H30" s="6"/>
      <c r="I30" s="6"/>
      <c r="J30" s="7">
        <f>96.68</f>
        <v>96.68</v>
      </c>
      <c r="K30" s="7">
        <f>1370.9</f>
        <v>1370.9</v>
      </c>
      <c r="L30" s="7">
        <f>2552.83</f>
        <v>2552.83</v>
      </c>
      <c r="M30" s="7">
        <f>4740.9</f>
        <v>4740.8999999999996</v>
      </c>
      <c r="N30" s="7">
        <f>4904.36</f>
        <v>4904.3599999999997</v>
      </c>
    </row>
    <row r="31" spans="2:14" x14ac:dyDescent="0.2">
      <c r="B31" s="5" t="s">
        <v>54</v>
      </c>
      <c r="C31" s="6"/>
      <c r="D31" s="6"/>
      <c r="E31" s="6"/>
      <c r="F31" s="6"/>
      <c r="G31" s="6"/>
      <c r="H31" s="6"/>
      <c r="I31" s="6"/>
      <c r="J31" s="6"/>
      <c r="K31" s="7">
        <f>381.83</f>
        <v>381.83</v>
      </c>
      <c r="L31" s="7">
        <f>788.47</f>
        <v>788.47</v>
      </c>
      <c r="M31" s="7">
        <f>1557.16</f>
        <v>1557.16</v>
      </c>
      <c r="N31" s="7">
        <f>1722.32</f>
        <v>1722.32</v>
      </c>
    </row>
    <row r="32" spans="2:14" x14ac:dyDescent="0.2">
      <c r="B32" s="5" t="s">
        <v>55</v>
      </c>
      <c r="C32" s="6"/>
      <c r="D32" s="6"/>
      <c r="E32" s="6"/>
      <c r="F32" s="6"/>
      <c r="G32" s="6"/>
      <c r="H32" s="6"/>
      <c r="I32" s="6"/>
      <c r="J32" s="6"/>
      <c r="K32" s="7">
        <f>9.97</f>
        <v>9.9700000000000006</v>
      </c>
      <c r="L32" s="7">
        <f>65.3</f>
        <v>65.3</v>
      </c>
      <c r="M32" s="7">
        <f>96.09</f>
        <v>96.09</v>
      </c>
      <c r="N32" s="7">
        <f>263.29</f>
        <v>263.29000000000002</v>
      </c>
    </row>
    <row r="33" spans="1:14" x14ac:dyDescent="0.2">
      <c r="B33" s="15" t="s">
        <v>56</v>
      </c>
      <c r="C33" s="8">
        <f t="shared" ref="C33:N33" si="4">(((C29)+(C30))+(C31))+(C32)</f>
        <v>0</v>
      </c>
      <c r="D33" s="8">
        <f t="shared" si="4"/>
        <v>0</v>
      </c>
      <c r="E33" s="8">
        <f t="shared" si="4"/>
        <v>0</v>
      </c>
      <c r="F33" s="8">
        <f t="shared" si="4"/>
        <v>0</v>
      </c>
      <c r="G33" s="8">
        <f t="shared" si="4"/>
        <v>0</v>
      </c>
      <c r="H33" s="8">
        <f t="shared" si="4"/>
        <v>0</v>
      </c>
      <c r="I33" s="8">
        <f t="shared" si="4"/>
        <v>0</v>
      </c>
      <c r="J33" s="8">
        <f t="shared" si="4"/>
        <v>96.68</v>
      </c>
      <c r="K33" s="8">
        <f t="shared" si="4"/>
        <v>1762.7</v>
      </c>
      <c r="L33" s="8">
        <f t="shared" si="4"/>
        <v>3406.6000000000004</v>
      </c>
      <c r="M33" s="8">
        <f t="shared" si="4"/>
        <v>6394.15</v>
      </c>
      <c r="N33" s="8">
        <f t="shared" si="4"/>
        <v>6889.9699999999993</v>
      </c>
    </row>
    <row r="34" spans="1:14" x14ac:dyDescent="0.2">
      <c r="B34" s="15" t="s">
        <v>57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7">
        <f>16600</f>
        <v>16600</v>
      </c>
    </row>
    <row r="35" spans="1:14" x14ac:dyDescent="0.2">
      <c r="B35" s="5" t="s">
        <v>58</v>
      </c>
      <c r="C35" s="8">
        <f t="shared" ref="C35:N35" si="5">(((((((C13)+(C14))+(C15))+(C18))+(C27))+(C28))+(C33))+(C34)</f>
        <v>24894.01</v>
      </c>
      <c r="D35" s="8">
        <f t="shared" si="5"/>
        <v>63512.36</v>
      </c>
      <c r="E35" s="8">
        <f t="shared" si="5"/>
        <v>36881.89</v>
      </c>
      <c r="F35" s="8">
        <f t="shared" si="5"/>
        <v>69210.740000000005</v>
      </c>
      <c r="G35" s="8">
        <f t="shared" si="5"/>
        <v>148049.1</v>
      </c>
      <c r="H35" s="8">
        <f t="shared" si="5"/>
        <v>137440.1</v>
      </c>
      <c r="I35" s="8">
        <f t="shared" si="5"/>
        <v>157131.22</v>
      </c>
      <c r="J35" s="8">
        <f t="shared" si="5"/>
        <v>149894.02999999997</v>
      </c>
      <c r="K35" s="8">
        <f t="shared" si="5"/>
        <v>177495.91000000003</v>
      </c>
      <c r="L35" s="8">
        <f t="shared" si="5"/>
        <v>197790.52</v>
      </c>
      <c r="M35" s="8">
        <f t="shared" si="5"/>
        <v>222079.48999999996</v>
      </c>
      <c r="N35" s="8">
        <f t="shared" si="5"/>
        <v>502962</v>
      </c>
    </row>
    <row r="36" spans="1:14" x14ac:dyDescent="0.2">
      <c r="A36" s="13" t="s">
        <v>7</v>
      </c>
      <c r="B36" s="16" t="s">
        <v>11</v>
      </c>
      <c r="C36" s="8">
        <f t="shared" ref="C36:N36" si="6">C35</f>
        <v>24894.01</v>
      </c>
      <c r="D36" s="8">
        <f t="shared" si="6"/>
        <v>63512.36</v>
      </c>
      <c r="E36" s="8">
        <f t="shared" si="6"/>
        <v>36881.89</v>
      </c>
      <c r="F36" s="8">
        <f t="shared" si="6"/>
        <v>69210.740000000005</v>
      </c>
      <c r="G36" s="8">
        <f t="shared" si="6"/>
        <v>148049.1</v>
      </c>
      <c r="H36" s="8">
        <f t="shared" si="6"/>
        <v>137440.1</v>
      </c>
      <c r="I36" s="8">
        <f t="shared" si="6"/>
        <v>157131.22</v>
      </c>
      <c r="J36" s="8">
        <f t="shared" si="6"/>
        <v>149894.02999999997</v>
      </c>
      <c r="K36" s="8">
        <f t="shared" si="6"/>
        <v>177495.91000000003</v>
      </c>
      <c r="L36" s="8">
        <f t="shared" si="6"/>
        <v>197790.52</v>
      </c>
      <c r="M36" s="8">
        <f t="shared" si="6"/>
        <v>222079.48999999996</v>
      </c>
      <c r="N36" s="8">
        <f t="shared" si="6"/>
        <v>502962</v>
      </c>
    </row>
    <row r="37" spans="1:14" x14ac:dyDescent="0.2">
      <c r="B37" s="5" t="s">
        <v>3</v>
      </c>
      <c r="C37" s="8">
        <f t="shared" ref="C37:N37" si="7">(C11)-(C36)</f>
        <v>256120.49</v>
      </c>
      <c r="D37" s="8">
        <f t="shared" si="7"/>
        <v>240303.14</v>
      </c>
      <c r="E37" s="8">
        <f t="shared" si="7"/>
        <v>324750.96999999997</v>
      </c>
      <c r="F37" s="8">
        <f t="shared" si="7"/>
        <v>349792.88</v>
      </c>
      <c r="G37" s="8">
        <f t="shared" si="7"/>
        <v>277553.93999999994</v>
      </c>
      <c r="H37" s="8">
        <f t="shared" si="7"/>
        <v>308226.86</v>
      </c>
      <c r="I37" s="8">
        <f t="shared" si="7"/>
        <v>384033</v>
      </c>
      <c r="J37" s="8">
        <f t="shared" si="7"/>
        <v>470977.61000000004</v>
      </c>
      <c r="K37" s="8">
        <f t="shared" si="7"/>
        <v>491747.89999999991</v>
      </c>
      <c r="L37" s="8">
        <f t="shared" si="7"/>
        <v>566122.17999999993</v>
      </c>
      <c r="M37" s="8">
        <f t="shared" si="7"/>
        <v>637505.73</v>
      </c>
      <c r="N37" s="8">
        <f t="shared" si="7"/>
        <v>356544.79000000004</v>
      </c>
    </row>
    <row r="38" spans="1:14" x14ac:dyDescent="0.2">
      <c r="B38" s="5" t="s">
        <v>2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B39" s="5" t="s">
        <v>59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B40" s="5" t="s">
        <v>60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B41" s="5" t="s">
        <v>61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B42" s="5" t="s">
        <v>62</v>
      </c>
      <c r="C42" s="7">
        <f>34153.83</f>
        <v>34153.83</v>
      </c>
      <c r="D42" s="7">
        <f>53730.76</f>
        <v>53730.76</v>
      </c>
      <c r="E42" s="7">
        <f>57061.19</f>
        <v>57061.19</v>
      </c>
      <c r="F42" s="7">
        <f>47518.57</f>
        <v>47518.57</v>
      </c>
      <c r="G42" s="7">
        <f>71755.86</f>
        <v>71755.86</v>
      </c>
      <c r="H42" s="7">
        <f>46538.46</f>
        <v>46538.46</v>
      </c>
      <c r="I42" s="7">
        <f>57682.7</f>
        <v>57682.7</v>
      </c>
      <c r="J42" s="7">
        <f>69662.74</f>
        <v>69662.740000000005</v>
      </c>
      <c r="K42" s="7">
        <f>67865.4</f>
        <v>67865.399999999994</v>
      </c>
      <c r="L42" s="7">
        <f>110760.28</f>
        <v>110760.28</v>
      </c>
      <c r="M42" s="7">
        <f>71673.09</f>
        <v>71673.09</v>
      </c>
      <c r="N42" s="7">
        <f>119444.86</f>
        <v>119444.86</v>
      </c>
    </row>
    <row r="43" spans="1:14" x14ac:dyDescent="0.2">
      <c r="B43" s="5" t="s">
        <v>63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7">
        <f>100250</f>
        <v>100250</v>
      </c>
    </row>
    <row r="44" spans="1:14" x14ac:dyDescent="0.2">
      <c r="B44" s="5" t="s">
        <v>64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7">
        <f>7499.25</f>
        <v>7499.25</v>
      </c>
      <c r="N44" s="7">
        <f>8713</f>
        <v>8713</v>
      </c>
    </row>
    <row r="45" spans="1:14" x14ac:dyDescent="0.2">
      <c r="B45" s="5" t="s">
        <v>65</v>
      </c>
      <c r="C45" s="7">
        <f>-14334.47</f>
        <v>-14334.47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7">
        <f>34919.5</f>
        <v>34919.5</v>
      </c>
    </row>
    <row r="46" spans="1:14" x14ac:dyDescent="0.2">
      <c r="B46" s="5" t="s">
        <v>66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B47" s="5" t="s">
        <v>67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B48" s="5" t="s">
        <v>68</v>
      </c>
      <c r="C48" s="8">
        <f t="shared" ref="C48:N48" si="8">((((((C41)+(C42))+(C43))+(C44))+(C45))+(C46))+(C47)</f>
        <v>19819.36</v>
      </c>
      <c r="D48" s="8">
        <f t="shared" si="8"/>
        <v>53730.76</v>
      </c>
      <c r="E48" s="8">
        <f t="shared" si="8"/>
        <v>57061.19</v>
      </c>
      <c r="F48" s="8">
        <f t="shared" si="8"/>
        <v>47518.57</v>
      </c>
      <c r="G48" s="8">
        <f t="shared" si="8"/>
        <v>71755.86</v>
      </c>
      <c r="H48" s="8">
        <f t="shared" si="8"/>
        <v>46538.46</v>
      </c>
      <c r="I48" s="8">
        <f t="shared" si="8"/>
        <v>57682.7</v>
      </c>
      <c r="J48" s="8">
        <f t="shared" si="8"/>
        <v>69662.740000000005</v>
      </c>
      <c r="K48" s="8">
        <f t="shared" si="8"/>
        <v>67865.399999999994</v>
      </c>
      <c r="L48" s="8">
        <f t="shared" si="8"/>
        <v>110760.28</v>
      </c>
      <c r="M48" s="8">
        <f t="shared" si="8"/>
        <v>79172.34</v>
      </c>
      <c r="N48" s="8">
        <f t="shared" si="8"/>
        <v>263327.35999999999</v>
      </c>
    </row>
    <row r="49" spans="2:14" x14ac:dyDescent="0.2">
      <c r="B49" s="5" t="s">
        <v>69</v>
      </c>
      <c r="C49" s="7">
        <f>3535.09</f>
        <v>3535.09</v>
      </c>
      <c r="D49" s="7">
        <f>4526.91</f>
        <v>4526.91</v>
      </c>
      <c r="E49" s="7">
        <f>4295.82</f>
        <v>4295.82</v>
      </c>
      <c r="F49" s="7">
        <f>3573.13</f>
        <v>3573.13</v>
      </c>
      <c r="G49" s="7">
        <f>5486.91</f>
        <v>5486.91</v>
      </c>
      <c r="H49" s="7">
        <f>3625.54</f>
        <v>3625.54</v>
      </c>
      <c r="I49" s="7">
        <f>4071.41</f>
        <v>4071.41</v>
      </c>
      <c r="J49" s="7">
        <f>4334.96</f>
        <v>4334.96</v>
      </c>
      <c r="K49" s="7">
        <f>4244.06</f>
        <v>4244.0600000000004</v>
      </c>
      <c r="L49" s="7">
        <f>6644.49</f>
        <v>6644.49</v>
      </c>
      <c r="M49" s="7">
        <f>5295.59</f>
        <v>5295.59</v>
      </c>
      <c r="N49" s="7">
        <f>8596.94</f>
        <v>8596.94</v>
      </c>
    </row>
    <row r="50" spans="2:14" x14ac:dyDescent="0.2">
      <c r="B50" s="5" t="s">
        <v>70</v>
      </c>
      <c r="C50" s="7">
        <f>4024.54</f>
        <v>4024.54</v>
      </c>
      <c r="D50" s="7">
        <f>5747.18</f>
        <v>5747.18</v>
      </c>
      <c r="E50" s="7">
        <f>6318.83</f>
        <v>6318.83</v>
      </c>
      <c r="F50" s="7">
        <f>5644.26</f>
        <v>5644.26</v>
      </c>
      <c r="G50" s="7">
        <f>8791.51</f>
        <v>8791.51</v>
      </c>
      <c r="H50" s="7">
        <f>5636.16</f>
        <v>5636.16</v>
      </c>
      <c r="I50" s="7">
        <f>6745.54</f>
        <v>6745.54</v>
      </c>
      <c r="J50" s="7">
        <f>6745.54</f>
        <v>6745.54</v>
      </c>
      <c r="K50" s="7">
        <f>6745.54</f>
        <v>6745.54</v>
      </c>
      <c r="L50" s="7">
        <f>8975.01</f>
        <v>8975.01</v>
      </c>
      <c r="M50" s="7">
        <f>5959.36</f>
        <v>5959.36</v>
      </c>
      <c r="N50" s="7">
        <f>9890.89</f>
        <v>9890.89</v>
      </c>
    </row>
    <row r="51" spans="2:14" x14ac:dyDescent="0.2">
      <c r="B51" s="5" t="s">
        <v>71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2:14" x14ac:dyDescent="0.2">
      <c r="B52" s="5" t="s">
        <v>72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2:14" x14ac:dyDescent="0.2">
      <c r="B53" s="5" t="s">
        <v>73</v>
      </c>
      <c r="C53" s="8">
        <f t="shared" ref="C53:N53" si="9">(((((C40)+(C48))+(C49))+(C50))+(C51))+(C52)</f>
        <v>27378.99</v>
      </c>
      <c r="D53" s="8">
        <f t="shared" si="9"/>
        <v>64004.85</v>
      </c>
      <c r="E53" s="8">
        <f t="shared" si="9"/>
        <v>67675.839999999997</v>
      </c>
      <c r="F53" s="8">
        <f t="shared" si="9"/>
        <v>56735.96</v>
      </c>
      <c r="G53" s="8">
        <f t="shared" si="9"/>
        <v>86034.28</v>
      </c>
      <c r="H53" s="8">
        <f t="shared" si="9"/>
        <v>55800.160000000003</v>
      </c>
      <c r="I53" s="8">
        <f t="shared" si="9"/>
        <v>68499.649999999994</v>
      </c>
      <c r="J53" s="8">
        <f t="shared" si="9"/>
        <v>80743.240000000005</v>
      </c>
      <c r="K53" s="8">
        <f t="shared" si="9"/>
        <v>78854.999999999985</v>
      </c>
      <c r="L53" s="8">
        <f t="shared" si="9"/>
        <v>126379.78</v>
      </c>
      <c r="M53" s="8">
        <f t="shared" si="9"/>
        <v>90427.29</v>
      </c>
      <c r="N53" s="8">
        <f t="shared" si="9"/>
        <v>281815.19</v>
      </c>
    </row>
    <row r="54" spans="2:14" x14ac:dyDescent="0.2">
      <c r="B54" s="5" t="s">
        <v>74</v>
      </c>
      <c r="C54" s="6"/>
      <c r="D54" s="6"/>
      <c r="E54" s="6"/>
      <c r="F54" s="6"/>
      <c r="G54" s="6"/>
      <c r="H54" s="6"/>
      <c r="I54" s="6"/>
      <c r="J54" s="6"/>
      <c r="K54" s="6"/>
      <c r="L54" s="7">
        <f>2140</f>
        <v>2140</v>
      </c>
      <c r="M54" s="7">
        <f>1020</f>
        <v>1020</v>
      </c>
      <c r="N54" s="7">
        <f>1020</f>
        <v>1020</v>
      </c>
    </row>
    <row r="55" spans="2:14" x14ac:dyDescent="0.2">
      <c r="B55" s="5" t="s">
        <v>75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2:14" x14ac:dyDescent="0.2">
      <c r="B56" s="5" t="s">
        <v>76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2:14" x14ac:dyDescent="0.2">
      <c r="B57" s="5" t="s">
        <v>77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2:14" x14ac:dyDescent="0.2">
      <c r="B58" s="5" t="s">
        <v>78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2:14" x14ac:dyDescent="0.2">
      <c r="B59" s="5" t="s">
        <v>79</v>
      </c>
      <c r="C59" s="8">
        <f t="shared" ref="C59:N59" si="10">(((C55)+(C56))+(C57))+(C58)</f>
        <v>0</v>
      </c>
      <c r="D59" s="8">
        <f t="shared" si="10"/>
        <v>0</v>
      </c>
      <c r="E59" s="8">
        <f t="shared" si="10"/>
        <v>0</v>
      </c>
      <c r="F59" s="8">
        <f t="shared" si="10"/>
        <v>0</v>
      </c>
      <c r="G59" s="8">
        <f t="shared" si="10"/>
        <v>0</v>
      </c>
      <c r="H59" s="8">
        <f t="shared" si="10"/>
        <v>0</v>
      </c>
      <c r="I59" s="8">
        <f t="shared" si="10"/>
        <v>0</v>
      </c>
      <c r="J59" s="8">
        <f t="shared" si="10"/>
        <v>0</v>
      </c>
      <c r="K59" s="8">
        <f t="shared" si="10"/>
        <v>0</v>
      </c>
      <c r="L59" s="8">
        <f t="shared" si="10"/>
        <v>0</v>
      </c>
      <c r="M59" s="8">
        <f t="shared" si="10"/>
        <v>0</v>
      </c>
      <c r="N59" s="8">
        <f t="shared" si="10"/>
        <v>0</v>
      </c>
    </row>
    <row r="60" spans="2:14" x14ac:dyDescent="0.2">
      <c r="B60" s="5" t="s">
        <v>80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2:14" x14ac:dyDescent="0.2">
      <c r="B61" s="5" t="s">
        <v>81</v>
      </c>
      <c r="C61" s="7">
        <f>438.66</f>
        <v>438.66</v>
      </c>
      <c r="D61" s="7">
        <f>627.9</f>
        <v>627.9</v>
      </c>
      <c r="E61" s="7">
        <f>112.82</f>
        <v>112.82</v>
      </c>
      <c r="F61" s="7">
        <f>482.34</f>
        <v>482.34</v>
      </c>
      <c r="G61" s="7">
        <f>208.92</f>
        <v>208.92</v>
      </c>
      <c r="H61" s="7">
        <f>509.12</f>
        <v>509.12</v>
      </c>
      <c r="I61" s="7">
        <f>445.91</f>
        <v>445.91</v>
      </c>
      <c r="J61" s="7">
        <f>625.38</f>
        <v>625.38</v>
      </c>
      <c r="K61" s="7">
        <f>555.45</f>
        <v>555.45000000000005</v>
      </c>
      <c r="L61" s="7">
        <f>480.97</f>
        <v>480.97</v>
      </c>
      <c r="M61" s="7">
        <f>570.35</f>
        <v>570.35</v>
      </c>
      <c r="N61" s="7">
        <f>629.92</f>
        <v>629.91999999999996</v>
      </c>
    </row>
    <row r="62" spans="2:14" x14ac:dyDescent="0.2">
      <c r="B62" s="5" t="s">
        <v>82</v>
      </c>
      <c r="C62" s="7">
        <f>1165.15</f>
        <v>1165.1500000000001</v>
      </c>
      <c r="D62" s="7">
        <f>1377.86</f>
        <v>1377.86</v>
      </c>
      <c r="E62" s="7">
        <f>1299.05</f>
        <v>1299.05</v>
      </c>
      <c r="F62" s="7">
        <f>1296.32</f>
        <v>1296.32</v>
      </c>
      <c r="G62" s="7">
        <f>1510.09</f>
        <v>1510.09</v>
      </c>
      <c r="H62" s="7">
        <f>1433.58</f>
        <v>1433.58</v>
      </c>
      <c r="I62" s="7">
        <f>1233.37</f>
        <v>1233.3699999999999</v>
      </c>
      <c r="J62" s="7">
        <f>1583.01</f>
        <v>1583.01</v>
      </c>
      <c r="K62" s="7">
        <f>1366.98</f>
        <v>1366.98</v>
      </c>
      <c r="L62" s="7">
        <f>1817.08</f>
        <v>1817.08</v>
      </c>
      <c r="M62" s="7">
        <f>1933.83</f>
        <v>1933.83</v>
      </c>
      <c r="N62" s="7">
        <f>965.22</f>
        <v>965.22</v>
      </c>
    </row>
    <row r="63" spans="2:14" x14ac:dyDescent="0.2">
      <c r="B63" s="5" t="s">
        <v>83</v>
      </c>
      <c r="C63" s="8">
        <f t="shared" ref="C63:N63" si="11">((C60)+(C61))+(C62)</f>
        <v>1603.8100000000002</v>
      </c>
      <c r="D63" s="8">
        <f t="shared" si="11"/>
        <v>2005.7599999999998</v>
      </c>
      <c r="E63" s="8">
        <f t="shared" si="11"/>
        <v>1411.87</v>
      </c>
      <c r="F63" s="8">
        <f t="shared" si="11"/>
        <v>1778.6599999999999</v>
      </c>
      <c r="G63" s="8">
        <f t="shared" si="11"/>
        <v>1719.01</v>
      </c>
      <c r="H63" s="8">
        <f t="shared" si="11"/>
        <v>1942.6999999999998</v>
      </c>
      <c r="I63" s="8">
        <f t="shared" si="11"/>
        <v>1679.28</v>
      </c>
      <c r="J63" s="8">
        <f t="shared" si="11"/>
        <v>2208.39</v>
      </c>
      <c r="K63" s="8">
        <f t="shared" si="11"/>
        <v>1922.43</v>
      </c>
      <c r="L63" s="8">
        <f t="shared" si="11"/>
        <v>2298.0500000000002</v>
      </c>
      <c r="M63" s="8">
        <f t="shared" si="11"/>
        <v>2504.1799999999998</v>
      </c>
      <c r="N63" s="8">
        <f t="shared" si="11"/>
        <v>1595.1399999999999</v>
      </c>
    </row>
    <row r="64" spans="2:14" x14ac:dyDescent="0.2">
      <c r="B64" s="5" t="s">
        <v>84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">
      <c r="B65" s="5" t="s">
        <v>85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">
      <c r="B66" s="5" t="s">
        <v>86</v>
      </c>
      <c r="C66" s="6"/>
      <c r="D66" s="6"/>
      <c r="E66" s="6"/>
      <c r="F66" s="6"/>
      <c r="G66" s="6"/>
      <c r="H66" s="6"/>
      <c r="I66" s="7">
        <f>175</f>
        <v>175</v>
      </c>
      <c r="J66" s="7">
        <f>182</f>
        <v>182</v>
      </c>
      <c r="K66" s="7">
        <f>182</f>
        <v>182</v>
      </c>
      <c r="L66" s="7">
        <f>638</f>
        <v>638</v>
      </c>
      <c r="M66" s="7">
        <f>196</f>
        <v>196</v>
      </c>
      <c r="N66" s="7">
        <f>350</f>
        <v>350</v>
      </c>
    </row>
    <row r="67" spans="1:14" x14ac:dyDescent="0.2">
      <c r="B67" s="5" t="s">
        <v>87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">
      <c r="B68" s="5" t="s">
        <v>88</v>
      </c>
      <c r="C68" s="6"/>
      <c r="D68" s="6"/>
      <c r="E68" s="6"/>
      <c r="F68" s="6"/>
      <c r="G68" s="7">
        <f>500</f>
        <v>500</v>
      </c>
      <c r="H68" s="6"/>
      <c r="I68" s="6"/>
      <c r="J68" s="6"/>
      <c r="K68" s="6"/>
      <c r="L68" s="6"/>
      <c r="M68" s="6"/>
      <c r="N68" s="6"/>
    </row>
    <row r="69" spans="1:14" x14ac:dyDescent="0.2">
      <c r="B69" s="5" t="s">
        <v>89</v>
      </c>
      <c r="C69" s="6"/>
      <c r="D69" s="6"/>
      <c r="E69" s="6"/>
      <c r="F69" s="6"/>
      <c r="G69" s="6"/>
      <c r="H69" s="7">
        <f t="shared" ref="H69:N69" si="12">1562.5</f>
        <v>1562.5</v>
      </c>
      <c r="I69" s="7">
        <f t="shared" si="12"/>
        <v>1562.5</v>
      </c>
      <c r="J69" s="7">
        <f t="shared" si="12"/>
        <v>1562.5</v>
      </c>
      <c r="K69" s="7">
        <f t="shared" si="12"/>
        <v>1562.5</v>
      </c>
      <c r="L69" s="7">
        <f t="shared" si="12"/>
        <v>1562.5</v>
      </c>
      <c r="M69" s="7">
        <f t="shared" si="12"/>
        <v>1562.5</v>
      </c>
      <c r="N69" s="7">
        <f t="shared" si="12"/>
        <v>1562.5</v>
      </c>
    </row>
    <row r="70" spans="1:14" x14ac:dyDescent="0.2">
      <c r="A70" s="13" t="s">
        <v>6</v>
      </c>
      <c r="B70" s="16" t="s">
        <v>90</v>
      </c>
      <c r="C70" s="8">
        <f t="shared" ref="C70:N70" si="13">((((((((((C39)+(C53))+(C54))+(C59))+(C63))+(C64))+(C65))+(C66))+(C67))+(C68))+(C69)</f>
        <v>28982.800000000003</v>
      </c>
      <c r="D70" s="8">
        <f t="shared" si="13"/>
        <v>66010.61</v>
      </c>
      <c r="E70" s="8">
        <f t="shared" si="13"/>
        <v>69087.709999999992</v>
      </c>
      <c r="F70" s="8">
        <f t="shared" si="13"/>
        <v>58514.619999999995</v>
      </c>
      <c r="G70" s="8">
        <f t="shared" si="13"/>
        <v>88253.29</v>
      </c>
      <c r="H70" s="8">
        <f t="shared" si="13"/>
        <v>59305.36</v>
      </c>
      <c r="I70" s="8">
        <f t="shared" si="13"/>
        <v>71916.429999999993</v>
      </c>
      <c r="J70" s="8">
        <f t="shared" si="13"/>
        <v>84696.13</v>
      </c>
      <c r="K70" s="8">
        <f t="shared" si="13"/>
        <v>82521.929999999978</v>
      </c>
      <c r="L70" s="8">
        <f t="shared" si="13"/>
        <v>133018.33000000002</v>
      </c>
      <c r="M70" s="8">
        <f t="shared" si="13"/>
        <v>95709.969999999987</v>
      </c>
      <c r="N70" s="8">
        <f t="shared" si="13"/>
        <v>286342.83</v>
      </c>
    </row>
    <row r="71" spans="1:14" x14ac:dyDescent="0.2">
      <c r="B71" s="5" t="s">
        <v>91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">
      <c r="B72" s="5" t="s">
        <v>92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">
      <c r="B73" s="5" t="s">
        <v>93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">
      <c r="B74" s="5" t="s">
        <v>94</v>
      </c>
      <c r="C74" s="6"/>
      <c r="D74" s="6"/>
      <c r="E74" s="6"/>
      <c r="F74" s="7">
        <f>3854.08</f>
        <v>3854.08</v>
      </c>
      <c r="G74" s="7">
        <f>7307.69</f>
        <v>7307.69</v>
      </c>
      <c r="H74" s="7">
        <f>7692.3</f>
        <v>7692.3</v>
      </c>
      <c r="I74" s="7">
        <f>16923.07</f>
        <v>16923.07</v>
      </c>
      <c r="J74" s="7">
        <f>23076.92</f>
        <v>23076.92</v>
      </c>
      <c r="K74" s="7">
        <f>23076.92</f>
        <v>23076.92</v>
      </c>
      <c r="L74" s="7">
        <f>37730.77</f>
        <v>37730.769999999997</v>
      </c>
      <c r="M74" s="7">
        <f>45536.53</f>
        <v>45536.53</v>
      </c>
      <c r="N74" s="7">
        <f>32000</f>
        <v>32000</v>
      </c>
    </row>
    <row r="75" spans="1:14" x14ac:dyDescent="0.2">
      <c r="B75" s="5" t="s">
        <v>95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7">
        <f>8500</f>
        <v>8500</v>
      </c>
    </row>
    <row r="76" spans="1:14" x14ac:dyDescent="0.2">
      <c r="B76" s="5" t="s">
        <v>96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7">
        <f>12498.75</f>
        <v>12498.75</v>
      </c>
      <c r="N76" s="7">
        <f>-10739</f>
        <v>-10739</v>
      </c>
    </row>
    <row r="77" spans="1:14" x14ac:dyDescent="0.2">
      <c r="B77" s="5" t="s">
        <v>97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7">
        <f>3785.29</f>
        <v>3785.29</v>
      </c>
    </row>
    <row r="78" spans="1:14" x14ac:dyDescent="0.2">
      <c r="B78" s="5" t="s">
        <v>98</v>
      </c>
      <c r="C78" s="8">
        <f t="shared" ref="C78:N78" si="14">((((C73)+(C74))+(C75))+(C76))+(C77)</f>
        <v>0</v>
      </c>
      <c r="D78" s="8">
        <f t="shared" si="14"/>
        <v>0</v>
      </c>
      <c r="E78" s="8">
        <f t="shared" si="14"/>
        <v>0</v>
      </c>
      <c r="F78" s="8">
        <f t="shared" si="14"/>
        <v>3854.08</v>
      </c>
      <c r="G78" s="8">
        <f t="shared" si="14"/>
        <v>7307.69</v>
      </c>
      <c r="H78" s="8">
        <f t="shared" si="14"/>
        <v>7692.3</v>
      </c>
      <c r="I78" s="8">
        <f t="shared" si="14"/>
        <v>16923.07</v>
      </c>
      <c r="J78" s="8">
        <f t="shared" si="14"/>
        <v>23076.92</v>
      </c>
      <c r="K78" s="8">
        <f t="shared" si="14"/>
        <v>23076.92</v>
      </c>
      <c r="L78" s="8">
        <f t="shared" si="14"/>
        <v>37730.769999999997</v>
      </c>
      <c r="M78" s="8">
        <f t="shared" si="14"/>
        <v>58035.28</v>
      </c>
      <c r="N78" s="8">
        <f t="shared" si="14"/>
        <v>33546.29</v>
      </c>
    </row>
    <row r="79" spans="1:14" x14ac:dyDescent="0.2">
      <c r="B79" s="5" t="s">
        <v>99</v>
      </c>
      <c r="C79" s="6"/>
      <c r="D79" s="6"/>
      <c r="E79" s="6"/>
      <c r="F79" s="7">
        <f>349.81</f>
        <v>349.81</v>
      </c>
      <c r="G79" s="7">
        <f>844.23</f>
        <v>844.23</v>
      </c>
      <c r="H79" s="7">
        <f>585.43</f>
        <v>585.42999999999995</v>
      </c>
      <c r="I79" s="7">
        <f>1470.82</f>
        <v>1470.82</v>
      </c>
      <c r="J79" s="7">
        <f>1812.81</f>
        <v>1812.81</v>
      </c>
      <c r="K79" s="7">
        <f>1754.16</f>
        <v>1754.16</v>
      </c>
      <c r="L79" s="7">
        <f>2942.53</f>
        <v>2942.53</v>
      </c>
      <c r="M79" s="7">
        <f>4747.5</f>
        <v>4747.5</v>
      </c>
      <c r="N79" s="7">
        <f>2739.79</f>
        <v>2739.79</v>
      </c>
    </row>
    <row r="80" spans="1:14" x14ac:dyDescent="0.2">
      <c r="B80" s="5" t="s">
        <v>100</v>
      </c>
      <c r="C80" s="6"/>
      <c r="D80" s="6"/>
      <c r="E80" s="6"/>
      <c r="F80" s="7">
        <f>901.22</f>
        <v>901.22</v>
      </c>
      <c r="G80" s="7">
        <f>356.46</f>
        <v>356.46</v>
      </c>
      <c r="H80" s="7">
        <f>356.46</f>
        <v>356.46</v>
      </c>
      <c r="I80" s="7">
        <f>356.46</f>
        <v>356.46</v>
      </c>
      <c r="J80" s="7">
        <f>356.46</f>
        <v>356.46</v>
      </c>
      <c r="K80" s="7">
        <f>1213.06</f>
        <v>1213.06</v>
      </c>
      <c r="L80" s="7">
        <f>1177.14</f>
        <v>1177.1400000000001</v>
      </c>
      <c r="M80" s="7">
        <f>941.55</f>
        <v>941.55</v>
      </c>
      <c r="N80" s="7">
        <f>2073.74</f>
        <v>2073.7399999999998</v>
      </c>
    </row>
    <row r="81" spans="2:14" x14ac:dyDescent="0.2">
      <c r="B81" s="5" t="s">
        <v>101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2:14" x14ac:dyDescent="0.2">
      <c r="B82" s="5" t="s">
        <v>102</v>
      </c>
      <c r="C82" s="8">
        <f t="shared" ref="C82:N82" si="15">((((C72)+(C78))+(C79))+(C80))+(C81)</f>
        <v>0</v>
      </c>
      <c r="D82" s="8">
        <f t="shared" si="15"/>
        <v>0</v>
      </c>
      <c r="E82" s="8">
        <f t="shared" si="15"/>
        <v>0</v>
      </c>
      <c r="F82" s="8">
        <f t="shared" si="15"/>
        <v>5105.1100000000006</v>
      </c>
      <c r="G82" s="8">
        <f t="shared" si="15"/>
        <v>8508.3799999999992</v>
      </c>
      <c r="H82" s="8">
        <f t="shared" si="15"/>
        <v>8634.1899999999987</v>
      </c>
      <c r="I82" s="8">
        <f t="shared" si="15"/>
        <v>18750.349999999999</v>
      </c>
      <c r="J82" s="8">
        <f t="shared" si="15"/>
        <v>25246.19</v>
      </c>
      <c r="K82" s="8">
        <f t="shared" si="15"/>
        <v>26044.14</v>
      </c>
      <c r="L82" s="8">
        <f t="shared" si="15"/>
        <v>41850.439999999995</v>
      </c>
      <c r="M82" s="8">
        <f t="shared" si="15"/>
        <v>63724.33</v>
      </c>
      <c r="N82" s="8">
        <f t="shared" si="15"/>
        <v>38359.82</v>
      </c>
    </row>
    <row r="83" spans="2:14" x14ac:dyDescent="0.2">
      <c r="B83" s="5" t="s">
        <v>103</v>
      </c>
      <c r="C83" s="6"/>
      <c r="D83" s="7">
        <f>5350</f>
        <v>5350</v>
      </c>
      <c r="E83" s="7">
        <f>4475</f>
        <v>4475</v>
      </c>
      <c r="F83" s="7">
        <f>10650</f>
        <v>10650</v>
      </c>
      <c r="G83" s="7">
        <f>2400</f>
        <v>2400</v>
      </c>
      <c r="H83" s="6"/>
      <c r="I83" s="7">
        <f>180</f>
        <v>180</v>
      </c>
      <c r="J83" s="6"/>
      <c r="K83" s="6"/>
      <c r="L83" s="7">
        <f>250</f>
        <v>250</v>
      </c>
      <c r="M83" s="6"/>
      <c r="N83" s="7">
        <f>2860</f>
        <v>2860</v>
      </c>
    </row>
    <row r="84" spans="2:14" x14ac:dyDescent="0.2">
      <c r="B84" s="5" t="s">
        <v>104</v>
      </c>
      <c r="C84" s="6"/>
      <c r="D84" s="6"/>
      <c r="E84" s="6"/>
      <c r="F84" s="6"/>
      <c r="G84" s="6"/>
      <c r="H84" s="6"/>
      <c r="I84" s="6"/>
      <c r="J84" s="6"/>
      <c r="K84" s="6"/>
      <c r="L84" s="7">
        <f>9258.2</f>
        <v>9258.2000000000007</v>
      </c>
      <c r="M84" s="7">
        <f>9584.56</f>
        <v>9584.56</v>
      </c>
      <c r="N84" s="7">
        <f>848</f>
        <v>848</v>
      </c>
    </row>
    <row r="85" spans="2:14" x14ac:dyDescent="0.2">
      <c r="B85" s="5" t="s">
        <v>105</v>
      </c>
      <c r="C85" s="6"/>
      <c r="D85" s="7">
        <f>61680.59</f>
        <v>61680.59</v>
      </c>
      <c r="E85" s="7">
        <f>46642</f>
        <v>46642</v>
      </c>
      <c r="F85" s="7">
        <f>8485.48</f>
        <v>8485.48</v>
      </c>
      <c r="G85" s="7">
        <f>24077.63</f>
        <v>24077.63</v>
      </c>
      <c r="H85" s="7">
        <f>4110.57</f>
        <v>4110.57</v>
      </c>
      <c r="I85" s="7">
        <f>5656.1</f>
        <v>5656.1</v>
      </c>
      <c r="J85" s="7">
        <f>1669.59</f>
        <v>1669.59</v>
      </c>
      <c r="K85" s="7">
        <f>3591.56</f>
        <v>3591.56</v>
      </c>
      <c r="L85" s="7">
        <f>269.38</f>
        <v>269.38</v>
      </c>
      <c r="M85" s="6"/>
      <c r="N85" s="6"/>
    </row>
    <row r="86" spans="2:14" x14ac:dyDescent="0.2">
      <c r="B86" s="5" t="s">
        <v>106</v>
      </c>
      <c r="C86" s="7">
        <f>1950</f>
        <v>1950</v>
      </c>
      <c r="D86" s="7">
        <f>11098</f>
        <v>11098</v>
      </c>
      <c r="E86" s="7">
        <f>105845</f>
        <v>105845</v>
      </c>
      <c r="F86" s="7">
        <f>24995</f>
        <v>24995</v>
      </c>
      <c r="G86" s="7">
        <f>48227.43</f>
        <v>48227.43</v>
      </c>
      <c r="H86" s="7">
        <f>18000</f>
        <v>18000</v>
      </c>
      <c r="I86" s="7">
        <f>45909</f>
        <v>45909</v>
      </c>
      <c r="J86" s="7">
        <f>119344</f>
        <v>119344</v>
      </c>
      <c r="K86" s="7">
        <f>52088</f>
        <v>52088</v>
      </c>
      <c r="L86" s="7">
        <f>1790</f>
        <v>1790</v>
      </c>
      <c r="M86" s="7">
        <f>112240</f>
        <v>112240</v>
      </c>
      <c r="N86" s="7">
        <f>-92805</f>
        <v>-92805</v>
      </c>
    </row>
    <row r="87" spans="2:14" x14ac:dyDescent="0.2">
      <c r="B87" s="5" t="s">
        <v>107</v>
      </c>
      <c r="C87" s="8">
        <f t="shared" ref="C87:N87" si="16">((C84)+(C85))+(C86)</f>
        <v>1950</v>
      </c>
      <c r="D87" s="8">
        <f t="shared" si="16"/>
        <v>72778.59</v>
      </c>
      <c r="E87" s="8">
        <f t="shared" si="16"/>
        <v>152487</v>
      </c>
      <c r="F87" s="8">
        <f t="shared" si="16"/>
        <v>33480.479999999996</v>
      </c>
      <c r="G87" s="8">
        <f t="shared" si="16"/>
        <v>72305.06</v>
      </c>
      <c r="H87" s="8">
        <f t="shared" si="16"/>
        <v>22110.57</v>
      </c>
      <c r="I87" s="8">
        <f t="shared" si="16"/>
        <v>51565.1</v>
      </c>
      <c r="J87" s="8">
        <f t="shared" si="16"/>
        <v>121013.59</v>
      </c>
      <c r="K87" s="8">
        <f t="shared" si="16"/>
        <v>55679.56</v>
      </c>
      <c r="L87" s="8">
        <f t="shared" si="16"/>
        <v>11317.58</v>
      </c>
      <c r="M87" s="8">
        <f t="shared" si="16"/>
        <v>121824.56</v>
      </c>
      <c r="N87" s="8">
        <f t="shared" si="16"/>
        <v>-91957</v>
      </c>
    </row>
    <row r="88" spans="2:14" x14ac:dyDescent="0.2">
      <c r="B88" s="5" t="s">
        <v>108</v>
      </c>
      <c r="C88" s="6"/>
      <c r="D88" s="6"/>
      <c r="E88" s="6"/>
      <c r="F88" s="6"/>
      <c r="G88" s="6"/>
      <c r="H88" s="7">
        <f>12500</f>
        <v>12500</v>
      </c>
      <c r="I88" s="6"/>
      <c r="J88" s="7">
        <f>8000</f>
        <v>8000</v>
      </c>
      <c r="K88" s="6"/>
      <c r="L88" s="7">
        <f>20500</f>
        <v>20500</v>
      </c>
      <c r="M88" s="7">
        <f>12452.96</f>
        <v>12452.96</v>
      </c>
      <c r="N88" s="7">
        <f>127.79</f>
        <v>127.79</v>
      </c>
    </row>
    <row r="89" spans="2:14" x14ac:dyDescent="0.2">
      <c r="B89" s="5" t="s">
        <v>109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2:14" x14ac:dyDescent="0.2">
      <c r="B90" s="5" t="s">
        <v>110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2:14" x14ac:dyDescent="0.2">
      <c r="B91" s="5" t="s">
        <v>111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2:14" x14ac:dyDescent="0.2">
      <c r="B92" s="5" t="s">
        <v>112</v>
      </c>
      <c r="C92" s="7">
        <f>4000</f>
        <v>4000</v>
      </c>
      <c r="D92" s="7">
        <f>7801.39</f>
        <v>7801.39</v>
      </c>
      <c r="E92" s="7">
        <f>53452.7</f>
        <v>53452.7</v>
      </c>
      <c r="F92" s="7">
        <f>6952.7</f>
        <v>6952.7</v>
      </c>
      <c r="G92" s="7">
        <f>6952.7</f>
        <v>6952.7</v>
      </c>
      <c r="H92" s="7">
        <f>6952.71</f>
        <v>6952.71</v>
      </c>
      <c r="I92" s="7">
        <f>5377.05</f>
        <v>5377.05</v>
      </c>
      <c r="J92" s="7">
        <f>5377.05</f>
        <v>5377.05</v>
      </c>
      <c r="K92" s="7">
        <f>25676.05</f>
        <v>25676.05</v>
      </c>
      <c r="L92" s="7">
        <f>5377.05</f>
        <v>5377.05</v>
      </c>
      <c r="M92" s="7">
        <f>5377.05</f>
        <v>5377.05</v>
      </c>
      <c r="N92" s="7">
        <f>44127.05</f>
        <v>44127.05</v>
      </c>
    </row>
    <row r="93" spans="2:14" x14ac:dyDescent="0.2">
      <c r="B93" s="5" t="s">
        <v>113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2:14" x14ac:dyDescent="0.2">
      <c r="B94" s="5" t="s">
        <v>114</v>
      </c>
      <c r="C94" s="6"/>
      <c r="D94" s="7">
        <f>1600</f>
        <v>1600</v>
      </c>
      <c r="E94" s="6"/>
      <c r="F94" s="6"/>
      <c r="G94" s="6"/>
      <c r="H94" s="6"/>
      <c r="I94" s="6"/>
      <c r="J94" s="6"/>
      <c r="K94" s="6"/>
      <c r="L94" s="6"/>
      <c r="M94" s="6"/>
      <c r="N94" s="7">
        <f>1337.5</f>
        <v>1337.5</v>
      </c>
    </row>
    <row r="95" spans="2:14" x14ac:dyDescent="0.2">
      <c r="B95" s="5" t="s">
        <v>115</v>
      </c>
      <c r="C95" s="6"/>
      <c r="D95" s="6"/>
      <c r="E95" s="6"/>
      <c r="F95" s="6"/>
      <c r="G95" s="6"/>
      <c r="H95" s="6"/>
      <c r="I95" s="7">
        <f>1000</f>
        <v>1000</v>
      </c>
      <c r="J95" s="7">
        <f>586.97</f>
        <v>586.97</v>
      </c>
      <c r="K95" s="6"/>
      <c r="L95" s="7">
        <f>3350</f>
        <v>3350</v>
      </c>
      <c r="M95" s="7">
        <f>4000</f>
        <v>4000</v>
      </c>
      <c r="N95" s="7">
        <f>6699.9</f>
        <v>6699.9</v>
      </c>
    </row>
    <row r="96" spans="2:14" x14ac:dyDescent="0.2">
      <c r="B96" s="5" t="s">
        <v>116</v>
      </c>
      <c r="C96" s="6"/>
      <c r="D96" s="6"/>
      <c r="E96" s="6"/>
      <c r="F96" s="6"/>
      <c r="G96" s="7">
        <f>43</f>
        <v>43</v>
      </c>
      <c r="H96" s="6"/>
      <c r="I96" s="6"/>
      <c r="J96" s="6"/>
      <c r="K96" s="6"/>
      <c r="L96" s="6"/>
      <c r="M96" s="7">
        <f>500</f>
        <v>500</v>
      </c>
      <c r="N96" s="6"/>
    </row>
    <row r="97" spans="1:14" x14ac:dyDescent="0.2">
      <c r="B97" s="5" t="s">
        <v>117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">
      <c r="B98" s="5" t="s">
        <v>118</v>
      </c>
      <c r="C98" s="8">
        <f t="shared" ref="C98:N98" si="17">((((C93)+(C94))+(C95))+(C96))+(C97)</f>
        <v>0</v>
      </c>
      <c r="D98" s="8">
        <f t="shared" si="17"/>
        <v>1600</v>
      </c>
      <c r="E98" s="8">
        <f t="shared" si="17"/>
        <v>0</v>
      </c>
      <c r="F98" s="8">
        <f t="shared" si="17"/>
        <v>0</v>
      </c>
      <c r="G98" s="8">
        <f t="shared" si="17"/>
        <v>43</v>
      </c>
      <c r="H98" s="8">
        <f t="shared" si="17"/>
        <v>0</v>
      </c>
      <c r="I98" s="8">
        <f t="shared" si="17"/>
        <v>1000</v>
      </c>
      <c r="J98" s="8">
        <f t="shared" si="17"/>
        <v>586.97</v>
      </c>
      <c r="K98" s="8">
        <f t="shared" si="17"/>
        <v>0</v>
      </c>
      <c r="L98" s="8">
        <f t="shared" si="17"/>
        <v>3350</v>
      </c>
      <c r="M98" s="8">
        <f t="shared" si="17"/>
        <v>4500</v>
      </c>
      <c r="N98" s="8">
        <f t="shared" si="17"/>
        <v>8037.4</v>
      </c>
    </row>
    <row r="99" spans="1:14" x14ac:dyDescent="0.2">
      <c r="B99" s="5" t="s">
        <v>119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">
      <c r="B100" s="5" t="s">
        <v>120</v>
      </c>
      <c r="C100" s="7">
        <f>8112.93</f>
        <v>8112.93</v>
      </c>
      <c r="D100" s="7">
        <f>2574</f>
        <v>2574</v>
      </c>
      <c r="E100" s="7">
        <f>1491.41</f>
        <v>1491.41</v>
      </c>
      <c r="F100" s="7">
        <f>2604</f>
        <v>2604</v>
      </c>
      <c r="G100" s="7">
        <f>964.89</f>
        <v>964.89</v>
      </c>
      <c r="H100" s="7">
        <f>3649.08</f>
        <v>3649.08</v>
      </c>
      <c r="I100" s="7">
        <f>218.51</f>
        <v>218.51</v>
      </c>
      <c r="J100" s="7">
        <f>1388.68</f>
        <v>1388.68</v>
      </c>
      <c r="K100" s="7">
        <f>3366.42</f>
        <v>3366.42</v>
      </c>
      <c r="L100" s="7">
        <f>465.62</f>
        <v>465.62</v>
      </c>
      <c r="M100" s="7">
        <f>3496.01</f>
        <v>3496.01</v>
      </c>
      <c r="N100" s="7">
        <f>4239.09</f>
        <v>4239.09</v>
      </c>
    </row>
    <row r="101" spans="1:14" x14ac:dyDescent="0.2">
      <c r="B101" s="5" t="s">
        <v>121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">
      <c r="B102" s="5" t="s">
        <v>122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">
      <c r="B103" s="5" t="s">
        <v>123</v>
      </c>
      <c r="C103" s="7">
        <f>2807.1</f>
        <v>2807.1</v>
      </c>
      <c r="D103" s="7">
        <f>2811.59</f>
        <v>2811.59</v>
      </c>
      <c r="E103" s="7">
        <f>17378.31</f>
        <v>17378.310000000001</v>
      </c>
      <c r="F103" s="7">
        <f>4256.55</f>
        <v>4256.55</v>
      </c>
      <c r="G103" s="7">
        <f>7398.07</f>
        <v>7398.07</v>
      </c>
      <c r="H103" s="7">
        <f>9395.97</f>
        <v>9395.9699999999993</v>
      </c>
      <c r="I103" s="7">
        <f>2373.81</f>
        <v>2373.81</v>
      </c>
      <c r="J103" s="7">
        <f>5932.19</f>
        <v>5932.19</v>
      </c>
      <c r="K103" s="7">
        <f>6946.52</f>
        <v>6946.52</v>
      </c>
      <c r="L103" s="7">
        <f>8646.31</f>
        <v>8646.31</v>
      </c>
      <c r="M103" s="7">
        <f>2296.17</f>
        <v>2296.17</v>
      </c>
      <c r="N103" s="7">
        <f>94.13</f>
        <v>94.13</v>
      </c>
    </row>
    <row r="104" spans="1:14" x14ac:dyDescent="0.2">
      <c r="B104" s="5" t="s">
        <v>124</v>
      </c>
      <c r="C104" s="7">
        <f>6747.92</f>
        <v>6747.92</v>
      </c>
      <c r="D104" s="7">
        <f>945.11</f>
        <v>945.11</v>
      </c>
      <c r="E104" s="7">
        <f>18801.47</f>
        <v>18801.47</v>
      </c>
      <c r="F104" s="7">
        <f>4785.79</f>
        <v>4785.79</v>
      </c>
      <c r="G104" s="7">
        <f>6209.95</f>
        <v>6209.95</v>
      </c>
      <c r="H104" s="7">
        <f>11151.92</f>
        <v>11151.92</v>
      </c>
      <c r="I104" s="7">
        <f>1449.2</f>
        <v>1449.2</v>
      </c>
      <c r="J104" s="7">
        <f>5691.72</f>
        <v>5691.72</v>
      </c>
      <c r="K104" s="7">
        <f>3533.28</f>
        <v>3533.28</v>
      </c>
      <c r="L104" s="7">
        <f>10440.96</f>
        <v>10440.959999999999</v>
      </c>
      <c r="M104" s="7">
        <f>2493.72</f>
        <v>2493.7199999999998</v>
      </c>
      <c r="N104" s="7">
        <f>5061.28</f>
        <v>5061.28</v>
      </c>
    </row>
    <row r="105" spans="1:14" x14ac:dyDescent="0.2">
      <c r="B105" s="5" t="s">
        <v>125</v>
      </c>
      <c r="C105" s="7">
        <f>602.65</f>
        <v>602.65</v>
      </c>
      <c r="D105" s="7">
        <f>257.6</f>
        <v>257.60000000000002</v>
      </c>
      <c r="E105" s="7">
        <f>7092.22</f>
        <v>7092.22</v>
      </c>
      <c r="F105" s="7">
        <f>3803.28</f>
        <v>3803.28</v>
      </c>
      <c r="G105" s="7">
        <f>1225.01</f>
        <v>1225.01</v>
      </c>
      <c r="H105" s="7">
        <f>2853.97</f>
        <v>2853.97</v>
      </c>
      <c r="I105" s="6"/>
      <c r="J105" s="7">
        <f>1181.22</f>
        <v>1181.22</v>
      </c>
      <c r="K105" s="7">
        <f>410.57</f>
        <v>410.57</v>
      </c>
      <c r="L105" s="7">
        <f>1294.12</f>
        <v>1294.1199999999999</v>
      </c>
      <c r="M105" s="7">
        <f>93.68</f>
        <v>93.68</v>
      </c>
      <c r="N105" s="6"/>
    </row>
    <row r="106" spans="1:14" x14ac:dyDescent="0.2">
      <c r="B106" s="5" t="s">
        <v>126</v>
      </c>
      <c r="C106" s="6"/>
      <c r="D106" s="7">
        <f>3847.46</f>
        <v>3847.46</v>
      </c>
      <c r="E106" s="7">
        <f>7.98</f>
        <v>7.98</v>
      </c>
      <c r="F106" s="7">
        <f>625</f>
        <v>625</v>
      </c>
      <c r="G106" s="7">
        <f>1327.4</f>
        <v>1327.4</v>
      </c>
      <c r="H106" s="7">
        <f>2923.65</f>
        <v>2923.65</v>
      </c>
      <c r="I106" s="6"/>
      <c r="J106" s="7">
        <f>213.79</f>
        <v>213.79</v>
      </c>
      <c r="K106" s="7">
        <f>1165.87</f>
        <v>1165.8699999999999</v>
      </c>
      <c r="L106" s="7">
        <f>974.57</f>
        <v>974.57</v>
      </c>
      <c r="M106" s="6"/>
      <c r="N106" s="6"/>
    </row>
    <row r="107" spans="1:14" x14ac:dyDescent="0.2">
      <c r="B107" s="5" t="s">
        <v>127</v>
      </c>
      <c r="C107" s="8">
        <f t="shared" ref="C107:N107" si="18">((((C102)+(C103))+(C104))+(C105))+(C106)</f>
        <v>10157.67</v>
      </c>
      <c r="D107" s="8">
        <f t="shared" si="18"/>
        <v>7861.76</v>
      </c>
      <c r="E107" s="8">
        <f t="shared" si="18"/>
        <v>43279.98</v>
      </c>
      <c r="F107" s="8">
        <f t="shared" si="18"/>
        <v>13470.62</v>
      </c>
      <c r="G107" s="8">
        <f t="shared" si="18"/>
        <v>16160.43</v>
      </c>
      <c r="H107" s="8">
        <f t="shared" si="18"/>
        <v>26325.510000000002</v>
      </c>
      <c r="I107" s="8">
        <f t="shared" si="18"/>
        <v>3823.01</v>
      </c>
      <c r="J107" s="8">
        <f t="shared" si="18"/>
        <v>13018.92</v>
      </c>
      <c r="K107" s="8">
        <f t="shared" si="18"/>
        <v>12056.240000000002</v>
      </c>
      <c r="L107" s="8">
        <f t="shared" si="18"/>
        <v>21355.959999999995</v>
      </c>
      <c r="M107" s="8">
        <f t="shared" si="18"/>
        <v>4883.57</v>
      </c>
      <c r="N107" s="8">
        <f t="shared" si="18"/>
        <v>5155.41</v>
      </c>
    </row>
    <row r="108" spans="1:14" x14ac:dyDescent="0.2">
      <c r="B108" s="5" t="s">
        <v>128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">
      <c r="B109" s="5" t="s">
        <v>129</v>
      </c>
      <c r="C109" s="6"/>
      <c r="D109" s="6"/>
      <c r="E109" s="6"/>
      <c r="F109" s="6"/>
      <c r="G109" s="6"/>
      <c r="H109" s="7">
        <f>2770</f>
        <v>2770</v>
      </c>
      <c r="I109" s="7">
        <f>520</f>
        <v>520</v>
      </c>
      <c r="J109" s="7">
        <f>520</f>
        <v>520</v>
      </c>
      <c r="K109" s="7">
        <f>2995</f>
        <v>2995</v>
      </c>
      <c r="L109" s="7">
        <f>520</f>
        <v>520</v>
      </c>
      <c r="M109" s="7">
        <f>520</f>
        <v>520</v>
      </c>
      <c r="N109" s="7">
        <f>520</f>
        <v>520</v>
      </c>
    </row>
    <row r="110" spans="1:14" x14ac:dyDescent="0.2">
      <c r="B110" s="5" t="s">
        <v>130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">
      <c r="B111" s="5" t="s">
        <v>131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">
      <c r="A112" s="13" t="s">
        <v>8</v>
      </c>
      <c r="B112" s="16" t="s">
        <v>132</v>
      </c>
      <c r="C112" s="8">
        <f t="shared" ref="C112:N112" si="19">(((((((((((((((((C71)+(C82))+(C83))+(C87))+(C88))+(C89))+(C90))+(C91))+(C92))+(C98))+(C99))+(C100))+(C101))+(C107))+(C108))+(C109))+(C110))+(C111)</f>
        <v>24220.6</v>
      </c>
      <c r="D112" s="8">
        <f t="shared" si="19"/>
        <v>97965.739999999991</v>
      </c>
      <c r="E112" s="8">
        <f t="shared" si="19"/>
        <v>255186.09000000003</v>
      </c>
      <c r="F112" s="8">
        <f t="shared" si="19"/>
        <v>72262.909999999989</v>
      </c>
      <c r="G112" s="8">
        <f t="shared" si="19"/>
        <v>107334.45999999999</v>
      </c>
      <c r="H112" s="8">
        <f t="shared" si="19"/>
        <v>82942.06</v>
      </c>
      <c r="I112" s="8">
        <f t="shared" si="19"/>
        <v>81434.01999999999</v>
      </c>
      <c r="J112" s="8">
        <f t="shared" si="19"/>
        <v>175151.4</v>
      </c>
      <c r="K112" s="8">
        <f t="shared" si="19"/>
        <v>125817.41</v>
      </c>
      <c r="L112" s="8">
        <f t="shared" si="19"/>
        <v>104986.64999999998</v>
      </c>
      <c r="M112" s="8">
        <f t="shared" si="19"/>
        <v>216778.48</v>
      </c>
      <c r="N112" s="8">
        <f t="shared" si="19"/>
        <v>11469.560000000003</v>
      </c>
    </row>
    <row r="113" spans="2:14" x14ac:dyDescent="0.2">
      <c r="B113" s="5" t="s">
        <v>133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2:14" x14ac:dyDescent="0.2">
      <c r="B114" s="5" t="s">
        <v>134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2:14" x14ac:dyDescent="0.2">
      <c r="B115" s="5" t="s">
        <v>135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2:14" x14ac:dyDescent="0.2">
      <c r="B116" s="5" t="s">
        <v>136</v>
      </c>
      <c r="C116" s="7">
        <f>74605.77</f>
        <v>74605.77</v>
      </c>
      <c r="D116" s="7">
        <f>101807.7</f>
        <v>101807.7</v>
      </c>
      <c r="E116" s="7">
        <f>103173.09</f>
        <v>103173.09</v>
      </c>
      <c r="F116" s="7">
        <f>120000.01</f>
        <v>120000.01</v>
      </c>
      <c r="G116" s="7">
        <f>260239.79</f>
        <v>260239.79</v>
      </c>
      <c r="H116" s="7">
        <f>191759.41</f>
        <v>191759.41</v>
      </c>
      <c r="I116" s="7">
        <f>188163.5</f>
        <v>188163.5</v>
      </c>
      <c r="J116" s="7">
        <f>190000.04</f>
        <v>190000.04</v>
      </c>
      <c r="K116" s="7">
        <f>182692.35</f>
        <v>182692.35</v>
      </c>
      <c r="L116" s="7">
        <f>301096.21</f>
        <v>301096.21000000002</v>
      </c>
      <c r="M116" s="7">
        <f>238057.72</f>
        <v>238057.72</v>
      </c>
      <c r="N116" s="7">
        <f>353942.07</f>
        <v>353942.07</v>
      </c>
    </row>
    <row r="117" spans="2:14" x14ac:dyDescent="0.2">
      <c r="B117" s="5" t="s">
        <v>137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7">
        <f>28500</f>
        <v>28500</v>
      </c>
    </row>
    <row r="118" spans="2:14" x14ac:dyDescent="0.2">
      <c r="B118" s="5" t="s">
        <v>138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7">
        <f>44995.5</f>
        <v>44995.5</v>
      </c>
      <c r="N118" s="7">
        <f>-27288.5</f>
        <v>-27288.5</v>
      </c>
    </row>
    <row r="119" spans="2:14" x14ac:dyDescent="0.2">
      <c r="B119" s="5" t="s">
        <v>139</v>
      </c>
      <c r="C119" s="7">
        <f>-10592.98</f>
        <v>-10592.98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7">
        <f>18275.01</f>
        <v>18275.009999999998</v>
      </c>
    </row>
    <row r="120" spans="2:14" x14ac:dyDescent="0.2">
      <c r="B120" s="5" t="s">
        <v>140</v>
      </c>
      <c r="C120" s="8">
        <f t="shared" ref="C120:N120" si="20">((((C115)+(C116))+(C117))+(C118))+(C119)</f>
        <v>64012.790000000008</v>
      </c>
      <c r="D120" s="8">
        <f t="shared" si="20"/>
        <v>101807.7</v>
      </c>
      <c r="E120" s="8">
        <f t="shared" si="20"/>
        <v>103173.09</v>
      </c>
      <c r="F120" s="8">
        <f t="shared" si="20"/>
        <v>120000.01</v>
      </c>
      <c r="G120" s="8">
        <f t="shared" si="20"/>
        <v>260239.79</v>
      </c>
      <c r="H120" s="8">
        <f t="shared" si="20"/>
        <v>191759.41</v>
      </c>
      <c r="I120" s="8">
        <f t="shared" si="20"/>
        <v>188163.5</v>
      </c>
      <c r="J120" s="8">
        <f t="shared" si="20"/>
        <v>190000.04</v>
      </c>
      <c r="K120" s="8">
        <f t="shared" si="20"/>
        <v>182692.35</v>
      </c>
      <c r="L120" s="8">
        <f t="shared" si="20"/>
        <v>301096.21000000002</v>
      </c>
      <c r="M120" s="8">
        <f t="shared" si="20"/>
        <v>283053.21999999997</v>
      </c>
      <c r="N120" s="8">
        <f t="shared" si="20"/>
        <v>373428.58</v>
      </c>
    </row>
    <row r="121" spans="2:14" x14ac:dyDescent="0.2">
      <c r="B121" s="5" t="s">
        <v>141</v>
      </c>
      <c r="C121" s="7">
        <f>9277.27</f>
        <v>9277.27</v>
      </c>
      <c r="D121" s="7">
        <f>14221.2</f>
        <v>14221.2</v>
      </c>
      <c r="E121" s="7">
        <f>13845.67</f>
        <v>13845.67</v>
      </c>
      <c r="F121" s="7">
        <f>11989.15</f>
        <v>11989.15</v>
      </c>
      <c r="G121" s="7">
        <f>25561.41</f>
        <v>25561.41</v>
      </c>
      <c r="H121" s="7">
        <f>16819.6</f>
        <v>16819.599999999999</v>
      </c>
      <c r="I121" s="7">
        <f>15427.84</f>
        <v>15427.84</v>
      </c>
      <c r="J121" s="7">
        <f>15324.07</f>
        <v>15324.07</v>
      </c>
      <c r="K121" s="7">
        <f>14925.75</f>
        <v>14925.75</v>
      </c>
      <c r="L121" s="7">
        <f>23123.94</f>
        <v>23123.94</v>
      </c>
      <c r="M121" s="7">
        <f>29483.13</f>
        <v>29483.13</v>
      </c>
      <c r="N121" s="7">
        <f>31374.84</f>
        <v>31374.84</v>
      </c>
    </row>
    <row r="122" spans="2:14" x14ac:dyDescent="0.2">
      <c r="B122" s="5" t="s">
        <v>142</v>
      </c>
      <c r="C122" s="7">
        <f>4054.52</f>
        <v>4054.52</v>
      </c>
      <c r="D122" s="7">
        <f>7793.24</f>
        <v>7793.24</v>
      </c>
      <c r="E122" s="7">
        <f>6586.63</f>
        <v>6586.63</v>
      </c>
      <c r="F122" s="7">
        <f>10777.24</f>
        <v>10777.24</v>
      </c>
      <c r="G122" s="7">
        <f>19598.94</f>
        <v>19598.939999999999</v>
      </c>
      <c r="H122" s="7">
        <f>18220.78</f>
        <v>18220.78</v>
      </c>
      <c r="I122" s="7">
        <f>16911.9</f>
        <v>16911.900000000001</v>
      </c>
      <c r="J122" s="7">
        <f>17018.12</f>
        <v>17018.12</v>
      </c>
      <c r="K122" s="7">
        <f>19379.96</f>
        <v>19379.96</v>
      </c>
      <c r="L122" s="7">
        <f>27664.68</f>
        <v>27664.68</v>
      </c>
      <c r="M122" s="7">
        <f>19882.83</f>
        <v>19882.830000000002</v>
      </c>
      <c r="N122" s="7">
        <f>30929.01</f>
        <v>30929.01</v>
      </c>
    </row>
    <row r="123" spans="2:14" x14ac:dyDescent="0.2">
      <c r="B123" s="5" t="s">
        <v>143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2:14" x14ac:dyDescent="0.2">
      <c r="B124" s="5" t="s">
        <v>144</v>
      </c>
      <c r="C124" s="8">
        <f t="shared" ref="C124:N124" si="21">((((C114)+(C120))+(C121))+(C122))+(C123)</f>
        <v>77344.580000000016</v>
      </c>
      <c r="D124" s="8">
        <f t="shared" si="21"/>
        <v>123822.14</v>
      </c>
      <c r="E124" s="8">
        <f t="shared" si="21"/>
        <v>123605.39</v>
      </c>
      <c r="F124" s="8">
        <f t="shared" si="21"/>
        <v>142766.39999999999</v>
      </c>
      <c r="G124" s="8">
        <f t="shared" si="21"/>
        <v>305400.14</v>
      </c>
      <c r="H124" s="8">
        <f t="shared" si="21"/>
        <v>226799.79</v>
      </c>
      <c r="I124" s="8">
        <f t="shared" si="21"/>
        <v>220503.24</v>
      </c>
      <c r="J124" s="8">
        <f t="shared" si="21"/>
        <v>222342.23</v>
      </c>
      <c r="K124" s="8">
        <f t="shared" si="21"/>
        <v>216998.06</v>
      </c>
      <c r="L124" s="8">
        <f t="shared" si="21"/>
        <v>351884.83</v>
      </c>
      <c r="M124" s="8">
        <f t="shared" si="21"/>
        <v>332419.18</v>
      </c>
      <c r="N124" s="8">
        <f t="shared" si="21"/>
        <v>435732.43000000005</v>
      </c>
    </row>
    <row r="125" spans="2:14" x14ac:dyDescent="0.2">
      <c r="B125" s="5" t="s">
        <v>145</v>
      </c>
      <c r="C125" s="7">
        <f>0</f>
        <v>0</v>
      </c>
      <c r="D125" s="7">
        <f>77664.26</f>
        <v>77664.259999999995</v>
      </c>
      <c r="E125" s="7">
        <f>77219.19</f>
        <v>77219.19</v>
      </c>
      <c r="F125" s="7">
        <f>22578.86</f>
        <v>22578.86</v>
      </c>
      <c r="G125" s="7">
        <f>49315.18</f>
        <v>49315.18</v>
      </c>
      <c r="H125" s="7">
        <f>83851.51</f>
        <v>83851.509999999995</v>
      </c>
      <c r="I125" s="7">
        <f>40267.92</f>
        <v>40267.919999999998</v>
      </c>
      <c r="J125" s="7">
        <f>42766.92</f>
        <v>42766.92</v>
      </c>
      <c r="K125" s="7">
        <f>173843.48</f>
        <v>173843.48</v>
      </c>
      <c r="L125" s="7">
        <f>203411.04</f>
        <v>203411.04</v>
      </c>
      <c r="M125" s="7">
        <f>355326.72</f>
        <v>355326.71999999997</v>
      </c>
      <c r="N125" s="7">
        <f>379302.35</f>
        <v>379302.35</v>
      </c>
    </row>
    <row r="126" spans="2:14" x14ac:dyDescent="0.2">
      <c r="B126" s="5" t="s">
        <v>146</v>
      </c>
      <c r="C126" s="6"/>
      <c r="D126" s="6"/>
      <c r="E126" s="6"/>
      <c r="F126" s="7">
        <f>20000</f>
        <v>20000</v>
      </c>
      <c r="G126" s="7">
        <f>15505</f>
        <v>15505</v>
      </c>
      <c r="H126" s="7">
        <f>7425</f>
        <v>7425</v>
      </c>
      <c r="I126" s="6"/>
      <c r="J126" s="6"/>
      <c r="K126" s="7">
        <f>20000</f>
        <v>20000</v>
      </c>
      <c r="L126" s="6"/>
      <c r="M126" s="7">
        <f>5093.57</f>
        <v>5093.57</v>
      </c>
      <c r="N126" s="7">
        <f>18000</f>
        <v>18000</v>
      </c>
    </row>
    <row r="127" spans="2:14" x14ac:dyDescent="0.2">
      <c r="B127" s="5" t="s">
        <v>147</v>
      </c>
      <c r="C127" s="7">
        <f>0</f>
        <v>0</v>
      </c>
      <c r="D127" s="6"/>
      <c r="E127" s="6"/>
      <c r="F127" s="7">
        <f>2750</f>
        <v>2750</v>
      </c>
      <c r="G127" s="7">
        <f>2000</f>
        <v>2000</v>
      </c>
      <c r="H127" s="7">
        <f>4000</f>
        <v>4000</v>
      </c>
      <c r="I127" s="7">
        <f>12600</f>
        <v>12600</v>
      </c>
      <c r="J127" s="7">
        <f>4800</f>
        <v>4800</v>
      </c>
      <c r="K127" s="7">
        <f>3000</f>
        <v>3000</v>
      </c>
      <c r="L127" s="7">
        <f>1000</f>
        <v>1000</v>
      </c>
      <c r="M127" s="7">
        <f>2000</f>
        <v>2000</v>
      </c>
      <c r="N127" s="7">
        <f>11600</f>
        <v>11600</v>
      </c>
    </row>
    <row r="128" spans="2:14" x14ac:dyDescent="0.2">
      <c r="B128" s="5" t="s">
        <v>148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2:14" x14ac:dyDescent="0.2">
      <c r="B129" s="5" t="s">
        <v>149</v>
      </c>
      <c r="C129" s="7">
        <f>138.03</f>
        <v>138.03</v>
      </c>
      <c r="D129" s="6"/>
      <c r="E129" s="6"/>
      <c r="F129" s="6"/>
      <c r="G129" s="7">
        <f>40.01</f>
        <v>40.01</v>
      </c>
      <c r="H129" s="6"/>
      <c r="I129" s="6"/>
      <c r="J129" s="6"/>
      <c r="K129" s="7">
        <f>74.94</f>
        <v>74.94</v>
      </c>
      <c r="L129" s="7">
        <f>1544.39</f>
        <v>1544.39</v>
      </c>
      <c r="M129" s="7">
        <f>10729.42</f>
        <v>10729.42</v>
      </c>
      <c r="N129" s="7">
        <f>434.28</f>
        <v>434.28</v>
      </c>
    </row>
    <row r="130" spans="2:14" x14ac:dyDescent="0.2">
      <c r="B130" s="5" t="s">
        <v>150</v>
      </c>
      <c r="C130" s="7">
        <f>341.6</f>
        <v>341.6</v>
      </c>
      <c r="D130" s="7">
        <f>312.22</f>
        <v>312.22000000000003</v>
      </c>
      <c r="E130" s="6"/>
      <c r="F130" s="7">
        <f>92.71</f>
        <v>92.71</v>
      </c>
      <c r="G130" s="6"/>
      <c r="H130" s="7">
        <f>364.66</f>
        <v>364.66</v>
      </c>
      <c r="I130" s="7">
        <f>81.94</f>
        <v>81.94</v>
      </c>
      <c r="J130" s="7">
        <f>240.96</f>
        <v>240.96</v>
      </c>
      <c r="K130" s="6"/>
      <c r="L130" s="7">
        <f>260</f>
        <v>260</v>
      </c>
      <c r="M130" s="6"/>
      <c r="N130" s="6"/>
    </row>
    <row r="131" spans="2:14" x14ac:dyDescent="0.2">
      <c r="B131" s="5" t="s">
        <v>151</v>
      </c>
      <c r="C131" s="7">
        <f>8329.17</f>
        <v>8329.17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7">
        <f>1665.83</f>
        <v>1665.83</v>
      </c>
    </row>
    <row r="132" spans="2:14" x14ac:dyDescent="0.2">
      <c r="B132" s="5" t="s">
        <v>152</v>
      </c>
      <c r="C132" s="7">
        <f>59.99</f>
        <v>59.99</v>
      </c>
      <c r="D132" s="7">
        <f>2083.33</f>
        <v>2083.33</v>
      </c>
      <c r="E132" s="7">
        <f>2203.28</f>
        <v>2203.2800000000002</v>
      </c>
      <c r="F132" s="7">
        <f>3033.42</f>
        <v>3033.42</v>
      </c>
      <c r="G132" s="7">
        <f>7863.07</f>
        <v>7863.07</v>
      </c>
      <c r="H132" s="7">
        <f>2363.49</f>
        <v>2363.4899999999998</v>
      </c>
      <c r="I132" s="7">
        <f>2283.5</f>
        <v>2283.5</v>
      </c>
      <c r="J132" s="7">
        <f>2310.58</f>
        <v>2310.58</v>
      </c>
      <c r="K132" s="7">
        <f>2700.48</f>
        <v>2700.48</v>
      </c>
      <c r="L132" s="7">
        <f>5023.48</f>
        <v>5023.4799999999996</v>
      </c>
      <c r="M132" s="7">
        <f>2495.29</f>
        <v>2495.29</v>
      </c>
      <c r="N132" s="7">
        <f>5205.55</f>
        <v>5205.55</v>
      </c>
    </row>
    <row r="133" spans="2:14" x14ac:dyDescent="0.2">
      <c r="B133" s="5" t="s">
        <v>153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2:14" x14ac:dyDescent="0.2">
      <c r="B134" s="5" t="s">
        <v>154</v>
      </c>
      <c r="C134" s="7">
        <f>10733.29</f>
        <v>10733.29</v>
      </c>
      <c r="D134" s="7">
        <f>23060.45</f>
        <v>23060.45</v>
      </c>
      <c r="E134" s="7">
        <f>8721.74</f>
        <v>8721.74</v>
      </c>
      <c r="F134" s="7">
        <f>23636.49</f>
        <v>23636.49</v>
      </c>
      <c r="G134" s="7">
        <f>27708.3</f>
        <v>27708.3</v>
      </c>
      <c r="H134" s="7">
        <f>25903.39</f>
        <v>25903.39</v>
      </c>
      <c r="I134" s="7">
        <f>16907.98</f>
        <v>16907.98</v>
      </c>
      <c r="J134" s="7">
        <f>23759.44</f>
        <v>23759.439999999999</v>
      </c>
      <c r="K134" s="7">
        <f>29770.21</f>
        <v>29770.21</v>
      </c>
      <c r="L134" s="7">
        <f>40865.64</f>
        <v>40865.64</v>
      </c>
      <c r="M134" s="7">
        <f>23398.14</f>
        <v>23398.14</v>
      </c>
      <c r="N134" s="7">
        <f>22923.27</f>
        <v>22923.27</v>
      </c>
    </row>
    <row r="135" spans="2:14" x14ac:dyDescent="0.2">
      <c r="B135" s="5" t="s">
        <v>155</v>
      </c>
      <c r="C135" s="7">
        <f>1432.49</f>
        <v>1432.49</v>
      </c>
      <c r="D135" s="7">
        <f>5923.52</f>
        <v>5923.52</v>
      </c>
      <c r="E135" s="7">
        <f>1982.43</f>
        <v>1982.43</v>
      </c>
      <c r="F135" s="7">
        <f>9304.55</f>
        <v>9304.5499999999993</v>
      </c>
      <c r="G135" s="7">
        <f>8017.84</f>
        <v>8017.84</v>
      </c>
      <c r="H135" s="7">
        <f>11561.92</f>
        <v>11561.92</v>
      </c>
      <c r="I135" s="7">
        <f>2588.47</f>
        <v>2588.4699999999998</v>
      </c>
      <c r="J135" s="7">
        <f>6665.36</f>
        <v>6665.36</v>
      </c>
      <c r="K135" s="7">
        <f>6270.48</f>
        <v>6270.48</v>
      </c>
      <c r="L135" s="7">
        <f>12074.38</f>
        <v>12074.38</v>
      </c>
      <c r="M135" s="7">
        <f>8172.06</f>
        <v>8172.06</v>
      </c>
      <c r="N135" s="7">
        <f>4829.87</f>
        <v>4829.87</v>
      </c>
    </row>
    <row r="136" spans="2:14" x14ac:dyDescent="0.2">
      <c r="B136" s="5" t="s">
        <v>156</v>
      </c>
      <c r="C136" s="7">
        <f>1021.19</f>
        <v>1021.19</v>
      </c>
      <c r="D136" s="7">
        <f>2347.36</f>
        <v>2347.36</v>
      </c>
      <c r="E136" s="7">
        <f>403.69</f>
        <v>403.69</v>
      </c>
      <c r="F136" s="7">
        <f>3233.53</f>
        <v>3233.53</v>
      </c>
      <c r="G136" s="7">
        <f>2431.69</f>
        <v>2431.69</v>
      </c>
      <c r="H136" s="7">
        <f>2974.92</f>
        <v>2974.92</v>
      </c>
      <c r="I136" s="7">
        <f>2447.79</f>
        <v>2447.79</v>
      </c>
      <c r="J136" s="7">
        <f>1680</f>
        <v>1680</v>
      </c>
      <c r="K136" s="7">
        <f>2721.88</f>
        <v>2721.88</v>
      </c>
      <c r="L136" s="7">
        <f>2867.26</f>
        <v>2867.26</v>
      </c>
      <c r="M136" s="7">
        <f>2600.45</f>
        <v>2600.4499999999998</v>
      </c>
      <c r="N136" s="7">
        <f>2490.21</f>
        <v>2490.21</v>
      </c>
    </row>
    <row r="137" spans="2:14" x14ac:dyDescent="0.2">
      <c r="B137" s="5" t="s">
        <v>157</v>
      </c>
      <c r="C137" s="8">
        <f t="shared" ref="C137:N137" si="22">(((C133)+(C134))+(C135))+(C136)</f>
        <v>13186.970000000001</v>
      </c>
      <c r="D137" s="8">
        <f t="shared" si="22"/>
        <v>31331.33</v>
      </c>
      <c r="E137" s="8">
        <f t="shared" si="22"/>
        <v>11107.86</v>
      </c>
      <c r="F137" s="8">
        <f t="shared" si="22"/>
        <v>36174.57</v>
      </c>
      <c r="G137" s="8">
        <f t="shared" si="22"/>
        <v>38157.83</v>
      </c>
      <c r="H137" s="8">
        <f t="shared" si="22"/>
        <v>40440.229999999996</v>
      </c>
      <c r="I137" s="8">
        <f t="shared" si="22"/>
        <v>21944.240000000002</v>
      </c>
      <c r="J137" s="8">
        <f t="shared" si="22"/>
        <v>32104.799999999999</v>
      </c>
      <c r="K137" s="8">
        <f t="shared" si="22"/>
        <v>38762.57</v>
      </c>
      <c r="L137" s="8">
        <f t="shared" si="22"/>
        <v>55807.28</v>
      </c>
      <c r="M137" s="8">
        <f t="shared" si="22"/>
        <v>34170.65</v>
      </c>
      <c r="N137" s="8">
        <f t="shared" si="22"/>
        <v>30243.35</v>
      </c>
    </row>
    <row r="138" spans="2:14" x14ac:dyDescent="0.2">
      <c r="B138" s="5" t="s">
        <v>158</v>
      </c>
      <c r="C138" s="7">
        <f>2738.88</f>
        <v>2738.88</v>
      </c>
      <c r="D138" s="7">
        <f>1165.88</f>
        <v>1165.8800000000001</v>
      </c>
      <c r="E138" s="7">
        <f>3264.76</f>
        <v>3264.76</v>
      </c>
      <c r="F138" s="7">
        <f>2494.57</f>
        <v>2494.5700000000002</v>
      </c>
      <c r="G138" s="7">
        <f>5410.36</f>
        <v>5410.36</v>
      </c>
      <c r="H138" s="7">
        <f>3496.8</f>
        <v>3496.8</v>
      </c>
      <c r="I138" s="7">
        <f>3486.18</f>
        <v>3486.18</v>
      </c>
      <c r="J138" s="7">
        <f>5430.17</f>
        <v>5430.17</v>
      </c>
      <c r="K138" s="7">
        <f>3244.19</f>
        <v>3244.19</v>
      </c>
      <c r="L138" s="7">
        <f>7186.89</f>
        <v>7186.89</v>
      </c>
      <c r="M138" s="7">
        <f>5604.99</f>
        <v>5604.99</v>
      </c>
      <c r="N138" s="7">
        <f>8198.38</f>
        <v>8198.3799999999992</v>
      </c>
    </row>
    <row r="139" spans="2:14" x14ac:dyDescent="0.2">
      <c r="B139" s="5" t="s">
        <v>159</v>
      </c>
      <c r="C139" s="6"/>
      <c r="D139" s="6"/>
      <c r="E139" s="6"/>
      <c r="F139" s="7">
        <f>92912.33</f>
        <v>92912.33</v>
      </c>
      <c r="G139" s="7">
        <f>53000</f>
        <v>53000</v>
      </c>
      <c r="H139" s="7">
        <f>28000</f>
        <v>28000</v>
      </c>
      <c r="I139" s="6"/>
      <c r="J139" s="6"/>
      <c r="K139" s="6"/>
      <c r="L139" s="7">
        <f>21000</f>
        <v>21000</v>
      </c>
      <c r="M139" s="7">
        <f>103000</f>
        <v>103000</v>
      </c>
      <c r="N139" s="7">
        <f>99527.68</f>
        <v>99527.679999999993</v>
      </c>
    </row>
    <row r="140" spans="2:14" x14ac:dyDescent="0.2">
      <c r="B140" s="5" t="s">
        <v>160</v>
      </c>
      <c r="C140" s="6"/>
      <c r="D140" s="7">
        <f>1000</f>
        <v>1000</v>
      </c>
      <c r="E140" s="7">
        <f>1895</f>
        <v>1895</v>
      </c>
      <c r="F140" s="6"/>
      <c r="G140" s="7">
        <f>1500</f>
        <v>1500</v>
      </c>
      <c r="H140" s="6"/>
      <c r="I140" s="6"/>
      <c r="J140" s="7">
        <f>399</f>
        <v>399</v>
      </c>
      <c r="K140" s="6"/>
      <c r="L140" s="6"/>
      <c r="M140" s="7">
        <f>1000</f>
        <v>1000</v>
      </c>
      <c r="N140" s="7">
        <f>25</f>
        <v>25</v>
      </c>
    </row>
    <row r="141" spans="2:14" x14ac:dyDescent="0.2">
      <c r="B141" s="5" t="s">
        <v>161</v>
      </c>
      <c r="C141" s="7">
        <f>787.5</f>
        <v>787.5</v>
      </c>
      <c r="D141" s="7">
        <f>1450.33</f>
        <v>1450.33</v>
      </c>
      <c r="E141" s="7">
        <f>2382.23</f>
        <v>2382.23</v>
      </c>
      <c r="F141" s="7">
        <f>4908.91</f>
        <v>4908.91</v>
      </c>
      <c r="G141" s="7">
        <f>4262.61</f>
        <v>4262.6099999999997</v>
      </c>
      <c r="H141" s="7">
        <f>8278.43</f>
        <v>8278.43</v>
      </c>
      <c r="I141" s="7">
        <f>5555.83</f>
        <v>5555.83</v>
      </c>
      <c r="J141" s="7">
        <f>3094.83</f>
        <v>3094.83</v>
      </c>
      <c r="K141" s="7">
        <f>11897.32</f>
        <v>11897.32</v>
      </c>
      <c r="L141" s="7">
        <f>4793.34</f>
        <v>4793.34</v>
      </c>
      <c r="M141" s="7">
        <f>4321.64</f>
        <v>4321.6400000000003</v>
      </c>
      <c r="N141" s="7">
        <f>4899.34</f>
        <v>4899.34</v>
      </c>
    </row>
    <row r="142" spans="2:14" x14ac:dyDescent="0.2">
      <c r="B142" s="5" t="s">
        <v>162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7">
        <f>33941</f>
        <v>33941</v>
      </c>
    </row>
    <row r="143" spans="2:14" x14ac:dyDescent="0.2">
      <c r="B143" s="5" t="s">
        <v>163</v>
      </c>
      <c r="C143" s="7">
        <f>5850.4</f>
        <v>5850.4</v>
      </c>
      <c r="D143" s="7">
        <f>454</f>
        <v>454</v>
      </c>
      <c r="E143" s="7">
        <f>1574</f>
        <v>1574</v>
      </c>
      <c r="F143" s="7">
        <f>1966</f>
        <v>1966</v>
      </c>
      <c r="G143" s="6"/>
      <c r="H143" s="7">
        <f>784</f>
        <v>784</v>
      </c>
      <c r="I143" s="6"/>
      <c r="J143" s="6"/>
      <c r="K143" s="6"/>
      <c r="L143" s="6"/>
      <c r="M143" s="6"/>
      <c r="N143" s="6"/>
    </row>
    <row r="144" spans="2:14" x14ac:dyDescent="0.2">
      <c r="B144" s="5" t="s">
        <v>164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 s="13" t="s">
        <v>8</v>
      </c>
      <c r="B145" s="16" t="s">
        <v>165</v>
      </c>
      <c r="C145" s="8">
        <f t="shared" ref="C145:N145" si="23">(((((((((((((((((C113)+(C124))+(C125))+(C126))+(C127))+(C128))+(C129))+(C130))+(C131))+(C132))+(C137))+(C138))+(C139))+(C140))+(C141))+(C142))+(C143))+(C144)</f>
        <v>108777.12000000002</v>
      </c>
      <c r="D145" s="8">
        <f t="shared" si="23"/>
        <v>239283.48999999996</v>
      </c>
      <c r="E145" s="8">
        <f t="shared" si="23"/>
        <v>223251.71000000005</v>
      </c>
      <c r="F145" s="8">
        <f t="shared" si="23"/>
        <v>329677.77</v>
      </c>
      <c r="G145" s="8">
        <f t="shared" si="23"/>
        <v>482454.2</v>
      </c>
      <c r="H145" s="8">
        <f t="shared" si="23"/>
        <v>405803.90999999992</v>
      </c>
      <c r="I145" s="8">
        <f t="shared" si="23"/>
        <v>306722.84999999998</v>
      </c>
      <c r="J145" s="8">
        <f t="shared" si="23"/>
        <v>313489.49000000005</v>
      </c>
      <c r="K145" s="8">
        <f t="shared" si="23"/>
        <v>470521.04000000004</v>
      </c>
      <c r="L145" s="8">
        <f t="shared" si="23"/>
        <v>651911.25</v>
      </c>
      <c r="M145" s="8">
        <f t="shared" si="23"/>
        <v>856161.46</v>
      </c>
      <c r="N145" s="8">
        <f t="shared" si="23"/>
        <v>1028775.1900000001</v>
      </c>
    </row>
    <row r="146" spans="1:14" x14ac:dyDescent="0.2">
      <c r="B146" s="5" t="s">
        <v>166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B147" s="5" t="s">
        <v>167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B148" s="5" t="s">
        <v>168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B149" s="5" t="s">
        <v>169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B150" s="5" t="s">
        <v>170</v>
      </c>
      <c r="C150" s="7">
        <f>14509.66</f>
        <v>14509.66</v>
      </c>
      <c r="D150" s="7">
        <f>21269.22</f>
        <v>21269.22</v>
      </c>
      <c r="E150" s="7">
        <f>21269.22</f>
        <v>21269.22</v>
      </c>
      <c r="F150" s="7">
        <f>21931.72</f>
        <v>21931.72</v>
      </c>
      <c r="G150" s="7">
        <f>33397.58</f>
        <v>33397.58</v>
      </c>
      <c r="H150" s="7">
        <f>22256.72</f>
        <v>22256.720000000001</v>
      </c>
      <c r="I150" s="7">
        <f>21862.97</f>
        <v>21862.97</v>
      </c>
      <c r="J150" s="7">
        <f>21937.97</f>
        <v>21937.97</v>
      </c>
      <c r="K150" s="7">
        <f>22381.72</f>
        <v>22381.72</v>
      </c>
      <c r="L150" s="7">
        <f>36038.21</f>
        <v>36038.21</v>
      </c>
      <c r="M150" s="7">
        <f>31239.22</f>
        <v>31239.22</v>
      </c>
      <c r="N150" s="7">
        <f>73199.96</f>
        <v>73199.960000000006</v>
      </c>
    </row>
    <row r="151" spans="1:14" x14ac:dyDescent="0.2">
      <c r="B151" s="5" t="s">
        <v>171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7">
        <f>23500</f>
        <v>23500</v>
      </c>
    </row>
    <row r="152" spans="1:14" x14ac:dyDescent="0.2">
      <c r="B152" s="5" t="s">
        <v>172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7">
        <f>63835</f>
        <v>63835</v>
      </c>
    </row>
    <row r="153" spans="1:14" x14ac:dyDescent="0.2">
      <c r="B153" s="5" t="s">
        <v>173</v>
      </c>
      <c r="C153" s="7">
        <f>0</f>
        <v>0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7">
        <f>1693.3</f>
        <v>1693.3</v>
      </c>
    </row>
    <row r="154" spans="1:14" x14ac:dyDescent="0.2">
      <c r="B154" s="5" t="s">
        <v>174</v>
      </c>
      <c r="C154" s="8">
        <f t="shared" ref="C154:N154" si="24">((((C149)+(C150))+(C151))+(C152))+(C153)</f>
        <v>14509.66</v>
      </c>
      <c r="D154" s="8">
        <f t="shared" si="24"/>
        <v>21269.22</v>
      </c>
      <c r="E154" s="8">
        <f t="shared" si="24"/>
        <v>21269.22</v>
      </c>
      <c r="F154" s="8">
        <f t="shared" si="24"/>
        <v>21931.72</v>
      </c>
      <c r="G154" s="8">
        <f t="shared" si="24"/>
        <v>33397.58</v>
      </c>
      <c r="H154" s="8">
        <f t="shared" si="24"/>
        <v>22256.720000000001</v>
      </c>
      <c r="I154" s="8">
        <f t="shared" si="24"/>
        <v>21862.97</v>
      </c>
      <c r="J154" s="8">
        <f t="shared" si="24"/>
        <v>21937.97</v>
      </c>
      <c r="K154" s="8">
        <f t="shared" si="24"/>
        <v>22381.72</v>
      </c>
      <c r="L154" s="8">
        <f t="shared" si="24"/>
        <v>36038.21</v>
      </c>
      <c r="M154" s="8">
        <f t="shared" si="24"/>
        <v>31239.22</v>
      </c>
      <c r="N154" s="8">
        <f t="shared" si="24"/>
        <v>162228.26</v>
      </c>
    </row>
    <row r="155" spans="1:14" x14ac:dyDescent="0.2">
      <c r="B155" s="5" t="s">
        <v>175</v>
      </c>
      <c r="C155" s="7">
        <f>1675.47</f>
        <v>1675.47</v>
      </c>
      <c r="D155" s="7">
        <f>1644.69</f>
        <v>1644.69</v>
      </c>
      <c r="E155" s="7">
        <f>1112.51</f>
        <v>1112.51</v>
      </c>
      <c r="F155" s="7">
        <f>528.04</f>
        <v>528.04</v>
      </c>
      <c r="G155" s="7">
        <f>742.96</f>
        <v>742.96</v>
      </c>
      <c r="H155" s="7">
        <f>407.43</f>
        <v>407.43</v>
      </c>
      <c r="I155" s="7">
        <f>334.22</f>
        <v>334.22</v>
      </c>
      <c r="J155" s="7">
        <f>411.03</f>
        <v>411.03</v>
      </c>
      <c r="K155" s="7">
        <f>523.75</f>
        <v>523.75</v>
      </c>
      <c r="L155" s="7">
        <f>1015.9</f>
        <v>1015.9</v>
      </c>
      <c r="M155" s="7">
        <f>1460.01</f>
        <v>1460.01</v>
      </c>
      <c r="N155" s="7">
        <f>5361.15</f>
        <v>5361.15</v>
      </c>
    </row>
    <row r="156" spans="1:14" x14ac:dyDescent="0.2">
      <c r="B156" s="5" t="s">
        <v>176</v>
      </c>
      <c r="C156" s="7">
        <f>2014.06</f>
        <v>2014.06</v>
      </c>
      <c r="D156" s="7">
        <f>2685.42</f>
        <v>2685.42</v>
      </c>
      <c r="E156" s="7">
        <f>2685.42</f>
        <v>2685.42</v>
      </c>
      <c r="F156" s="7">
        <f>2685.42</f>
        <v>2685.42</v>
      </c>
      <c r="G156" s="7">
        <f>4028.13</f>
        <v>4028.13</v>
      </c>
      <c r="H156" s="7">
        <f>2685.42</f>
        <v>2685.42</v>
      </c>
      <c r="I156" s="7">
        <f>2685.42</f>
        <v>2685.42</v>
      </c>
      <c r="J156" s="7">
        <f>2685.42</f>
        <v>2685.42</v>
      </c>
      <c r="K156" s="7">
        <f>2685.42</f>
        <v>2685.42</v>
      </c>
      <c r="L156" s="7">
        <f>4028.13</f>
        <v>4028.13</v>
      </c>
      <c r="M156" s="7">
        <f>2685.42</f>
        <v>2685.42</v>
      </c>
      <c r="N156" s="7">
        <f>6790.34</f>
        <v>6790.34</v>
      </c>
    </row>
    <row r="157" spans="1:14" x14ac:dyDescent="0.2">
      <c r="B157" s="5" t="s">
        <v>177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B158" s="5" t="s">
        <v>178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7">
        <f>1174.31</f>
        <v>1174.31</v>
      </c>
    </row>
    <row r="159" spans="1:14" x14ac:dyDescent="0.2">
      <c r="B159" s="5" t="s">
        <v>179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B160" s="5" t="s">
        <v>180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2:14" x14ac:dyDescent="0.2">
      <c r="B161" s="5" t="s">
        <v>181</v>
      </c>
      <c r="C161" s="8">
        <f t="shared" ref="C161:N161" si="25">(((((((C148)+(C154))+(C155))+(C156))+(C157))+(C158))+(C159))+(C160)</f>
        <v>18199.189999999999</v>
      </c>
      <c r="D161" s="8">
        <f t="shared" si="25"/>
        <v>25599.33</v>
      </c>
      <c r="E161" s="8">
        <f t="shared" si="25"/>
        <v>25067.15</v>
      </c>
      <c r="F161" s="8">
        <f t="shared" si="25"/>
        <v>25145.18</v>
      </c>
      <c r="G161" s="8">
        <f t="shared" si="25"/>
        <v>38168.67</v>
      </c>
      <c r="H161" s="8">
        <f t="shared" si="25"/>
        <v>25349.57</v>
      </c>
      <c r="I161" s="8">
        <f t="shared" si="25"/>
        <v>24882.61</v>
      </c>
      <c r="J161" s="8">
        <f t="shared" si="25"/>
        <v>25034.42</v>
      </c>
      <c r="K161" s="8">
        <f t="shared" si="25"/>
        <v>25590.89</v>
      </c>
      <c r="L161" s="8">
        <f t="shared" si="25"/>
        <v>41082.239999999998</v>
      </c>
      <c r="M161" s="8">
        <f t="shared" si="25"/>
        <v>35384.65</v>
      </c>
      <c r="N161" s="8">
        <f t="shared" si="25"/>
        <v>175554.06</v>
      </c>
    </row>
    <row r="162" spans="2:14" x14ac:dyDescent="0.2">
      <c r="B162" s="5" t="s">
        <v>182</v>
      </c>
      <c r="C162" s="6"/>
      <c r="D162" s="6"/>
      <c r="E162" s="6"/>
      <c r="F162" s="6"/>
      <c r="G162" s="7">
        <f>1750</f>
        <v>1750</v>
      </c>
      <c r="H162" s="6"/>
      <c r="I162" s="6"/>
      <c r="J162" s="7">
        <f>1225</f>
        <v>1225</v>
      </c>
      <c r="K162" s="6"/>
      <c r="L162" s="6"/>
      <c r="M162" s="6"/>
      <c r="N162" s="7">
        <f>9775</f>
        <v>9775</v>
      </c>
    </row>
    <row r="163" spans="2:14" x14ac:dyDescent="0.2">
      <c r="B163" s="5" t="s">
        <v>183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2:14" x14ac:dyDescent="0.2">
      <c r="B164" s="5" t="s">
        <v>184</v>
      </c>
      <c r="C164" s="7">
        <f t="shared" ref="C164:M164" si="26">982.79</f>
        <v>982.79</v>
      </c>
      <c r="D164" s="7">
        <f t="shared" si="26"/>
        <v>982.79</v>
      </c>
      <c r="E164" s="7">
        <f t="shared" si="26"/>
        <v>982.79</v>
      </c>
      <c r="F164" s="7">
        <f t="shared" si="26"/>
        <v>982.79</v>
      </c>
      <c r="G164" s="7">
        <f t="shared" si="26"/>
        <v>982.79</v>
      </c>
      <c r="H164" s="7">
        <f t="shared" si="26"/>
        <v>982.79</v>
      </c>
      <c r="I164" s="7">
        <f t="shared" si="26"/>
        <v>982.79</v>
      </c>
      <c r="J164" s="7">
        <f t="shared" si="26"/>
        <v>982.79</v>
      </c>
      <c r="K164" s="7">
        <f t="shared" si="26"/>
        <v>982.79</v>
      </c>
      <c r="L164" s="7">
        <f t="shared" si="26"/>
        <v>982.79</v>
      </c>
      <c r="M164" s="7">
        <f t="shared" si="26"/>
        <v>982.79</v>
      </c>
      <c r="N164" s="7">
        <f>982.81</f>
        <v>982.81</v>
      </c>
    </row>
    <row r="165" spans="2:14" x14ac:dyDescent="0.2">
      <c r="B165" s="5" t="s">
        <v>185</v>
      </c>
      <c r="C165" s="7">
        <f>74.06</f>
        <v>74.06</v>
      </c>
      <c r="D165" s="6"/>
      <c r="E165" s="6"/>
      <c r="F165" s="7">
        <f>515.75</f>
        <v>515.75</v>
      </c>
      <c r="G165" s="7">
        <f>515.75</f>
        <v>515.75</v>
      </c>
      <c r="H165" s="7">
        <f>1722.47</f>
        <v>1722.47</v>
      </c>
      <c r="I165" s="7">
        <f>337.14</f>
        <v>337.14</v>
      </c>
      <c r="J165" s="7">
        <f>515.75</f>
        <v>515.75</v>
      </c>
      <c r="K165" s="7">
        <f>642.75</f>
        <v>642.75</v>
      </c>
      <c r="L165" s="7">
        <f t="shared" ref="L165:N165" si="27">515.75</f>
        <v>515.75</v>
      </c>
      <c r="M165" s="7">
        <f t="shared" si="27"/>
        <v>515.75</v>
      </c>
      <c r="N165" s="7">
        <f t="shared" si="27"/>
        <v>515.75</v>
      </c>
    </row>
    <row r="166" spans="2:14" x14ac:dyDescent="0.2">
      <c r="B166" s="5" t="s">
        <v>186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2:14" x14ac:dyDescent="0.2">
      <c r="B167" s="5" t="s">
        <v>187</v>
      </c>
      <c r="C167" s="8">
        <f t="shared" ref="C167:N167" si="28">(((C163)+(C164))+(C165))+(C166)</f>
        <v>1056.8499999999999</v>
      </c>
      <c r="D167" s="8">
        <f t="shared" si="28"/>
        <v>982.79</v>
      </c>
      <c r="E167" s="8">
        <f t="shared" si="28"/>
        <v>982.79</v>
      </c>
      <c r="F167" s="8">
        <f t="shared" si="28"/>
        <v>1498.54</v>
      </c>
      <c r="G167" s="8">
        <f t="shared" si="28"/>
        <v>1498.54</v>
      </c>
      <c r="H167" s="8">
        <f t="shared" si="28"/>
        <v>2705.26</v>
      </c>
      <c r="I167" s="8">
        <f t="shared" si="28"/>
        <v>1319.9299999999998</v>
      </c>
      <c r="J167" s="8">
        <f t="shared" si="28"/>
        <v>1498.54</v>
      </c>
      <c r="K167" s="8">
        <f t="shared" si="28"/>
        <v>1625.54</v>
      </c>
      <c r="L167" s="8">
        <f t="shared" si="28"/>
        <v>1498.54</v>
      </c>
      <c r="M167" s="8">
        <f t="shared" si="28"/>
        <v>1498.54</v>
      </c>
      <c r="N167" s="8">
        <f t="shared" si="28"/>
        <v>1498.56</v>
      </c>
    </row>
    <row r="168" spans="2:14" x14ac:dyDescent="0.2">
      <c r="B168" s="5" t="s">
        <v>188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2:14" x14ac:dyDescent="0.2">
      <c r="B169" s="5" t="s">
        <v>189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2:14" x14ac:dyDescent="0.2">
      <c r="B170" s="5" t="s">
        <v>190</v>
      </c>
      <c r="C170" s="7">
        <f>5598.78</f>
        <v>5598.78</v>
      </c>
      <c r="D170" s="7">
        <f>2559.17</f>
        <v>2559.17</v>
      </c>
      <c r="E170" s="7">
        <f>3169.75</f>
        <v>3169.75</v>
      </c>
      <c r="F170" s="7">
        <f>4236.33</f>
        <v>4236.33</v>
      </c>
      <c r="G170" s="7">
        <f>552.89</f>
        <v>552.89</v>
      </c>
      <c r="H170" s="7">
        <f>352.2</f>
        <v>352.2</v>
      </c>
      <c r="I170" s="7">
        <f>5541.89</f>
        <v>5541.89</v>
      </c>
      <c r="J170" s="7">
        <f>4641.9</f>
        <v>4641.8999999999996</v>
      </c>
      <c r="K170" s="7">
        <f>2792.36</f>
        <v>2792.36</v>
      </c>
      <c r="L170" s="7">
        <f>6732.78</f>
        <v>6732.78</v>
      </c>
      <c r="M170" s="7">
        <f>12469.04</f>
        <v>12469.04</v>
      </c>
      <c r="N170" s="7">
        <f>29635.84</f>
        <v>29635.84</v>
      </c>
    </row>
    <row r="171" spans="2:14" x14ac:dyDescent="0.2">
      <c r="B171" s="5" t="s">
        <v>191</v>
      </c>
      <c r="C171" s="7">
        <f>550.31</f>
        <v>550.30999999999995</v>
      </c>
      <c r="D171" s="7">
        <f>692.24</f>
        <v>692.24</v>
      </c>
      <c r="E171" s="7">
        <f>1957.13</f>
        <v>1957.13</v>
      </c>
      <c r="F171" s="7">
        <f>392.09</f>
        <v>392.09</v>
      </c>
      <c r="G171" s="7">
        <f>720.82</f>
        <v>720.82</v>
      </c>
      <c r="H171" s="7">
        <f>210.05</f>
        <v>210.05</v>
      </c>
      <c r="I171" s="7">
        <f>4409.96</f>
        <v>4409.96</v>
      </c>
      <c r="J171" s="7">
        <f>835.81</f>
        <v>835.81</v>
      </c>
      <c r="K171" s="7">
        <f>1108.92</f>
        <v>1108.92</v>
      </c>
      <c r="L171" s="7">
        <f>4524.23</f>
        <v>4524.2299999999996</v>
      </c>
      <c r="M171" s="7">
        <f>5436.06</f>
        <v>5436.06</v>
      </c>
      <c r="N171" s="7">
        <f>20688.59</f>
        <v>20688.59</v>
      </c>
    </row>
    <row r="172" spans="2:14" x14ac:dyDescent="0.2">
      <c r="B172" s="5" t="s">
        <v>192</v>
      </c>
      <c r="C172" s="7">
        <f>3014.16</f>
        <v>3014.16</v>
      </c>
      <c r="D172" s="7">
        <f>751.57</f>
        <v>751.57</v>
      </c>
      <c r="E172" s="7">
        <f>1608.35</f>
        <v>1608.35</v>
      </c>
      <c r="F172" s="7">
        <f>289.44</f>
        <v>289.44</v>
      </c>
      <c r="G172" s="7">
        <f>119.9</f>
        <v>119.9</v>
      </c>
      <c r="H172" s="7">
        <f>141.93</f>
        <v>141.93</v>
      </c>
      <c r="I172" s="7">
        <f>736.58</f>
        <v>736.58</v>
      </c>
      <c r="J172" s="7">
        <f>147.1</f>
        <v>147.1</v>
      </c>
      <c r="K172" s="7">
        <f>1346.95</f>
        <v>1346.95</v>
      </c>
      <c r="L172" s="7">
        <f>2008.52</f>
        <v>2008.52</v>
      </c>
      <c r="M172" s="7">
        <f>754</f>
        <v>754</v>
      </c>
      <c r="N172" s="7">
        <f>1563.54</f>
        <v>1563.54</v>
      </c>
    </row>
    <row r="173" spans="2:14" x14ac:dyDescent="0.2">
      <c r="B173" s="5" t="s">
        <v>193</v>
      </c>
      <c r="C173" s="8">
        <f t="shared" ref="C173:N173" si="29">(((C169)+(C170))+(C171))+(C172)</f>
        <v>9163.25</v>
      </c>
      <c r="D173" s="8">
        <f t="shared" si="29"/>
        <v>4002.98</v>
      </c>
      <c r="E173" s="8">
        <f t="shared" si="29"/>
        <v>6735.23</v>
      </c>
      <c r="F173" s="8">
        <f t="shared" si="29"/>
        <v>4917.8599999999997</v>
      </c>
      <c r="G173" s="8">
        <f t="shared" si="29"/>
        <v>1393.6100000000001</v>
      </c>
      <c r="H173" s="8">
        <f t="shared" si="29"/>
        <v>704.18000000000006</v>
      </c>
      <c r="I173" s="8">
        <f t="shared" si="29"/>
        <v>10688.43</v>
      </c>
      <c r="J173" s="8">
        <f t="shared" si="29"/>
        <v>5624.8099999999995</v>
      </c>
      <c r="K173" s="8">
        <f t="shared" si="29"/>
        <v>5248.2300000000005</v>
      </c>
      <c r="L173" s="8">
        <f t="shared" si="29"/>
        <v>13265.529999999999</v>
      </c>
      <c r="M173" s="8">
        <f t="shared" si="29"/>
        <v>18659.100000000002</v>
      </c>
      <c r="N173" s="8">
        <f t="shared" si="29"/>
        <v>51887.97</v>
      </c>
    </row>
    <row r="174" spans="2:14" x14ac:dyDescent="0.2">
      <c r="B174" s="5" t="s">
        <v>194</v>
      </c>
      <c r="C174" s="6"/>
      <c r="D174" s="6"/>
      <c r="E174" s="7">
        <f>843.07</f>
        <v>843.07</v>
      </c>
      <c r="F174" s="6"/>
      <c r="G174" s="7">
        <f>3774.78</f>
        <v>3774.78</v>
      </c>
      <c r="H174" s="7">
        <f>384.77</f>
        <v>384.77</v>
      </c>
      <c r="I174" s="7">
        <f>555.21</f>
        <v>555.21</v>
      </c>
      <c r="J174" s="7">
        <f>3669.17</f>
        <v>3669.17</v>
      </c>
      <c r="K174" s="7">
        <f>7158.5</f>
        <v>7158.5</v>
      </c>
      <c r="L174" s="7">
        <f>1188.87</f>
        <v>1188.8699999999999</v>
      </c>
      <c r="M174" s="7">
        <f>6651.09</f>
        <v>6651.09</v>
      </c>
      <c r="N174" s="7">
        <f>29698.12</f>
        <v>29698.12</v>
      </c>
    </row>
    <row r="175" spans="2:14" x14ac:dyDescent="0.2">
      <c r="B175" s="5" t="s">
        <v>195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2:14" x14ac:dyDescent="0.2">
      <c r="B176" s="5" t="s">
        <v>196</v>
      </c>
      <c r="C176" s="7">
        <f>24.95</f>
        <v>24.95</v>
      </c>
      <c r="D176" s="7">
        <f>99</f>
        <v>99</v>
      </c>
      <c r="E176" s="7">
        <f>50</f>
        <v>50</v>
      </c>
      <c r="F176" s="7">
        <f>95</f>
        <v>95</v>
      </c>
      <c r="G176" s="6"/>
      <c r="H176" s="7">
        <f>99</f>
        <v>99</v>
      </c>
      <c r="I176" s="7">
        <f>10</f>
        <v>10</v>
      </c>
      <c r="J176" s="6"/>
      <c r="K176" s="6"/>
      <c r="L176" s="6"/>
      <c r="M176" s="6"/>
      <c r="N176" s="6"/>
    </row>
    <row r="177" spans="2:14" x14ac:dyDescent="0.2">
      <c r="B177" s="5" t="s">
        <v>197</v>
      </c>
      <c r="C177" s="7">
        <f>140.27</f>
        <v>140.27000000000001</v>
      </c>
      <c r="D177" s="7">
        <f>100</f>
        <v>100</v>
      </c>
      <c r="E177" s="7">
        <f t="shared" ref="E177:J177" si="30">119.95</f>
        <v>119.95</v>
      </c>
      <c r="F177" s="7">
        <f t="shared" si="30"/>
        <v>119.95</v>
      </c>
      <c r="G177" s="7">
        <f t="shared" si="30"/>
        <v>119.95</v>
      </c>
      <c r="H177" s="7">
        <f t="shared" si="30"/>
        <v>119.95</v>
      </c>
      <c r="I177" s="7">
        <f t="shared" si="30"/>
        <v>119.95</v>
      </c>
      <c r="J177" s="7">
        <f t="shared" si="30"/>
        <v>119.95</v>
      </c>
      <c r="K177" s="7">
        <f>103.68</f>
        <v>103.68</v>
      </c>
      <c r="L177" s="7">
        <f>236.52</f>
        <v>236.52</v>
      </c>
      <c r="M177" s="7">
        <f>433.62</f>
        <v>433.62</v>
      </c>
      <c r="N177" s="7">
        <f>31868.39</f>
        <v>31868.39</v>
      </c>
    </row>
    <row r="178" spans="2:14" x14ac:dyDescent="0.2">
      <c r="B178" s="5" t="s">
        <v>198</v>
      </c>
      <c r="C178" s="7">
        <f>72</f>
        <v>72</v>
      </c>
      <c r="D178" s="7">
        <f>96</f>
        <v>96</v>
      </c>
      <c r="E178" s="7">
        <f>96</f>
        <v>96</v>
      </c>
      <c r="F178" s="7">
        <f>104</f>
        <v>104</v>
      </c>
      <c r="G178" s="7">
        <f>128</f>
        <v>128</v>
      </c>
      <c r="H178" s="7">
        <f>176</f>
        <v>176</v>
      </c>
      <c r="I178" s="7">
        <f>200</f>
        <v>200</v>
      </c>
      <c r="J178" s="7">
        <f>224</f>
        <v>224</v>
      </c>
      <c r="K178" s="7">
        <f>224</f>
        <v>224</v>
      </c>
      <c r="L178" s="7">
        <f>232</f>
        <v>232</v>
      </c>
      <c r="M178" s="7">
        <f>232</f>
        <v>232</v>
      </c>
      <c r="N178" s="7">
        <f>280</f>
        <v>280</v>
      </c>
    </row>
    <row r="179" spans="2:14" x14ac:dyDescent="0.2">
      <c r="B179" s="5" t="s">
        <v>199</v>
      </c>
      <c r="C179" s="7">
        <f>165</f>
        <v>165</v>
      </c>
      <c r="D179" s="7">
        <f>177</f>
        <v>177</v>
      </c>
      <c r="E179" s="7">
        <f>177</f>
        <v>177</v>
      </c>
      <c r="F179" s="7">
        <f>207</f>
        <v>207</v>
      </c>
      <c r="G179" s="7">
        <f>243</f>
        <v>243</v>
      </c>
      <c r="H179" s="7">
        <f>255</f>
        <v>255</v>
      </c>
      <c r="I179" s="7">
        <f>267</f>
        <v>267</v>
      </c>
      <c r="J179" s="7">
        <f>273</f>
        <v>273</v>
      </c>
      <c r="K179" s="7">
        <f>273</f>
        <v>273</v>
      </c>
      <c r="L179" s="7">
        <f>279</f>
        <v>279</v>
      </c>
      <c r="M179" s="7">
        <f>252</f>
        <v>252</v>
      </c>
      <c r="N179" s="7">
        <f>362</f>
        <v>362</v>
      </c>
    </row>
    <row r="180" spans="2:14" x14ac:dyDescent="0.2">
      <c r="B180" s="5" t="s">
        <v>200</v>
      </c>
      <c r="C180" s="8">
        <f t="shared" ref="C180:N180" si="31">((((C175)+(C176))+(C177))+(C178))+(C179)</f>
        <v>402.22</v>
      </c>
      <c r="D180" s="8">
        <f t="shared" si="31"/>
        <v>472</v>
      </c>
      <c r="E180" s="8">
        <f t="shared" si="31"/>
        <v>442.95</v>
      </c>
      <c r="F180" s="8">
        <f t="shared" si="31"/>
        <v>525.95000000000005</v>
      </c>
      <c r="G180" s="8">
        <f t="shared" si="31"/>
        <v>490.95</v>
      </c>
      <c r="H180" s="8">
        <f t="shared" si="31"/>
        <v>649.95000000000005</v>
      </c>
      <c r="I180" s="8">
        <f t="shared" si="31"/>
        <v>596.95000000000005</v>
      </c>
      <c r="J180" s="8">
        <f t="shared" si="31"/>
        <v>616.95000000000005</v>
      </c>
      <c r="K180" s="8">
        <f t="shared" si="31"/>
        <v>600.68000000000006</v>
      </c>
      <c r="L180" s="8">
        <f t="shared" si="31"/>
        <v>747.52</v>
      </c>
      <c r="M180" s="8">
        <f t="shared" si="31"/>
        <v>917.62</v>
      </c>
      <c r="N180" s="8">
        <f t="shared" si="31"/>
        <v>32510.39</v>
      </c>
    </row>
    <row r="181" spans="2:14" x14ac:dyDescent="0.2">
      <c r="B181" s="5" t="s">
        <v>201</v>
      </c>
      <c r="C181" s="6"/>
      <c r="D181" s="6"/>
      <c r="E181" s="7">
        <f>1237.5</f>
        <v>1237.5</v>
      </c>
      <c r="F181" s="6"/>
      <c r="G181" s="6"/>
      <c r="H181" s="7">
        <f>832.5</f>
        <v>832.5</v>
      </c>
      <c r="I181" s="6"/>
      <c r="J181" s="6"/>
      <c r="K181" s="6"/>
      <c r="L181" s="7">
        <f>1132.5</f>
        <v>1132.5</v>
      </c>
      <c r="M181" s="7">
        <f>1132.5</f>
        <v>1132.5</v>
      </c>
      <c r="N181" s="6"/>
    </row>
    <row r="182" spans="2:14" x14ac:dyDescent="0.2">
      <c r="B182" s="5" t="s">
        <v>202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2:14" x14ac:dyDescent="0.2">
      <c r="B183" s="5" t="s">
        <v>203</v>
      </c>
      <c r="C183" s="6"/>
      <c r="D183" s="6"/>
      <c r="E183" s="7">
        <f>10</f>
        <v>10</v>
      </c>
      <c r="F183" s="7">
        <f>188.87</f>
        <v>188.87</v>
      </c>
      <c r="G183" s="7">
        <f>189.45</f>
        <v>189.45</v>
      </c>
      <c r="H183" s="7">
        <f>219.45</f>
        <v>219.45</v>
      </c>
      <c r="I183" s="7">
        <f>189.45</f>
        <v>189.45</v>
      </c>
      <c r="J183" s="7">
        <f>183.38</f>
        <v>183.38</v>
      </c>
      <c r="K183" s="7">
        <f>127.5</f>
        <v>127.5</v>
      </c>
      <c r="L183" s="7">
        <f>1028.03</f>
        <v>1028.03</v>
      </c>
      <c r="M183" s="7">
        <f>2691.19</f>
        <v>2691.19</v>
      </c>
      <c r="N183" s="7">
        <f>2714.54</f>
        <v>2714.54</v>
      </c>
    </row>
    <row r="184" spans="2:14" x14ac:dyDescent="0.2">
      <c r="B184" s="5" t="s">
        <v>204</v>
      </c>
      <c r="C184" s="6"/>
      <c r="D184" s="6"/>
      <c r="E184" s="6"/>
      <c r="F184" s="6"/>
      <c r="G184" s="6"/>
      <c r="H184" s="6"/>
      <c r="I184" s="6"/>
      <c r="J184" s="6"/>
      <c r="K184" s="7">
        <f>9000</f>
        <v>9000</v>
      </c>
      <c r="L184" s="6"/>
      <c r="M184" s="6"/>
      <c r="N184" s="6"/>
    </row>
    <row r="185" spans="2:14" x14ac:dyDescent="0.2">
      <c r="B185" s="5" t="s">
        <v>205</v>
      </c>
      <c r="C185" s="6"/>
      <c r="D185" s="6"/>
      <c r="E185" s="6"/>
      <c r="F185" s="6"/>
      <c r="G185" s="6"/>
      <c r="H185" s="6"/>
      <c r="I185" s="7">
        <f>59</f>
        <v>59</v>
      </c>
      <c r="J185" s="6"/>
      <c r="K185" s="7">
        <f>146.38</f>
        <v>146.38</v>
      </c>
      <c r="L185" s="6"/>
      <c r="M185" s="6"/>
      <c r="N185" s="6"/>
    </row>
    <row r="186" spans="2:14" x14ac:dyDescent="0.2">
      <c r="B186" s="5" t="s">
        <v>206</v>
      </c>
      <c r="C186" s="7">
        <f>504.12</f>
        <v>504.12</v>
      </c>
      <c r="D186" s="7">
        <f>440.13</f>
        <v>440.13</v>
      </c>
      <c r="E186" s="7">
        <f>712.57</f>
        <v>712.57</v>
      </c>
      <c r="F186" s="7">
        <f>452.27</f>
        <v>452.27</v>
      </c>
      <c r="G186" s="7">
        <f>1409.35</f>
        <v>1409.35</v>
      </c>
      <c r="H186" s="7">
        <f>997.02</f>
        <v>997.02</v>
      </c>
      <c r="I186" s="7">
        <f>899.46</f>
        <v>899.46</v>
      </c>
      <c r="J186" s="7">
        <f>752.96</f>
        <v>752.96</v>
      </c>
      <c r="K186" s="7">
        <f>1356.39</f>
        <v>1356.39</v>
      </c>
      <c r="L186" s="7">
        <f>394.08</f>
        <v>394.08</v>
      </c>
      <c r="M186" s="7">
        <f>4610.51</f>
        <v>4610.51</v>
      </c>
      <c r="N186" s="7">
        <f>1648.99</f>
        <v>1648.99</v>
      </c>
    </row>
    <row r="187" spans="2:14" x14ac:dyDescent="0.2">
      <c r="B187" s="5" t="s">
        <v>207</v>
      </c>
      <c r="C187" s="8">
        <f t="shared" ref="C187:N187" si="32">(C185)+(C186)</f>
        <v>504.12</v>
      </c>
      <c r="D187" s="8">
        <f t="shared" si="32"/>
        <v>440.13</v>
      </c>
      <c r="E187" s="8">
        <f t="shared" si="32"/>
        <v>712.57</v>
      </c>
      <c r="F187" s="8">
        <f t="shared" si="32"/>
        <v>452.27</v>
      </c>
      <c r="G187" s="8">
        <f t="shared" si="32"/>
        <v>1409.35</v>
      </c>
      <c r="H187" s="8">
        <f t="shared" si="32"/>
        <v>997.02</v>
      </c>
      <c r="I187" s="8">
        <f t="shared" si="32"/>
        <v>958.46</v>
      </c>
      <c r="J187" s="8">
        <f t="shared" si="32"/>
        <v>752.96</v>
      </c>
      <c r="K187" s="8">
        <f t="shared" si="32"/>
        <v>1502.77</v>
      </c>
      <c r="L187" s="8">
        <f t="shared" si="32"/>
        <v>394.08</v>
      </c>
      <c r="M187" s="8">
        <f t="shared" si="32"/>
        <v>4610.51</v>
      </c>
      <c r="N187" s="8">
        <f t="shared" si="32"/>
        <v>1648.99</v>
      </c>
    </row>
    <row r="188" spans="2:14" x14ac:dyDescent="0.2">
      <c r="B188" s="5" t="s">
        <v>208</v>
      </c>
      <c r="C188" s="6"/>
      <c r="D188" s="6"/>
      <c r="E188" s="7">
        <f>200</f>
        <v>200</v>
      </c>
      <c r="F188" s="7">
        <f>172.1</f>
        <v>172.1</v>
      </c>
      <c r="G188" s="6"/>
      <c r="H188" s="6"/>
      <c r="I188" s="7">
        <f>580.53</f>
        <v>580.53</v>
      </c>
      <c r="J188" s="6"/>
      <c r="K188" s="7">
        <f>274.38</f>
        <v>274.38</v>
      </c>
      <c r="L188" s="7">
        <f>105.95</f>
        <v>105.95</v>
      </c>
      <c r="M188" s="7">
        <f>7617.4</f>
        <v>7617.4</v>
      </c>
      <c r="N188" s="7">
        <f>6998.86</f>
        <v>6998.86</v>
      </c>
    </row>
    <row r="189" spans="2:14" x14ac:dyDescent="0.2">
      <c r="B189" s="5" t="s">
        <v>209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2:14" x14ac:dyDescent="0.2">
      <c r="B190" s="5" t="s">
        <v>210</v>
      </c>
      <c r="C190" s="6"/>
      <c r="D190" s="6"/>
      <c r="E190" s="7">
        <f>4500</f>
        <v>4500</v>
      </c>
      <c r="F190" s="6"/>
      <c r="G190" s="6"/>
      <c r="H190" s="6"/>
      <c r="I190" s="7">
        <f>5275</f>
        <v>5275</v>
      </c>
      <c r="J190" s="7">
        <f>962.5</f>
        <v>962.5</v>
      </c>
      <c r="K190" s="7">
        <f>1381.25</f>
        <v>1381.25</v>
      </c>
      <c r="L190" s="7">
        <f>5739.25</f>
        <v>5739.25</v>
      </c>
      <c r="M190" s="7">
        <f>2300</f>
        <v>2300</v>
      </c>
      <c r="N190" s="6"/>
    </row>
    <row r="191" spans="2:14" x14ac:dyDescent="0.2">
      <c r="B191" s="5" t="s">
        <v>211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2:14" x14ac:dyDescent="0.2">
      <c r="B192" s="5" t="s">
        <v>212</v>
      </c>
      <c r="C192" s="7">
        <f>-9610</f>
        <v>-9610</v>
      </c>
      <c r="D192" s="7">
        <f>15828.75</f>
        <v>15828.75</v>
      </c>
      <c r="E192" s="7">
        <f>19140.25</f>
        <v>19140.25</v>
      </c>
      <c r="F192" s="7">
        <f>32894.24</f>
        <v>32894.239999999998</v>
      </c>
      <c r="G192" s="7">
        <f>18338.26</f>
        <v>18338.259999999998</v>
      </c>
      <c r="H192" s="7">
        <f>110</f>
        <v>110</v>
      </c>
      <c r="I192" s="7">
        <f>16570.95</f>
        <v>16570.95</v>
      </c>
      <c r="J192" s="7">
        <f>17006.25</f>
        <v>17006.25</v>
      </c>
      <c r="K192" s="7">
        <f>32188.09</f>
        <v>32188.09</v>
      </c>
      <c r="L192" s="7">
        <f>12409.85</f>
        <v>12409.85</v>
      </c>
      <c r="M192" s="7">
        <f>21633.5</f>
        <v>21633.5</v>
      </c>
      <c r="N192" s="7">
        <f>45289</f>
        <v>45289</v>
      </c>
    </row>
    <row r="193" spans="2:14" x14ac:dyDescent="0.2">
      <c r="B193" s="5" t="s">
        <v>213</v>
      </c>
      <c r="C193" s="6"/>
      <c r="D193" s="7">
        <f>1355</f>
        <v>1355</v>
      </c>
      <c r="E193" s="6"/>
      <c r="F193" s="6"/>
      <c r="G193" s="6"/>
      <c r="H193" s="6"/>
      <c r="I193" s="7">
        <f>1129.05</f>
        <v>1129.05</v>
      </c>
      <c r="J193" s="6"/>
      <c r="K193" s="6"/>
      <c r="L193" s="6"/>
      <c r="M193" s="6"/>
      <c r="N193" s="7">
        <f>1301.7</f>
        <v>1301.7</v>
      </c>
    </row>
    <row r="194" spans="2:14" x14ac:dyDescent="0.2">
      <c r="B194" s="5" t="s">
        <v>214</v>
      </c>
      <c r="C194" s="6"/>
      <c r="D194" s="6"/>
      <c r="E194" s="6"/>
      <c r="F194" s="6"/>
      <c r="G194" s="6"/>
      <c r="H194" s="6"/>
      <c r="I194" s="6"/>
      <c r="J194" s="6"/>
      <c r="K194" s="7">
        <f>4500</f>
        <v>4500</v>
      </c>
      <c r="L194" s="6"/>
      <c r="M194" s="6"/>
      <c r="N194" s="6"/>
    </row>
    <row r="195" spans="2:14" x14ac:dyDescent="0.2">
      <c r="B195" s="5" t="s">
        <v>215</v>
      </c>
      <c r="C195" s="8">
        <f t="shared" ref="C195:N195" si="33">(((((C189)+(C190))+(C191))+(C192))+(C193))+(C194)</f>
        <v>-9610</v>
      </c>
      <c r="D195" s="8">
        <f t="shared" si="33"/>
        <v>17183.75</v>
      </c>
      <c r="E195" s="8">
        <f t="shared" si="33"/>
        <v>23640.25</v>
      </c>
      <c r="F195" s="8">
        <f t="shared" si="33"/>
        <v>32894.239999999998</v>
      </c>
      <c r="G195" s="8">
        <f t="shared" si="33"/>
        <v>18338.259999999998</v>
      </c>
      <c r="H195" s="8">
        <f t="shared" si="33"/>
        <v>110</v>
      </c>
      <c r="I195" s="8">
        <f t="shared" si="33"/>
        <v>22975</v>
      </c>
      <c r="J195" s="8">
        <f t="shared" si="33"/>
        <v>17968.75</v>
      </c>
      <c r="K195" s="8">
        <f t="shared" si="33"/>
        <v>38069.339999999997</v>
      </c>
      <c r="L195" s="8">
        <f t="shared" si="33"/>
        <v>18149.099999999999</v>
      </c>
      <c r="M195" s="8">
        <f t="shared" si="33"/>
        <v>23933.5</v>
      </c>
      <c r="N195" s="8">
        <f t="shared" si="33"/>
        <v>46590.7</v>
      </c>
    </row>
    <row r="196" spans="2:14" x14ac:dyDescent="0.2">
      <c r="B196" s="5" t="s">
        <v>216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2:14" x14ac:dyDescent="0.2">
      <c r="B197" s="5" t="s">
        <v>217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2:14" x14ac:dyDescent="0.2">
      <c r="B198" s="5" t="s">
        <v>218</v>
      </c>
      <c r="C198" s="7">
        <f>99</f>
        <v>99</v>
      </c>
      <c r="D198" s="7">
        <f>129.98</f>
        <v>129.97999999999999</v>
      </c>
      <c r="E198" s="6"/>
      <c r="F198" s="7">
        <f>140.92</f>
        <v>140.91999999999999</v>
      </c>
      <c r="G198" s="6"/>
      <c r="H198" s="7">
        <f>147</f>
        <v>147</v>
      </c>
      <c r="I198" s="7">
        <f>10.98</f>
        <v>10.98</v>
      </c>
      <c r="J198" s="7">
        <f>29</f>
        <v>29</v>
      </c>
      <c r="K198" s="7">
        <f>29</f>
        <v>29</v>
      </c>
      <c r="L198" s="7">
        <f>383</f>
        <v>383</v>
      </c>
      <c r="M198" s="7">
        <f>450.91</f>
        <v>450.91</v>
      </c>
      <c r="N198" s="7">
        <f>310.95</f>
        <v>310.95</v>
      </c>
    </row>
    <row r="199" spans="2:14" x14ac:dyDescent="0.2">
      <c r="B199" s="5" t="s">
        <v>219</v>
      </c>
      <c r="C199" s="7">
        <f>1308.09</f>
        <v>1308.0899999999999</v>
      </c>
      <c r="D199" s="6"/>
      <c r="E199" s="7">
        <f>845.63</f>
        <v>845.63</v>
      </c>
      <c r="F199" s="6"/>
      <c r="G199" s="6"/>
      <c r="H199" s="7">
        <f>381.53</f>
        <v>381.53</v>
      </c>
      <c r="I199" s="7">
        <f>94.82</f>
        <v>94.82</v>
      </c>
      <c r="J199" s="7">
        <f>237.64</f>
        <v>237.64</v>
      </c>
      <c r="K199" s="6"/>
      <c r="L199" s="7">
        <f>1584.91</f>
        <v>1584.91</v>
      </c>
      <c r="M199" s="7">
        <f>783</f>
        <v>783</v>
      </c>
      <c r="N199" s="7">
        <f>1381.98</f>
        <v>1381.98</v>
      </c>
    </row>
    <row r="200" spans="2:14" x14ac:dyDescent="0.2">
      <c r="B200" s="5" t="s">
        <v>220</v>
      </c>
      <c r="C200" s="7">
        <f>656.99</f>
        <v>656.99</v>
      </c>
      <c r="D200" s="7">
        <f>650.99</f>
        <v>650.99</v>
      </c>
      <c r="E200" s="7">
        <f>17815.87</f>
        <v>17815.87</v>
      </c>
      <c r="F200" s="7">
        <f>7384.25</f>
        <v>7384.25</v>
      </c>
      <c r="G200" s="7">
        <f>5581.06</f>
        <v>5581.06</v>
      </c>
      <c r="H200" s="7">
        <f>5226.4</f>
        <v>5226.3999999999996</v>
      </c>
      <c r="I200" s="7">
        <f>7287.59</f>
        <v>7287.59</v>
      </c>
      <c r="J200" s="7">
        <f>5904.21</f>
        <v>5904.21</v>
      </c>
      <c r="K200" s="7">
        <f>379.99</f>
        <v>379.99</v>
      </c>
      <c r="L200" s="7">
        <f>21743.43</f>
        <v>21743.43</v>
      </c>
      <c r="M200" s="7">
        <f>18223.94</f>
        <v>18223.939999999999</v>
      </c>
      <c r="N200" s="7">
        <f>-80089.41</f>
        <v>-80089.41</v>
      </c>
    </row>
    <row r="201" spans="2:14" x14ac:dyDescent="0.2">
      <c r="B201" s="5" t="s">
        <v>221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2:14" x14ac:dyDescent="0.2">
      <c r="B202" s="5" t="s">
        <v>222</v>
      </c>
      <c r="C202" s="8">
        <f t="shared" ref="C202:N202" si="34">((((C197)+(C198))+(C199))+(C200))+(C201)</f>
        <v>2064.08</v>
      </c>
      <c r="D202" s="8">
        <f t="shared" si="34"/>
        <v>780.97</v>
      </c>
      <c r="E202" s="8">
        <f t="shared" si="34"/>
        <v>18661.5</v>
      </c>
      <c r="F202" s="8">
        <f t="shared" si="34"/>
        <v>7525.17</v>
      </c>
      <c r="G202" s="8">
        <f t="shared" si="34"/>
        <v>5581.06</v>
      </c>
      <c r="H202" s="8">
        <f t="shared" si="34"/>
        <v>5754.9299999999994</v>
      </c>
      <c r="I202" s="8">
        <f t="shared" si="34"/>
        <v>7393.39</v>
      </c>
      <c r="J202" s="8">
        <f t="shared" si="34"/>
        <v>6170.85</v>
      </c>
      <c r="K202" s="8">
        <f t="shared" si="34"/>
        <v>408.99</v>
      </c>
      <c r="L202" s="8">
        <f t="shared" si="34"/>
        <v>23711.34</v>
      </c>
      <c r="M202" s="8">
        <f t="shared" si="34"/>
        <v>19457.849999999999</v>
      </c>
      <c r="N202" s="8">
        <f t="shared" si="34"/>
        <v>-78396.48000000001</v>
      </c>
    </row>
    <row r="203" spans="2:14" x14ac:dyDescent="0.2">
      <c r="B203" s="5" t="s">
        <v>223</v>
      </c>
      <c r="C203" s="7">
        <f>320</f>
        <v>320</v>
      </c>
      <c r="D203" s="7">
        <f>240</f>
        <v>240</v>
      </c>
      <c r="E203" s="7">
        <f>400</f>
        <v>400</v>
      </c>
      <c r="F203" s="7">
        <f>240</f>
        <v>240</v>
      </c>
      <c r="G203" s="7">
        <f>400</f>
        <v>400</v>
      </c>
      <c r="H203" s="7">
        <f>240</f>
        <v>240</v>
      </c>
      <c r="I203" s="7">
        <f>400</f>
        <v>400</v>
      </c>
      <c r="J203" s="7">
        <f>160</f>
        <v>160</v>
      </c>
      <c r="K203" s="7">
        <f>560</f>
        <v>560</v>
      </c>
      <c r="L203" s="7">
        <f>400</f>
        <v>400</v>
      </c>
      <c r="M203" s="7">
        <f>240</f>
        <v>240</v>
      </c>
      <c r="N203" s="7">
        <f>480</f>
        <v>480</v>
      </c>
    </row>
    <row r="204" spans="2:14" x14ac:dyDescent="0.2">
      <c r="B204" s="5" t="s">
        <v>224</v>
      </c>
      <c r="C204" s="7">
        <f>223.64</f>
        <v>223.64</v>
      </c>
      <c r="D204" s="7">
        <f>121.49</f>
        <v>121.49</v>
      </c>
      <c r="E204" s="7">
        <f>86.73</f>
        <v>86.73</v>
      </c>
      <c r="F204" s="7">
        <f>24.1</f>
        <v>24.1</v>
      </c>
      <c r="G204" s="7">
        <f>158.74</f>
        <v>158.74</v>
      </c>
      <c r="H204" s="7">
        <f>674.71</f>
        <v>674.71</v>
      </c>
      <c r="I204" s="7">
        <f>312.68</f>
        <v>312.68</v>
      </c>
      <c r="J204" s="7">
        <f>324.41</f>
        <v>324.41000000000003</v>
      </c>
      <c r="K204" s="7">
        <f>505.59</f>
        <v>505.59</v>
      </c>
      <c r="L204" s="7">
        <f>592.13</f>
        <v>592.13</v>
      </c>
      <c r="M204" s="7">
        <f>541.99</f>
        <v>541.99</v>
      </c>
      <c r="N204" s="7">
        <f>1091.5</f>
        <v>1091.5</v>
      </c>
    </row>
    <row r="205" spans="2:14" x14ac:dyDescent="0.2">
      <c r="B205" s="5" t="s">
        <v>225</v>
      </c>
      <c r="C205" s="6"/>
      <c r="D205" s="6"/>
      <c r="E205" s="7">
        <f>97.3</f>
        <v>97.3</v>
      </c>
      <c r="F205" s="7">
        <f>253.91</f>
        <v>253.91</v>
      </c>
      <c r="G205" s="7">
        <f>230.67</f>
        <v>230.67</v>
      </c>
      <c r="H205" s="7">
        <f>63.17</f>
        <v>63.17</v>
      </c>
      <c r="I205" s="7">
        <f>49.75</f>
        <v>49.75</v>
      </c>
      <c r="J205" s="7">
        <f>0.85</f>
        <v>0.85</v>
      </c>
      <c r="K205" s="7">
        <f>46.24</f>
        <v>46.24</v>
      </c>
      <c r="L205" s="7">
        <f>128.03</f>
        <v>128.03</v>
      </c>
      <c r="M205" s="7">
        <f>57.18</f>
        <v>57.18</v>
      </c>
      <c r="N205" s="7">
        <f>239.37</f>
        <v>239.37</v>
      </c>
    </row>
    <row r="206" spans="2:14" x14ac:dyDescent="0.2">
      <c r="B206" s="5" t="s">
        <v>226</v>
      </c>
      <c r="C206" s="6"/>
      <c r="D206" s="7">
        <f>1010</f>
        <v>1010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2:14" x14ac:dyDescent="0.2">
      <c r="B207" s="5" t="s">
        <v>227</v>
      </c>
      <c r="C207" s="7">
        <f>8863.77</f>
        <v>8863.77</v>
      </c>
      <c r="D207" s="7">
        <f>7578.41</f>
        <v>7578.41</v>
      </c>
      <c r="E207" s="7">
        <f>7879.21</f>
        <v>7879.21</v>
      </c>
      <c r="F207" s="7">
        <f>8617.6</f>
        <v>8617.6</v>
      </c>
      <c r="G207" s="7">
        <f>7420.28</f>
        <v>7420.28</v>
      </c>
      <c r="H207" s="7">
        <f>4014.23</f>
        <v>4014.23</v>
      </c>
      <c r="I207" s="7">
        <f>11502</f>
        <v>11502</v>
      </c>
      <c r="J207" s="7">
        <f>5963.5</f>
        <v>5963.5</v>
      </c>
      <c r="K207" s="7">
        <f>11881.89</f>
        <v>11881.89</v>
      </c>
      <c r="L207" s="7">
        <f>16871.34</f>
        <v>16871.34</v>
      </c>
      <c r="M207" s="7">
        <f>20738.32</f>
        <v>20738.32</v>
      </c>
      <c r="N207" s="7">
        <f>13954.46</f>
        <v>13954.46</v>
      </c>
    </row>
    <row r="208" spans="2:14" x14ac:dyDescent="0.2">
      <c r="B208" s="5" t="s">
        <v>228</v>
      </c>
      <c r="C208" s="6"/>
      <c r="D208" s="6"/>
      <c r="E208" s="6"/>
      <c r="F208" s="6"/>
      <c r="G208" s="6"/>
      <c r="H208" s="6"/>
      <c r="I208" s="6"/>
      <c r="J208" s="6"/>
      <c r="K208" s="7">
        <f>2</f>
        <v>2</v>
      </c>
      <c r="L208" s="7">
        <f>129</f>
        <v>129</v>
      </c>
      <c r="M208" s="7">
        <f>963.68</f>
        <v>963.68</v>
      </c>
      <c r="N208" s="7">
        <f>993</f>
        <v>993</v>
      </c>
    </row>
    <row r="209" spans="1:14" x14ac:dyDescent="0.2">
      <c r="B209" s="5" t="s">
        <v>229</v>
      </c>
      <c r="C209" s="8">
        <f t="shared" ref="C209:N209" si="35">(C207)+(C208)</f>
        <v>8863.77</v>
      </c>
      <c r="D209" s="8">
        <f t="shared" si="35"/>
        <v>7578.41</v>
      </c>
      <c r="E209" s="8">
        <f t="shared" si="35"/>
        <v>7879.21</v>
      </c>
      <c r="F209" s="8">
        <f t="shared" si="35"/>
        <v>8617.6</v>
      </c>
      <c r="G209" s="8">
        <f t="shared" si="35"/>
        <v>7420.28</v>
      </c>
      <c r="H209" s="8">
        <f t="shared" si="35"/>
        <v>4014.23</v>
      </c>
      <c r="I209" s="8">
        <f t="shared" si="35"/>
        <v>11502</v>
      </c>
      <c r="J209" s="8">
        <f t="shared" si="35"/>
        <v>5963.5</v>
      </c>
      <c r="K209" s="8">
        <f t="shared" si="35"/>
        <v>11883.89</v>
      </c>
      <c r="L209" s="8">
        <f t="shared" si="35"/>
        <v>17000.34</v>
      </c>
      <c r="M209" s="8">
        <f t="shared" si="35"/>
        <v>21702</v>
      </c>
      <c r="N209" s="8">
        <f t="shared" si="35"/>
        <v>14947.46</v>
      </c>
    </row>
    <row r="210" spans="1:14" x14ac:dyDescent="0.2">
      <c r="B210" s="5" t="s">
        <v>230</v>
      </c>
      <c r="C210" s="7">
        <f>-1413.56</f>
        <v>-1413.56</v>
      </c>
      <c r="D210" s="7">
        <f>1413.56</f>
        <v>1413.56</v>
      </c>
      <c r="E210" s="7">
        <f>250</f>
        <v>250</v>
      </c>
      <c r="F210" s="7">
        <f>250</f>
        <v>250</v>
      </c>
      <c r="G210" s="7">
        <f>500</f>
        <v>500</v>
      </c>
      <c r="H210" s="6"/>
      <c r="I210" s="6"/>
      <c r="J210" s="6"/>
      <c r="K210" s="7">
        <f>132.03</f>
        <v>132.03</v>
      </c>
      <c r="L210" s="7">
        <f>530.4</f>
        <v>530.4</v>
      </c>
      <c r="M210" s="6"/>
      <c r="N210" s="7">
        <f>5381.19</f>
        <v>5381.19</v>
      </c>
    </row>
    <row r="211" spans="1:14" x14ac:dyDescent="0.2">
      <c r="B211" s="5" t="s">
        <v>231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B212" s="5" t="s">
        <v>232</v>
      </c>
      <c r="C212" s="7">
        <f t="shared" ref="C212:L212" si="36">391.06</f>
        <v>391.06</v>
      </c>
      <c r="D212" s="7">
        <f t="shared" si="36"/>
        <v>391.06</v>
      </c>
      <c r="E212" s="7">
        <f t="shared" si="36"/>
        <v>391.06</v>
      </c>
      <c r="F212" s="7">
        <f t="shared" si="36"/>
        <v>391.06</v>
      </c>
      <c r="G212" s="7">
        <f t="shared" si="36"/>
        <v>391.06</v>
      </c>
      <c r="H212" s="7">
        <f t="shared" si="36"/>
        <v>391.06</v>
      </c>
      <c r="I212" s="7">
        <f t="shared" si="36"/>
        <v>391.06</v>
      </c>
      <c r="J212" s="7">
        <f t="shared" si="36"/>
        <v>391.06</v>
      </c>
      <c r="K212" s="7">
        <f t="shared" si="36"/>
        <v>391.06</v>
      </c>
      <c r="L212" s="7">
        <f t="shared" si="36"/>
        <v>391.06</v>
      </c>
      <c r="M212" s="7">
        <f>390.91</f>
        <v>390.91</v>
      </c>
      <c r="N212" s="7">
        <f>393.06</f>
        <v>393.06</v>
      </c>
    </row>
    <row r="213" spans="1:14" x14ac:dyDescent="0.2">
      <c r="B213" s="5" t="s">
        <v>233</v>
      </c>
      <c r="C213" s="7">
        <f>35.73</f>
        <v>35.729999999999997</v>
      </c>
      <c r="D213" s="7">
        <f>31.24</f>
        <v>31.24</v>
      </c>
      <c r="E213" s="7">
        <f>30.32</f>
        <v>30.32</v>
      </c>
      <c r="F213" s="7">
        <f>30.98</f>
        <v>30.98</v>
      </c>
      <c r="G213" s="7">
        <f>53.8</f>
        <v>53.8</v>
      </c>
      <c r="H213" s="7">
        <f>73.8</f>
        <v>73.8</v>
      </c>
      <c r="I213" s="7">
        <f>66.07</f>
        <v>66.069999999999993</v>
      </c>
      <c r="J213" s="7">
        <f>63.82</f>
        <v>63.82</v>
      </c>
      <c r="K213" s="7">
        <f>53.34</f>
        <v>53.34</v>
      </c>
      <c r="L213" s="7">
        <f>62.61</f>
        <v>62.61</v>
      </c>
      <c r="M213" s="7">
        <f>55.93</f>
        <v>55.93</v>
      </c>
      <c r="N213" s="7">
        <f>53.85</f>
        <v>53.85</v>
      </c>
    </row>
    <row r="214" spans="1:14" x14ac:dyDescent="0.2">
      <c r="B214" s="5" t="s">
        <v>234</v>
      </c>
      <c r="C214" s="8">
        <f t="shared" ref="C214:N214" si="37">((C211)+(C212))+(C213)</f>
        <v>426.79</v>
      </c>
      <c r="D214" s="8">
        <f t="shared" si="37"/>
        <v>422.3</v>
      </c>
      <c r="E214" s="8">
        <f t="shared" si="37"/>
        <v>421.38</v>
      </c>
      <c r="F214" s="8">
        <f t="shared" si="37"/>
        <v>422.04</v>
      </c>
      <c r="G214" s="8">
        <f t="shared" si="37"/>
        <v>444.86</v>
      </c>
      <c r="H214" s="8">
        <f t="shared" si="37"/>
        <v>464.86</v>
      </c>
      <c r="I214" s="8">
        <f t="shared" si="37"/>
        <v>457.13</v>
      </c>
      <c r="J214" s="8">
        <f t="shared" si="37"/>
        <v>454.88</v>
      </c>
      <c r="K214" s="8">
        <f t="shared" si="37"/>
        <v>444.4</v>
      </c>
      <c r="L214" s="8">
        <f t="shared" si="37"/>
        <v>453.67</v>
      </c>
      <c r="M214" s="8">
        <f t="shared" si="37"/>
        <v>446.84000000000003</v>
      </c>
      <c r="N214" s="8">
        <f t="shared" si="37"/>
        <v>446.91</v>
      </c>
    </row>
    <row r="215" spans="1:14" x14ac:dyDescent="0.2">
      <c r="B215" s="5" t="s">
        <v>235</v>
      </c>
      <c r="C215" s="7">
        <f>67983.37</f>
        <v>67983.37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 s="13" t="s">
        <v>4</v>
      </c>
      <c r="B216" s="16" t="s">
        <v>236</v>
      </c>
      <c r="C216" s="8">
        <f t="shared" ref="C216:N216" si="38">(((((((((((((((((((((((((C146)+(C147))+(C161))+(C162))+(C167))+(C168))+(C173))+(C174))+(C180))+(C181))+(C182))+(C183))+(C184))+(C187))+(C188))+(C195))+(C196))+(C202))+(C203))+(C204))+(C205))+(C206))+(C209))+(C210))+(C214))+(C215)</f>
        <v>98183.72</v>
      </c>
      <c r="D216" s="8">
        <f t="shared" si="38"/>
        <v>60247.710000000006</v>
      </c>
      <c r="E216" s="8">
        <f t="shared" si="38"/>
        <v>87667.63</v>
      </c>
      <c r="F216" s="8">
        <f t="shared" si="38"/>
        <v>83127.830000000016</v>
      </c>
      <c r="G216" s="8">
        <f t="shared" si="38"/>
        <v>81749.219999999987</v>
      </c>
      <c r="H216" s="8">
        <f t="shared" si="38"/>
        <v>43164.600000000006</v>
      </c>
      <c r="I216" s="8">
        <f t="shared" si="38"/>
        <v>82861.51999999999</v>
      </c>
      <c r="J216" s="8">
        <f t="shared" si="38"/>
        <v>69648.47</v>
      </c>
      <c r="K216" s="8">
        <f t="shared" si="38"/>
        <v>103178.96999999999</v>
      </c>
      <c r="L216" s="8">
        <f t="shared" si="38"/>
        <v>121408.26999999997</v>
      </c>
      <c r="M216" s="8">
        <f t="shared" si="38"/>
        <v>145541.96</v>
      </c>
      <c r="N216" s="8">
        <f t="shared" si="38"/>
        <v>303067.13999999996</v>
      </c>
    </row>
    <row r="217" spans="1:14" x14ac:dyDescent="0.2">
      <c r="A217" s="13" t="s">
        <v>367</v>
      </c>
      <c r="B217" s="16" t="s">
        <v>237</v>
      </c>
      <c r="C217" s="6"/>
      <c r="D217" s="6"/>
      <c r="E217" s="6"/>
      <c r="F217" s="6"/>
      <c r="G217" s="6"/>
      <c r="H217" s="7">
        <f>-10.2</f>
        <v>-10.199999999999999</v>
      </c>
      <c r="I217" s="7">
        <f>-10.2</f>
        <v>-10.199999999999999</v>
      </c>
      <c r="J217" s="7">
        <f>-10.2</f>
        <v>-10.199999999999999</v>
      </c>
      <c r="K217" s="7">
        <f>-10.2</f>
        <v>-10.199999999999999</v>
      </c>
      <c r="L217" s="7">
        <f>-15.3</f>
        <v>-15.3</v>
      </c>
      <c r="M217" s="7">
        <f>-14.14</f>
        <v>-14.14</v>
      </c>
      <c r="N217" s="7">
        <f>-10.88</f>
        <v>-10.88</v>
      </c>
    </row>
    <row r="218" spans="1:14" x14ac:dyDescent="0.2">
      <c r="A218" s="13" t="s">
        <v>17</v>
      </c>
      <c r="B218" s="16" t="s">
        <v>238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7">
        <f>212810.59</f>
        <v>212810.59</v>
      </c>
    </row>
    <row r="219" spans="1:14" x14ac:dyDescent="0.2">
      <c r="A219" s="13" t="s">
        <v>366</v>
      </c>
      <c r="B219" s="16" t="s">
        <v>239</v>
      </c>
      <c r="C219" s="6"/>
      <c r="D219" s="6"/>
      <c r="E219" s="6"/>
      <c r="F219" s="6"/>
      <c r="G219" s="6"/>
      <c r="H219" s="6"/>
      <c r="I219" s="6"/>
      <c r="J219" s="7">
        <f>99.45</f>
        <v>99.45</v>
      </c>
      <c r="K219" s="6"/>
      <c r="L219" s="6"/>
      <c r="M219" s="6"/>
      <c r="N219" s="7">
        <f>2457.7</f>
        <v>2457.6999999999998</v>
      </c>
    </row>
    <row r="220" spans="1:14" x14ac:dyDescent="0.2">
      <c r="B220" s="5" t="s">
        <v>10</v>
      </c>
      <c r="C220" s="8">
        <f t="shared" ref="C220:N220" si="39">((((((C70)+(C112))+(C145))+(C216))+(C217))+(C218))+(C219)</f>
        <v>260164.24000000002</v>
      </c>
      <c r="D220" s="8">
        <f t="shared" si="39"/>
        <v>463507.55</v>
      </c>
      <c r="E220" s="8">
        <f t="shared" si="39"/>
        <v>635193.14000000013</v>
      </c>
      <c r="F220" s="8">
        <f t="shared" si="39"/>
        <v>543583.13</v>
      </c>
      <c r="G220" s="8">
        <f t="shared" si="39"/>
        <v>759791.16999999993</v>
      </c>
      <c r="H220" s="8">
        <f t="shared" si="39"/>
        <v>591205.72999999986</v>
      </c>
      <c r="I220" s="8">
        <f t="shared" si="39"/>
        <v>542924.62</v>
      </c>
      <c r="J220" s="8">
        <f t="shared" si="39"/>
        <v>643074.74</v>
      </c>
      <c r="K220" s="8">
        <f t="shared" si="39"/>
        <v>782029.15</v>
      </c>
      <c r="L220" s="8">
        <f t="shared" si="39"/>
        <v>1011309.2</v>
      </c>
      <c r="M220" s="8">
        <f t="shared" si="39"/>
        <v>1314177.73</v>
      </c>
      <c r="N220" s="8">
        <f t="shared" si="39"/>
        <v>1844912.1300000001</v>
      </c>
    </row>
    <row r="221" spans="1:14" x14ac:dyDescent="0.2">
      <c r="B221" s="5" t="s">
        <v>9</v>
      </c>
      <c r="C221" s="8">
        <f t="shared" ref="C221:N221" si="40">(C37)-(C220)</f>
        <v>-4043.7500000000291</v>
      </c>
      <c r="D221" s="8">
        <f t="shared" si="40"/>
        <v>-223204.40999999997</v>
      </c>
      <c r="E221" s="8">
        <f t="shared" si="40"/>
        <v>-310442.17000000016</v>
      </c>
      <c r="F221" s="8">
        <f t="shared" si="40"/>
        <v>-193790.25</v>
      </c>
      <c r="G221" s="8">
        <f t="shared" si="40"/>
        <v>-482237.23</v>
      </c>
      <c r="H221" s="8">
        <f t="shared" si="40"/>
        <v>-282978.86999999988</v>
      </c>
      <c r="I221" s="8">
        <f t="shared" si="40"/>
        <v>-158891.62</v>
      </c>
      <c r="J221" s="8">
        <f t="shared" si="40"/>
        <v>-172097.12999999995</v>
      </c>
      <c r="K221" s="8">
        <f t="shared" si="40"/>
        <v>-290281.25000000012</v>
      </c>
      <c r="L221" s="8">
        <f t="shared" si="40"/>
        <v>-445187.02</v>
      </c>
      <c r="M221" s="8">
        <f t="shared" si="40"/>
        <v>-676672</v>
      </c>
      <c r="N221" s="8">
        <f t="shared" si="40"/>
        <v>-1488367.34</v>
      </c>
    </row>
    <row r="222" spans="1:14" x14ac:dyDescent="0.2">
      <c r="B222" s="5" t="s">
        <v>240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B223" s="5" t="s">
        <v>241</v>
      </c>
      <c r="C223" s="7">
        <f>688.55</f>
        <v>688.55</v>
      </c>
      <c r="D223" s="7">
        <f>1145.98</f>
        <v>1145.98</v>
      </c>
      <c r="E223" s="7">
        <f>1176.83</f>
        <v>1176.83</v>
      </c>
      <c r="F223" s="7">
        <f>1063.07</f>
        <v>1063.07</v>
      </c>
      <c r="G223" s="7">
        <f>1062.88</f>
        <v>1062.8800000000001</v>
      </c>
      <c r="H223" s="7">
        <f>850.42</f>
        <v>850.42</v>
      </c>
      <c r="I223" s="7">
        <f>742.32</f>
        <v>742.32</v>
      </c>
      <c r="J223" s="7">
        <f>432.37</f>
        <v>432.37</v>
      </c>
      <c r="K223" s="7">
        <f>5425.03</f>
        <v>5425.03</v>
      </c>
      <c r="L223" s="7">
        <f>13095.44</f>
        <v>13095.44</v>
      </c>
      <c r="M223" s="7">
        <f>41996.83</f>
        <v>41996.83</v>
      </c>
      <c r="N223" s="7">
        <f>41969.35</f>
        <v>41969.35</v>
      </c>
    </row>
    <row r="224" spans="1:14" x14ac:dyDescent="0.2">
      <c r="B224" s="5" t="s">
        <v>242</v>
      </c>
      <c r="C224" s="6"/>
      <c r="D224" s="6"/>
      <c r="E224" s="6"/>
      <c r="F224" s="6"/>
      <c r="G224" s="6"/>
      <c r="H224" s="6"/>
      <c r="I224" s="6"/>
      <c r="J224" s="6"/>
      <c r="K224" s="7">
        <f>0</f>
        <v>0</v>
      </c>
      <c r="L224" s="6"/>
      <c r="M224" s="6"/>
      <c r="N224" s="7">
        <f>2594.4</f>
        <v>2594.4</v>
      </c>
    </row>
    <row r="225" spans="1:14" x14ac:dyDescent="0.2">
      <c r="B225" s="17" t="s">
        <v>243</v>
      </c>
      <c r="C225" s="8">
        <f t="shared" ref="C225:N225" si="41">(C223)+(C224)</f>
        <v>688.55</v>
      </c>
      <c r="D225" s="8">
        <f t="shared" si="41"/>
        <v>1145.98</v>
      </c>
      <c r="E225" s="8">
        <f t="shared" si="41"/>
        <v>1176.83</v>
      </c>
      <c r="F225" s="8">
        <f t="shared" si="41"/>
        <v>1063.07</v>
      </c>
      <c r="G225" s="8">
        <f t="shared" si="41"/>
        <v>1062.8800000000001</v>
      </c>
      <c r="H225" s="8">
        <f t="shared" si="41"/>
        <v>850.42</v>
      </c>
      <c r="I225" s="8">
        <f t="shared" si="41"/>
        <v>742.32</v>
      </c>
      <c r="J225" s="8">
        <f t="shared" si="41"/>
        <v>432.37</v>
      </c>
      <c r="K225" s="8">
        <f t="shared" si="41"/>
        <v>5425.03</v>
      </c>
      <c r="L225" s="8">
        <f t="shared" si="41"/>
        <v>13095.44</v>
      </c>
      <c r="M225" s="8">
        <f t="shared" si="41"/>
        <v>41996.83</v>
      </c>
      <c r="N225" s="8">
        <f t="shared" si="41"/>
        <v>44563.75</v>
      </c>
    </row>
    <row r="226" spans="1:14" x14ac:dyDescent="0.2">
      <c r="B226" s="17" t="s">
        <v>244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B227" s="17" t="s">
        <v>245</v>
      </c>
      <c r="C227" s="7">
        <f>0</f>
        <v>0</v>
      </c>
      <c r="D227" s="6"/>
      <c r="E227" s="7">
        <f>0</f>
        <v>0</v>
      </c>
      <c r="F227" s="7">
        <f>0</f>
        <v>0</v>
      </c>
      <c r="G227" s="7">
        <f>0</f>
        <v>0</v>
      </c>
      <c r="H227" s="6"/>
      <c r="I227" s="7">
        <f>0</f>
        <v>0</v>
      </c>
      <c r="J227" s="6"/>
      <c r="K227" s="7">
        <f>0</f>
        <v>0</v>
      </c>
      <c r="L227" s="6"/>
      <c r="M227" s="7">
        <f>0</f>
        <v>0</v>
      </c>
      <c r="N227" s="7">
        <f>0</f>
        <v>0</v>
      </c>
    </row>
    <row r="228" spans="1:14" x14ac:dyDescent="0.2">
      <c r="B228" s="17" t="s">
        <v>246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7">
        <f>584</f>
        <v>584</v>
      </c>
    </row>
    <row r="229" spans="1:14" x14ac:dyDescent="0.2">
      <c r="B229" s="17" t="s">
        <v>247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B230" s="17" t="s">
        <v>248</v>
      </c>
      <c r="C230" s="8">
        <f t="shared" ref="C230:N230" si="42">((C227)+(C228))+(C229)</f>
        <v>0</v>
      </c>
      <c r="D230" s="8">
        <f t="shared" si="42"/>
        <v>0</v>
      </c>
      <c r="E230" s="8">
        <f t="shared" si="42"/>
        <v>0</v>
      </c>
      <c r="F230" s="8">
        <f t="shared" si="42"/>
        <v>0</v>
      </c>
      <c r="G230" s="8">
        <f t="shared" si="42"/>
        <v>0</v>
      </c>
      <c r="H230" s="8">
        <f t="shared" si="42"/>
        <v>0</v>
      </c>
      <c r="I230" s="8">
        <f t="shared" si="42"/>
        <v>0</v>
      </c>
      <c r="J230" s="8">
        <f t="shared" si="42"/>
        <v>0</v>
      </c>
      <c r="K230" s="8">
        <f t="shared" si="42"/>
        <v>0</v>
      </c>
      <c r="L230" s="8">
        <f t="shared" si="42"/>
        <v>0</v>
      </c>
      <c r="M230" s="8">
        <f t="shared" si="42"/>
        <v>0</v>
      </c>
      <c r="N230" s="8">
        <f t="shared" si="42"/>
        <v>584</v>
      </c>
    </row>
    <row r="231" spans="1:14" x14ac:dyDescent="0.2">
      <c r="A231" s="13" t="str">
        <f>+B231</f>
        <v>Net Other Income</v>
      </c>
      <c r="B231" s="16" t="s">
        <v>249</v>
      </c>
      <c r="C231" s="8">
        <f t="shared" ref="C231:N231" si="43">(C225)-(C230)</f>
        <v>688.55</v>
      </c>
      <c r="D231" s="8">
        <f t="shared" si="43"/>
        <v>1145.98</v>
      </c>
      <c r="E231" s="8">
        <f t="shared" si="43"/>
        <v>1176.83</v>
      </c>
      <c r="F231" s="8">
        <f t="shared" si="43"/>
        <v>1063.07</v>
      </c>
      <c r="G231" s="8">
        <f t="shared" si="43"/>
        <v>1062.8800000000001</v>
      </c>
      <c r="H231" s="8">
        <f t="shared" si="43"/>
        <v>850.42</v>
      </c>
      <c r="I231" s="8">
        <f t="shared" si="43"/>
        <v>742.32</v>
      </c>
      <c r="J231" s="8">
        <f t="shared" si="43"/>
        <v>432.37</v>
      </c>
      <c r="K231" s="8">
        <f t="shared" si="43"/>
        <v>5425.03</v>
      </c>
      <c r="L231" s="8">
        <f t="shared" si="43"/>
        <v>13095.44</v>
      </c>
      <c r="M231" s="8">
        <f t="shared" si="43"/>
        <v>41996.83</v>
      </c>
      <c r="N231" s="8">
        <f t="shared" si="43"/>
        <v>43979.75</v>
      </c>
    </row>
    <row r="232" spans="1:14" x14ac:dyDescent="0.2">
      <c r="B232" s="5" t="s">
        <v>5</v>
      </c>
      <c r="C232" s="8">
        <f t="shared" ref="C232:N232" si="44">(C221)+(C231)</f>
        <v>-3355.2000000000289</v>
      </c>
      <c r="D232" s="8">
        <f t="shared" si="44"/>
        <v>-222058.42999999996</v>
      </c>
      <c r="E232" s="8">
        <f t="shared" si="44"/>
        <v>-309265.34000000014</v>
      </c>
      <c r="F232" s="8">
        <f t="shared" si="44"/>
        <v>-192727.18</v>
      </c>
      <c r="G232" s="8">
        <f t="shared" si="44"/>
        <v>-481174.35</v>
      </c>
      <c r="H232" s="8">
        <f t="shared" si="44"/>
        <v>-282128.4499999999</v>
      </c>
      <c r="I232" s="8">
        <f t="shared" si="44"/>
        <v>-158149.29999999999</v>
      </c>
      <c r="J232" s="8">
        <f t="shared" si="44"/>
        <v>-171664.75999999995</v>
      </c>
      <c r="K232" s="8">
        <f t="shared" si="44"/>
        <v>-284856.22000000009</v>
      </c>
      <c r="L232" s="8">
        <f t="shared" si="44"/>
        <v>-432091.58</v>
      </c>
      <c r="M232" s="8">
        <f t="shared" si="44"/>
        <v>-634675.17000000004</v>
      </c>
      <c r="N232" s="8">
        <f t="shared" si="44"/>
        <v>-1444387.59</v>
      </c>
    </row>
    <row r="233" spans="1:14" x14ac:dyDescent="0.2">
      <c r="A233" s="11" t="s">
        <v>0</v>
      </c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6" spans="1:14" x14ac:dyDescent="0.2">
      <c r="B236" s="14" t="s">
        <v>250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942D-B54A-9C4B-BD3C-D05A69004FAF}">
  <dimension ref="A1:N236"/>
  <sheetViews>
    <sheetView zoomScaleNormal="100" workbookViewId="0">
      <pane xSplit="2" ySplit="1" topLeftCell="C2" activePane="bottomRight" state="frozen"/>
      <selection activeCell="N236" sqref="N236"/>
      <selection pane="topRight" activeCell="N236" sqref="N236"/>
      <selection pane="bottomLeft" activeCell="N236" sqref="N236"/>
      <selection pane="bottomRight" activeCell="D5" sqref="D5"/>
    </sheetView>
  </sheetViews>
  <sheetFormatPr baseColWidth="10" defaultColWidth="9.1640625" defaultRowHeight="15" x14ac:dyDescent="0.2"/>
  <cols>
    <col min="1" max="1" width="19.5" style="11" bestFit="1" customWidth="1"/>
    <col min="2" max="2" width="54.1640625" style="11" customWidth="1"/>
    <col min="3" max="5" width="12" style="11" customWidth="1"/>
    <col min="6" max="6" width="13.6640625" style="11" customWidth="1"/>
    <col min="7" max="11" width="12" style="11" customWidth="1"/>
    <col min="12" max="12" width="13.6640625" style="11" customWidth="1"/>
    <col min="13" max="13" width="12" style="11" customWidth="1"/>
    <col min="14" max="14" width="13.6640625" style="11" customWidth="1"/>
    <col min="15" max="16384" width="9.1640625" style="11"/>
  </cols>
  <sheetData>
    <row r="1" spans="1:14" x14ac:dyDescent="0.2">
      <c r="A1" s="11" t="s">
        <v>394</v>
      </c>
      <c r="B1" s="3"/>
      <c r="C1" s="31">
        <v>43466</v>
      </c>
      <c r="D1" s="31">
        <v>43497</v>
      </c>
      <c r="E1" s="31">
        <v>43525</v>
      </c>
      <c r="F1" s="31">
        <v>43556</v>
      </c>
      <c r="G1" s="31">
        <v>43586</v>
      </c>
      <c r="H1" s="31">
        <v>43617</v>
      </c>
      <c r="I1" s="31">
        <v>43647</v>
      </c>
      <c r="J1" s="31">
        <v>43678</v>
      </c>
      <c r="K1" s="31">
        <v>43709</v>
      </c>
      <c r="L1" s="31">
        <v>43739</v>
      </c>
      <c r="M1" s="31">
        <v>43770</v>
      </c>
      <c r="N1" s="31">
        <v>43800</v>
      </c>
    </row>
    <row r="2" spans="1:14" x14ac:dyDescent="0.2">
      <c r="B2" s="5" t="s">
        <v>14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B3" s="5" t="s">
        <v>28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3" t="s">
        <v>16</v>
      </c>
      <c r="B4" s="5" t="s">
        <v>29</v>
      </c>
      <c r="C4" s="7">
        <f>2530</f>
        <v>2530</v>
      </c>
      <c r="D4" s="7">
        <f>2530</f>
        <v>2530</v>
      </c>
      <c r="E4" s="7">
        <f>2530</f>
        <v>2530</v>
      </c>
      <c r="F4" s="7">
        <f>2530</f>
        <v>2530</v>
      </c>
      <c r="G4" s="7">
        <f>2530</f>
        <v>2530</v>
      </c>
      <c r="H4" s="7">
        <f>2530</f>
        <v>2530</v>
      </c>
      <c r="I4" s="7">
        <f>2530</f>
        <v>2530</v>
      </c>
      <c r="J4" s="7">
        <f>2530</f>
        <v>2530</v>
      </c>
      <c r="K4" s="7">
        <f>2530</f>
        <v>2530</v>
      </c>
      <c r="L4" s="7">
        <f>2530</f>
        <v>2530</v>
      </c>
      <c r="M4" s="7">
        <f>2530</f>
        <v>2530</v>
      </c>
      <c r="N4" s="7">
        <f>2530</f>
        <v>2530</v>
      </c>
    </row>
    <row r="5" spans="1:14" x14ac:dyDescent="0.2">
      <c r="A5" s="13" t="s">
        <v>16</v>
      </c>
      <c r="B5" s="5" t="s">
        <v>30</v>
      </c>
      <c r="C5" s="7">
        <f>10120</f>
        <v>10120</v>
      </c>
      <c r="D5" s="7">
        <f>10120</f>
        <v>10120</v>
      </c>
      <c r="E5" s="7">
        <f>10120</f>
        <v>10120</v>
      </c>
      <c r="F5" s="7">
        <f>11182</f>
        <v>11182</v>
      </c>
      <c r="G5" s="7">
        <f>10120</f>
        <v>10120</v>
      </c>
      <c r="H5" s="7">
        <f>10120</f>
        <v>10120</v>
      </c>
      <c r="I5" s="7">
        <f>10120</f>
        <v>10120</v>
      </c>
      <c r="J5" s="7">
        <f>10120</f>
        <v>10120</v>
      </c>
      <c r="K5" s="7">
        <f>10120</f>
        <v>10120</v>
      </c>
      <c r="L5" s="7">
        <f>10120</f>
        <v>10120</v>
      </c>
      <c r="M5" s="7">
        <f>10120</f>
        <v>10120</v>
      </c>
      <c r="N5" s="7">
        <f>10120</f>
        <v>10120</v>
      </c>
    </row>
    <row r="6" spans="1:14" x14ac:dyDescent="0.2">
      <c r="A6" s="13" t="s">
        <v>15</v>
      </c>
      <c r="B6" s="5" t="s">
        <v>31</v>
      </c>
      <c r="C6" s="7">
        <f>70093.86</f>
        <v>70093.86</v>
      </c>
      <c r="D6" s="7">
        <f>81774.1</f>
        <v>81774.100000000006</v>
      </c>
      <c r="E6" s="7">
        <f>85886.95</f>
        <v>85886.95</v>
      </c>
      <c r="F6" s="7">
        <f>80397.8</f>
        <v>80397.8</v>
      </c>
      <c r="G6" s="7">
        <f>90397.49</f>
        <v>90397.49</v>
      </c>
      <c r="H6" s="7">
        <f>75183.43</f>
        <v>75183.429999999993</v>
      </c>
      <c r="I6" s="7">
        <f>110858.29</f>
        <v>110858.29</v>
      </c>
      <c r="J6" s="7">
        <f>143657.03</f>
        <v>143657.03</v>
      </c>
      <c r="K6" s="7">
        <f>164745.22</f>
        <v>164745.22</v>
      </c>
      <c r="L6" s="7">
        <f>158980.87</f>
        <v>158980.87</v>
      </c>
      <c r="M6" s="7">
        <f>187331.15</f>
        <v>187331.15</v>
      </c>
      <c r="N6" s="7">
        <f>164902.55</f>
        <v>164902.54999999999</v>
      </c>
    </row>
    <row r="7" spans="1:14" x14ac:dyDescent="0.2">
      <c r="A7" s="13" t="s">
        <v>16</v>
      </c>
      <c r="B7" s="5" t="s">
        <v>32</v>
      </c>
      <c r="C7" s="7">
        <f>793952.94</f>
        <v>793952.94</v>
      </c>
      <c r="D7" s="7">
        <f>787942.84</f>
        <v>787942.84</v>
      </c>
      <c r="E7" s="7">
        <f>850226.2</f>
        <v>850226.2</v>
      </c>
      <c r="F7" s="7">
        <f>921230.17</f>
        <v>921230.17</v>
      </c>
      <c r="G7" s="7">
        <f>943778.81</f>
        <v>943778.81</v>
      </c>
      <c r="H7" s="7">
        <f>1014087.58</f>
        <v>1014087.58</v>
      </c>
      <c r="I7" s="7">
        <f>1047008.6</f>
        <v>1047008.6</v>
      </c>
      <c r="J7" s="7">
        <f>1093453.64</f>
        <v>1093453.6399999999</v>
      </c>
      <c r="K7" s="7">
        <f>1171543.04</f>
        <v>1171543.04</v>
      </c>
      <c r="L7" s="7">
        <f>1376037.21</f>
        <v>1376037.21</v>
      </c>
      <c r="M7" s="7">
        <f>1442416.87</f>
        <v>1442416.87</v>
      </c>
      <c r="N7" s="7">
        <f>1494625.14</f>
        <v>1494625.14</v>
      </c>
    </row>
    <row r="8" spans="1:14" x14ac:dyDescent="0.2">
      <c r="A8" s="13" t="s">
        <v>15</v>
      </c>
      <c r="B8" s="5" t="s">
        <v>33</v>
      </c>
      <c r="C8" s="7">
        <f>10420</f>
        <v>10420</v>
      </c>
      <c r="D8" s="7">
        <f>420</f>
        <v>420</v>
      </c>
      <c r="E8" s="7">
        <f>420</f>
        <v>420</v>
      </c>
      <c r="F8" s="7">
        <f>5075</f>
        <v>5075</v>
      </c>
      <c r="G8" s="7">
        <f>12500</f>
        <v>12500</v>
      </c>
      <c r="H8" s="7">
        <f>27100</f>
        <v>27100</v>
      </c>
      <c r="I8" s="6"/>
      <c r="J8" s="7">
        <f>0</f>
        <v>0</v>
      </c>
      <c r="K8" s="7">
        <f>7500</f>
        <v>7500</v>
      </c>
      <c r="L8" s="7">
        <f>5000</f>
        <v>5000</v>
      </c>
      <c r="M8" s="7">
        <f>3600</f>
        <v>3600</v>
      </c>
      <c r="N8" s="7">
        <f>600</f>
        <v>600</v>
      </c>
    </row>
    <row r="9" spans="1:14" x14ac:dyDescent="0.2">
      <c r="A9" s="13" t="s">
        <v>16</v>
      </c>
      <c r="B9" s="5" t="s">
        <v>34</v>
      </c>
      <c r="C9" s="6"/>
      <c r="D9" s="7">
        <f>0</f>
        <v>0</v>
      </c>
      <c r="E9" s="6"/>
      <c r="F9" s="6"/>
      <c r="G9" s="6"/>
      <c r="H9" s="6"/>
      <c r="I9" s="6"/>
      <c r="J9" s="6"/>
      <c r="K9" s="6"/>
      <c r="L9" s="7">
        <f>0</f>
        <v>0</v>
      </c>
      <c r="M9" s="6"/>
      <c r="N9" s="6"/>
    </row>
    <row r="10" spans="1:14" x14ac:dyDescent="0.2">
      <c r="B10" s="5" t="s">
        <v>35</v>
      </c>
      <c r="C10" s="8">
        <f t="shared" ref="C10:N10" si="0">((((((C3)+(C4))+(C5))+(C6))+(C7))+(C8))+(C9)</f>
        <v>887116.79999999993</v>
      </c>
      <c r="D10" s="8">
        <f t="shared" si="0"/>
        <v>882786.94</v>
      </c>
      <c r="E10" s="8">
        <f t="shared" si="0"/>
        <v>949183.14999999991</v>
      </c>
      <c r="F10" s="8">
        <f t="shared" si="0"/>
        <v>1020414.9700000001</v>
      </c>
      <c r="G10" s="8">
        <f t="shared" si="0"/>
        <v>1059326.3</v>
      </c>
      <c r="H10" s="8">
        <f t="shared" si="0"/>
        <v>1129021.01</v>
      </c>
      <c r="I10" s="8">
        <f t="shared" si="0"/>
        <v>1170516.8899999999</v>
      </c>
      <c r="J10" s="8">
        <f t="shared" si="0"/>
        <v>1249760.67</v>
      </c>
      <c r="K10" s="8">
        <f t="shared" si="0"/>
        <v>1356438.26</v>
      </c>
      <c r="L10" s="8">
        <f t="shared" si="0"/>
        <v>1552668.08</v>
      </c>
      <c r="M10" s="8">
        <f t="shared" si="0"/>
        <v>1645998.02</v>
      </c>
      <c r="N10" s="8">
        <f t="shared" si="0"/>
        <v>1672777.69</v>
      </c>
    </row>
    <row r="11" spans="1:14" x14ac:dyDescent="0.2">
      <c r="B11" s="16" t="s">
        <v>13</v>
      </c>
      <c r="C11" s="8">
        <f t="shared" ref="C11:N11" si="1">C10</f>
        <v>887116.79999999993</v>
      </c>
      <c r="D11" s="8">
        <f t="shared" si="1"/>
        <v>882786.94</v>
      </c>
      <c r="E11" s="8">
        <f t="shared" si="1"/>
        <v>949183.14999999991</v>
      </c>
      <c r="F11" s="8">
        <f t="shared" si="1"/>
        <v>1020414.9700000001</v>
      </c>
      <c r="G11" s="8">
        <f t="shared" si="1"/>
        <v>1059326.3</v>
      </c>
      <c r="H11" s="8">
        <f t="shared" si="1"/>
        <v>1129021.01</v>
      </c>
      <c r="I11" s="8">
        <f t="shared" si="1"/>
        <v>1170516.8899999999</v>
      </c>
      <c r="J11" s="8">
        <f t="shared" si="1"/>
        <v>1249760.67</v>
      </c>
      <c r="K11" s="8">
        <f t="shared" si="1"/>
        <v>1356438.26</v>
      </c>
      <c r="L11" s="8">
        <f t="shared" si="1"/>
        <v>1552668.08</v>
      </c>
      <c r="M11" s="8">
        <f t="shared" si="1"/>
        <v>1645998.02</v>
      </c>
      <c r="N11" s="8">
        <f t="shared" si="1"/>
        <v>1672777.69</v>
      </c>
    </row>
    <row r="12" spans="1:14" x14ac:dyDescent="0.2">
      <c r="B12" s="5" t="s">
        <v>12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">
      <c r="B13" s="5" t="s">
        <v>36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B14" s="5" t="s">
        <v>37</v>
      </c>
      <c r="C14" s="7">
        <f>150</f>
        <v>150</v>
      </c>
      <c r="D14" s="7">
        <f>102041.18</f>
        <v>102041.18</v>
      </c>
      <c r="E14" s="7">
        <f>98379.61</f>
        <v>98379.61</v>
      </c>
      <c r="F14" s="7">
        <f>114958.44</f>
        <v>114958.44</v>
      </c>
      <c r="G14" s="7">
        <f>116176.14</f>
        <v>116176.14</v>
      </c>
      <c r="H14" s="7">
        <f>140418.55</f>
        <v>140418.54999999999</v>
      </c>
      <c r="I14" s="7">
        <f>130343.69</f>
        <v>130343.69</v>
      </c>
      <c r="J14" s="7">
        <f>178999.6</f>
        <v>178999.6</v>
      </c>
      <c r="K14" s="7">
        <f>121966.01</f>
        <v>121966.01</v>
      </c>
      <c r="L14" s="7">
        <f>118800.8</f>
        <v>118800.8</v>
      </c>
      <c r="M14" s="7">
        <f>132251.89</f>
        <v>132251.89000000001</v>
      </c>
      <c r="N14" s="7">
        <f>339006.15</f>
        <v>339006.15</v>
      </c>
    </row>
    <row r="15" spans="1:14" x14ac:dyDescent="0.2">
      <c r="B15" s="5" t="s">
        <v>38</v>
      </c>
      <c r="C15" s="7">
        <f>2591.41</f>
        <v>2591.41</v>
      </c>
      <c r="D15" s="7">
        <f>3279.09</f>
        <v>3279.09</v>
      </c>
      <c r="E15" s="7">
        <f>3318.09</f>
        <v>3318.09</v>
      </c>
      <c r="F15" s="7">
        <f>3486.74</f>
        <v>3486.74</v>
      </c>
      <c r="G15" s="7">
        <f>3279.09</f>
        <v>3279.09</v>
      </c>
      <c r="H15" s="7">
        <f>2249.09</f>
        <v>2249.09</v>
      </c>
      <c r="I15" s="7">
        <f>3786.83</f>
        <v>3786.83</v>
      </c>
      <c r="J15" s="7">
        <f>1718.09</f>
        <v>1718.09</v>
      </c>
      <c r="K15" s="7">
        <f>2087.55</f>
        <v>2087.5500000000002</v>
      </c>
      <c r="L15" s="7">
        <f>1718.09</f>
        <v>1718.09</v>
      </c>
      <c r="M15" s="7">
        <f>1718.09</f>
        <v>1718.09</v>
      </c>
      <c r="N15" s="7">
        <f>1718.09</f>
        <v>1718.09</v>
      </c>
    </row>
    <row r="16" spans="1:14" x14ac:dyDescent="0.2">
      <c r="B16" s="5" t="s">
        <v>39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2:14" x14ac:dyDescent="0.2">
      <c r="B17" s="5" t="s">
        <v>40</v>
      </c>
      <c r="C17" s="6"/>
      <c r="D17" s="6"/>
      <c r="E17" s="6"/>
      <c r="F17" s="6"/>
      <c r="G17" s="6"/>
      <c r="H17" s="6"/>
      <c r="I17" s="6"/>
      <c r="J17" s="6"/>
      <c r="K17" s="6"/>
      <c r="L17" s="7">
        <f>1667.79</f>
        <v>1667.79</v>
      </c>
      <c r="M17" s="6"/>
      <c r="N17" s="6"/>
    </row>
    <row r="18" spans="2:14" x14ac:dyDescent="0.2">
      <c r="B18" s="15" t="s">
        <v>41</v>
      </c>
      <c r="C18" s="8">
        <f t="shared" ref="C18:N18" si="2">(C16)+(C17)</f>
        <v>0</v>
      </c>
      <c r="D18" s="8">
        <f t="shared" si="2"/>
        <v>0</v>
      </c>
      <c r="E18" s="8">
        <f t="shared" si="2"/>
        <v>0</v>
      </c>
      <c r="F18" s="8">
        <f t="shared" si="2"/>
        <v>0</v>
      </c>
      <c r="G18" s="8">
        <f t="shared" si="2"/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1667.79</v>
      </c>
      <c r="M18" s="8">
        <f t="shared" si="2"/>
        <v>0</v>
      </c>
      <c r="N18" s="8">
        <f t="shared" si="2"/>
        <v>0</v>
      </c>
    </row>
    <row r="19" spans="2:14" x14ac:dyDescent="0.2">
      <c r="B19" s="5" t="s">
        <v>42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2:14" x14ac:dyDescent="0.2">
      <c r="B20" s="5" t="s">
        <v>43</v>
      </c>
      <c r="C20" s="7">
        <f>101762.51</f>
        <v>101762.51</v>
      </c>
      <c r="D20" s="7">
        <f>113567.33</f>
        <v>113567.33</v>
      </c>
      <c r="E20" s="7">
        <f>153312.5</f>
        <v>153312.5</v>
      </c>
      <c r="F20" s="7">
        <f>159263.74</f>
        <v>159263.74</v>
      </c>
      <c r="G20" s="7">
        <f>192835.12</f>
        <v>192835.12</v>
      </c>
      <c r="H20" s="7">
        <f>198410.62</f>
        <v>198410.62</v>
      </c>
      <c r="I20" s="7">
        <f>228046.32</f>
        <v>228046.32</v>
      </c>
      <c r="J20" s="7">
        <f>239812.7</f>
        <v>239812.7</v>
      </c>
      <c r="K20" s="7">
        <f>137522.19</f>
        <v>137522.19</v>
      </c>
      <c r="L20" s="7">
        <f>377004.45</f>
        <v>377004.45</v>
      </c>
      <c r="M20" s="7">
        <f>271701.02</f>
        <v>271701.02</v>
      </c>
      <c r="N20" s="7">
        <f>263559.25</f>
        <v>263559.25</v>
      </c>
    </row>
    <row r="21" spans="2:14" x14ac:dyDescent="0.2">
      <c r="B21" s="5" t="s">
        <v>44</v>
      </c>
      <c r="C21" s="7">
        <f>0</f>
        <v>0</v>
      </c>
      <c r="D21" s="7">
        <f>1772.76</f>
        <v>1772.76</v>
      </c>
      <c r="E21" s="6"/>
      <c r="F21" s="7">
        <f>25000</f>
        <v>25000</v>
      </c>
      <c r="G21" s="6"/>
      <c r="H21" s="6"/>
      <c r="I21" s="7">
        <f>76505.39</f>
        <v>76505.39</v>
      </c>
      <c r="J21" s="7">
        <f>2541.46</f>
        <v>2541.46</v>
      </c>
      <c r="K21" s="7">
        <f>1691.46</f>
        <v>1691.46</v>
      </c>
      <c r="L21" s="7">
        <f>30000</f>
        <v>30000</v>
      </c>
      <c r="M21" s="7">
        <f>1529.05</f>
        <v>1529.05</v>
      </c>
      <c r="N21" s="7">
        <f>69950</f>
        <v>69950</v>
      </c>
    </row>
    <row r="22" spans="2:14" x14ac:dyDescent="0.2">
      <c r="B22" s="5" t="s">
        <v>45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2:14" x14ac:dyDescent="0.2">
      <c r="B23" s="5" t="s">
        <v>46</v>
      </c>
      <c r="C23" s="7">
        <f>1847.87</f>
        <v>1847.87</v>
      </c>
      <c r="D23" s="7">
        <f>4470.27</f>
        <v>4470.2700000000004</v>
      </c>
      <c r="E23" s="7">
        <f>5497.48</f>
        <v>5497.48</v>
      </c>
      <c r="F23" s="7">
        <f>5296.41</f>
        <v>5296.41</v>
      </c>
      <c r="G23" s="7">
        <f>148.74</f>
        <v>148.74</v>
      </c>
      <c r="H23" s="7">
        <f>4085.31</f>
        <v>4085.31</v>
      </c>
      <c r="I23" s="7">
        <f>4773.01</f>
        <v>4773.01</v>
      </c>
      <c r="J23" s="7">
        <f>5187.65</f>
        <v>5187.6499999999996</v>
      </c>
      <c r="K23" s="7">
        <f>2471.74</f>
        <v>2471.7399999999998</v>
      </c>
      <c r="L23" s="7">
        <f>6230.46</f>
        <v>6230.46</v>
      </c>
      <c r="M23" s="7">
        <f>9025.38</f>
        <v>9025.3799999999992</v>
      </c>
      <c r="N23" s="7">
        <f>1811.88</f>
        <v>1811.88</v>
      </c>
    </row>
    <row r="24" spans="2:14" x14ac:dyDescent="0.2">
      <c r="B24" s="5" t="s">
        <v>47</v>
      </c>
      <c r="C24" s="7">
        <f>14934.91</f>
        <v>14934.91</v>
      </c>
      <c r="D24" s="7">
        <f>5846.15</f>
        <v>5846.15</v>
      </c>
      <c r="E24" s="7">
        <f>11872.7</f>
        <v>11872.7</v>
      </c>
      <c r="F24" s="7">
        <f>11209.03</f>
        <v>11209.03</v>
      </c>
      <c r="G24" s="7">
        <f>14430.58</f>
        <v>14430.58</v>
      </c>
      <c r="H24" s="7">
        <f>11552.71</f>
        <v>11552.71</v>
      </c>
      <c r="I24" s="7">
        <f>24467.32</f>
        <v>24467.32</v>
      </c>
      <c r="J24" s="7">
        <f>11727.53</f>
        <v>11727.53</v>
      </c>
      <c r="K24" s="7">
        <f>7954.47</f>
        <v>7954.47</v>
      </c>
      <c r="L24" s="7">
        <f>27279.55</f>
        <v>27279.55</v>
      </c>
      <c r="M24" s="7">
        <f>16980.86</f>
        <v>16980.86</v>
      </c>
      <c r="N24" s="7">
        <f>26112.59</f>
        <v>26112.59</v>
      </c>
    </row>
    <row r="25" spans="2:14" x14ac:dyDescent="0.2">
      <c r="B25" s="5" t="s">
        <v>48</v>
      </c>
      <c r="C25" s="7">
        <f>3821.43</f>
        <v>3821.43</v>
      </c>
      <c r="D25" s="7">
        <f>5410.26</f>
        <v>5410.26</v>
      </c>
      <c r="E25" s="7">
        <f>6324.74</f>
        <v>6324.74</v>
      </c>
      <c r="F25" s="7">
        <f>13300.68</f>
        <v>13300.68</v>
      </c>
      <c r="G25" s="7">
        <f>5690.29</f>
        <v>5690.29</v>
      </c>
      <c r="H25" s="7">
        <f>26434.56</f>
        <v>26434.560000000001</v>
      </c>
      <c r="I25" s="7">
        <f>8596.43</f>
        <v>8596.43</v>
      </c>
      <c r="J25" s="7">
        <f>12234.58</f>
        <v>12234.58</v>
      </c>
      <c r="K25" s="7">
        <f>6188.24</f>
        <v>6188.24</v>
      </c>
      <c r="L25" s="7">
        <f>22026.83</f>
        <v>22026.83</v>
      </c>
      <c r="M25" s="7">
        <f>16407.71</f>
        <v>16407.71</v>
      </c>
      <c r="N25" s="7">
        <f>11660.22</f>
        <v>11660.22</v>
      </c>
    </row>
    <row r="26" spans="2:14" x14ac:dyDescent="0.2">
      <c r="B26" s="5" t="s">
        <v>49</v>
      </c>
      <c r="C26" s="6"/>
      <c r="D26" s="6"/>
      <c r="E26" s="6"/>
      <c r="F26" s="6"/>
      <c r="G26" s="6"/>
      <c r="H26" s="7">
        <f>241.86</f>
        <v>241.86</v>
      </c>
      <c r="I26" s="7">
        <f>226.4</f>
        <v>226.4</v>
      </c>
      <c r="J26" s="7">
        <f>261.82</f>
        <v>261.82</v>
      </c>
      <c r="K26" s="7">
        <f>133.31</f>
        <v>133.31</v>
      </c>
      <c r="L26" s="7">
        <f>457.58</f>
        <v>457.58</v>
      </c>
      <c r="M26" s="7">
        <f>327.79</f>
        <v>327.79</v>
      </c>
      <c r="N26" s="7">
        <f>238.94</f>
        <v>238.94</v>
      </c>
    </row>
    <row r="27" spans="2:14" x14ac:dyDescent="0.2">
      <c r="B27" s="15" t="s">
        <v>50</v>
      </c>
      <c r="C27" s="8">
        <f t="shared" ref="C27:N27" si="3">(((((((C19)+(C20))+(C21))+(C22))+(C23))+(C24))+(C25))+(C26)</f>
        <v>122366.71999999999</v>
      </c>
      <c r="D27" s="8">
        <f t="shared" si="3"/>
        <v>131066.76999999999</v>
      </c>
      <c r="E27" s="8">
        <f t="shared" si="3"/>
        <v>177007.42</v>
      </c>
      <c r="F27" s="8">
        <f t="shared" si="3"/>
        <v>214069.86</v>
      </c>
      <c r="G27" s="8">
        <f t="shared" si="3"/>
        <v>213104.72999999998</v>
      </c>
      <c r="H27" s="8">
        <f t="shared" si="3"/>
        <v>240725.05999999997</v>
      </c>
      <c r="I27" s="8">
        <f t="shared" si="3"/>
        <v>342614.87000000005</v>
      </c>
      <c r="J27" s="8">
        <f t="shared" si="3"/>
        <v>271765.74</v>
      </c>
      <c r="K27" s="8">
        <f t="shared" si="3"/>
        <v>155961.40999999997</v>
      </c>
      <c r="L27" s="8">
        <f t="shared" si="3"/>
        <v>462998.87000000005</v>
      </c>
      <c r="M27" s="8">
        <f t="shared" si="3"/>
        <v>315971.81</v>
      </c>
      <c r="N27" s="8">
        <f t="shared" si="3"/>
        <v>373332.88</v>
      </c>
    </row>
    <row r="28" spans="2:14" x14ac:dyDescent="0.2">
      <c r="B28" s="5" t="s">
        <v>51</v>
      </c>
      <c r="C28" s="7">
        <f>46831.53</f>
        <v>46831.53</v>
      </c>
      <c r="D28" s="7">
        <f>35820.6</f>
        <v>35820.6</v>
      </c>
      <c r="E28" s="7">
        <f>35709.27</f>
        <v>35709.269999999997</v>
      </c>
      <c r="F28" s="7">
        <f>35662.2</f>
        <v>35662.199999999997</v>
      </c>
      <c r="G28" s="7">
        <f>35708.89</f>
        <v>35708.89</v>
      </c>
      <c r="H28" s="6"/>
      <c r="I28" s="7">
        <f>12616</f>
        <v>12616</v>
      </c>
      <c r="J28" s="6"/>
      <c r="K28" s="6"/>
      <c r="L28" s="6"/>
      <c r="M28" s="6"/>
      <c r="N28" s="6"/>
    </row>
    <row r="29" spans="2:14" x14ac:dyDescent="0.2">
      <c r="B29" s="5" t="s">
        <v>52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2:14" x14ac:dyDescent="0.2">
      <c r="B30" s="5" t="s">
        <v>53</v>
      </c>
      <c r="C30" s="7">
        <f>8684.48</f>
        <v>8684.48</v>
      </c>
      <c r="D30" s="7">
        <f>11583.68</f>
        <v>11583.68</v>
      </c>
      <c r="E30" s="7">
        <f>9848.32</f>
        <v>9848.32</v>
      </c>
      <c r="F30" s="7">
        <f>8190.24</f>
        <v>8190.24</v>
      </c>
      <c r="G30" s="7">
        <f>17572.78</f>
        <v>17572.78</v>
      </c>
      <c r="H30" s="7">
        <f>12780.51</f>
        <v>12780.51</v>
      </c>
      <c r="I30" s="7">
        <f>16422.87</f>
        <v>16422.87</v>
      </c>
      <c r="J30" s="7">
        <f>13106.23</f>
        <v>13106.23</v>
      </c>
      <c r="K30" s="7">
        <f>17699.07</f>
        <v>17699.07</v>
      </c>
      <c r="L30" s="7">
        <f>23588.74</f>
        <v>23588.74</v>
      </c>
      <c r="M30" s="7">
        <f>12121.44</f>
        <v>12121.44</v>
      </c>
      <c r="N30" s="7">
        <f>12035</f>
        <v>12035</v>
      </c>
    </row>
    <row r="31" spans="2:14" x14ac:dyDescent="0.2">
      <c r="B31" s="5" t="s">
        <v>54</v>
      </c>
      <c r="C31" s="7">
        <f>4485.89</f>
        <v>4485.8900000000003</v>
      </c>
      <c r="D31" s="7">
        <f>4497.42</f>
        <v>4497.42</v>
      </c>
      <c r="E31" s="7">
        <f>3140.1</f>
        <v>3140.1</v>
      </c>
      <c r="F31" s="7">
        <f>2799.46</f>
        <v>2799.46</v>
      </c>
      <c r="G31" s="7">
        <f>7579.67</f>
        <v>7579.67</v>
      </c>
      <c r="H31" s="7">
        <f>6668.11</f>
        <v>6668.11</v>
      </c>
      <c r="I31" s="7">
        <f>10946.55</f>
        <v>10946.55</v>
      </c>
      <c r="J31" s="7">
        <f>2383.26</f>
        <v>2383.2600000000002</v>
      </c>
      <c r="K31" s="7">
        <f>6479.14</f>
        <v>6479.14</v>
      </c>
      <c r="L31" s="7">
        <f>10785.96</f>
        <v>10785.96</v>
      </c>
      <c r="M31" s="7">
        <f>4166.69</f>
        <v>4166.6899999999996</v>
      </c>
      <c r="N31" s="7">
        <f>5570.79</f>
        <v>5570.79</v>
      </c>
    </row>
    <row r="32" spans="2:14" x14ac:dyDescent="0.2">
      <c r="B32" s="5" t="s">
        <v>55</v>
      </c>
      <c r="C32" s="7">
        <f>1222.49</f>
        <v>1222.49</v>
      </c>
      <c r="D32" s="7">
        <f>1492.67</f>
        <v>1492.67</v>
      </c>
      <c r="E32" s="7">
        <f>1251.52</f>
        <v>1251.52</v>
      </c>
      <c r="F32" s="7">
        <f>1272.86</f>
        <v>1272.8599999999999</v>
      </c>
      <c r="G32" s="7">
        <f>2357.04</f>
        <v>2357.04</v>
      </c>
      <c r="H32" s="7">
        <f>2085.3</f>
        <v>2085.3000000000002</v>
      </c>
      <c r="I32" s="7">
        <f>3667.58</f>
        <v>3667.58</v>
      </c>
      <c r="J32" s="7">
        <f>1365.98</f>
        <v>1365.98</v>
      </c>
      <c r="K32" s="7">
        <f>1391.97</f>
        <v>1391.97</v>
      </c>
      <c r="L32" s="7">
        <f>3703.01</f>
        <v>3703.01</v>
      </c>
      <c r="M32" s="7">
        <f>1193.8</f>
        <v>1193.8</v>
      </c>
      <c r="N32" s="7">
        <f>2266.59</f>
        <v>2266.59</v>
      </c>
    </row>
    <row r="33" spans="1:14" x14ac:dyDescent="0.2">
      <c r="B33" s="15" t="s">
        <v>56</v>
      </c>
      <c r="C33" s="8">
        <f t="shared" ref="C33:N33" si="4">(((C29)+(C30))+(C31))+(C32)</f>
        <v>14392.859999999999</v>
      </c>
      <c r="D33" s="8">
        <f t="shared" si="4"/>
        <v>17573.77</v>
      </c>
      <c r="E33" s="8">
        <f t="shared" si="4"/>
        <v>14239.94</v>
      </c>
      <c r="F33" s="8">
        <f t="shared" si="4"/>
        <v>12262.560000000001</v>
      </c>
      <c r="G33" s="8">
        <f t="shared" si="4"/>
        <v>27509.489999999998</v>
      </c>
      <c r="H33" s="8">
        <f t="shared" si="4"/>
        <v>21533.919999999998</v>
      </c>
      <c r="I33" s="8">
        <f t="shared" si="4"/>
        <v>31037</v>
      </c>
      <c r="J33" s="8">
        <f t="shared" si="4"/>
        <v>16855.47</v>
      </c>
      <c r="K33" s="8">
        <f t="shared" si="4"/>
        <v>25570.18</v>
      </c>
      <c r="L33" s="8">
        <f t="shared" si="4"/>
        <v>38077.71</v>
      </c>
      <c r="M33" s="8">
        <f t="shared" si="4"/>
        <v>17481.93</v>
      </c>
      <c r="N33" s="8">
        <f t="shared" si="4"/>
        <v>19872.38</v>
      </c>
    </row>
    <row r="34" spans="1:14" x14ac:dyDescent="0.2">
      <c r="B34" s="15" t="s">
        <v>57</v>
      </c>
      <c r="C34" s="7">
        <f>0</f>
        <v>0</v>
      </c>
      <c r="D34" s="7">
        <f>24000</f>
        <v>24000</v>
      </c>
      <c r="E34" s="6"/>
      <c r="F34" s="6"/>
      <c r="G34" s="6"/>
      <c r="H34" s="6"/>
      <c r="I34" s="6"/>
      <c r="J34" s="6"/>
      <c r="K34" s="7">
        <f>119.95</f>
        <v>119.95</v>
      </c>
      <c r="L34" s="6"/>
      <c r="M34" s="6"/>
      <c r="N34" s="7">
        <f>1900</f>
        <v>1900</v>
      </c>
    </row>
    <row r="35" spans="1:14" x14ac:dyDescent="0.2">
      <c r="B35" s="5" t="s">
        <v>58</v>
      </c>
      <c r="C35" s="8">
        <f t="shared" ref="C35:N35" si="5">(((((((C13)+(C14))+(C15))+(C18))+(C27))+(C28))+(C33))+(C34)</f>
        <v>186332.51999999996</v>
      </c>
      <c r="D35" s="8">
        <f t="shared" si="5"/>
        <v>313781.40999999997</v>
      </c>
      <c r="E35" s="8">
        <f t="shared" si="5"/>
        <v>328654.33</v>
      </c>
      <c r="F35" s="8">
        <f t="shared" si="5"/>
        <v>380439.8</v>
      </c>
      <c r="G35" s="8">
        <f t="shared" si="5"/>
        <v>395778.33999999997</v>
      </c>
      <c r="H35" s="8">
        <f t="shared" si="5"/>
        <v>404926.61999999994</v>
      </c>
      <c r="I35" s="8">
        <f t="shared" si="5"/>
        <v>520398.39</v>
      </c>
      <c r="J35" s="8">
        <f t="shared" si="5"/>
        <v>469338.9</v>
      </c>
      <c r="K35" s="8">
        <f t="shared" si="5"/>
        <v>305705.09999999998</v>
      </c>
      <c r="L35" s="8">
        <f t="shared" si="5"/>
        <v>623263.26</v>
      </c>
      <c r="M35" s="8">
        <f t="shared" si="5"/>
        <v>467423.72000000003</v>
      </c>
      <c r="N35" s="8">
        <f t="shared" si="5"/>
        <v>735829.50000000012</v>
      </c>
    </row>
    <row r="36" spans="1:14" x14ac:dyDescent="0.2">
      <c r="A36" s="13" t="s">
        <v>7</v>
      </c>
      <c r="B36" s="16" t="s">
        <v>11</v>
      </c>
      <c r="C36" s="8">
        <f t="shared" ref="C36:N36" si="6">C35</f>
        <v>186332.51999999996</v>
      </c>
      <c r="D36" s="8">
        <f t="shared" si="6"/>
        <v>313781.40999999997</v>
      </c>
      <c r="E36" s="8">
        <f t="shared" si="6"/>
        <v>328654.33</v>
      </c>
      <c r="F36" s="8">
        <f t="shared" si="6"/>
        <v>380439.8</v>
      </c>
      <c r="G36" s="8">
        <f t="shared" si="6"/>
        <v>395778.33999999997</v>
      </c>
      <c r="H36" s="8">
        <f t="shared" si="6"/>
        <v>404926.61999999994</v>
      </c>
      <c r="I36" s="8">
        <f t="shared" si="6"/>
        <v>520398.39</v>
      </c>
      <c r="J36" s="8">
        <f t="shared" si="6"/>
        <v>469338.9</v>
      </c>
      <c r="K36" s="8">
        <f t="shared" si="6"/>
        <v>305705.09999999998</v>
      </c>
      <c r="L36" s="8">
        <f t="shared" si="6"/>
        <v>623263.26</v>
      </c>
      <c r="M36" s="8">
        <f t="shared" si="6"/>
        <v>467423.72000000003</v>
      </c>
      <c r="N36" s="8">
        <f t="shared" si="6"/>
        <v>735829.50000000012</v>
      </c>
    </row>
    <row r="37" spans="1:14" x14ac:dyDescent="0.2">
      <c r="B37" s="5" t="s">
        <v>3</v>
      </c>
      <c r="C37" s="8">
        <f t="shared" ref="C37:N37" si="7">(C11)-(C36)</f>
        <v>700784.28</v>
      </c>
      <c r="D37" s="8">
        <f t="shared" si="7"/>
        <v>569005.53</v>
      </c>
      <c r="E37" s="8">
        <f t="shared" si="7"/>
        <v>620528.81999999983</v>
      </c>
      <c r="F37" s="8">
        <f t="shared" si="7"/>
        <v>639975.17000000016</v>
      </c>
      <c r="G37" s="8">
        <f t="shared" si="7"/>
        <v>663547.96000000008</v>
      </c>
      <c r="H37" s="8">
        <f t="shared" si="7"/>
        <v>724094.39000000013</v>
      </c>
      <c r="I37" s="8">
        <f t="shared" si="7"/>
        <v>650118.49999999988</v>
      </c>
      <c r="J37" s="8">
        <f t="shared" si="7"/>
        <v>780421.7699999999</v>
      </c>
      <c r="K37" s="8">
        <f t="shared" si="7"/>
        <v>1050733.1600000001</v>
      </c>
      <c r="L37" s="8">
        <f t="shared" si="7"/>
        <v>929404.82000000007</v>
      </c>
      <c r="M37" s="8">
        <f t="shared" si="7"/>
        <v>1178574.3</v>
      </c>
      <c r="N37" s="8">
        <f t="shared" si="7"/>
        <v>936948.18999999983</v>
      </c>
    </row>
    <row r="38" spans="1:14" x14ac:dyDescent="0.2">
      <c r="B38" s="5" t="s">
        <v>2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B39" s="5" t="s">
        <v>59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B40" s="5" t="s">
        <v>60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B41" s="5" t="s">
        <v>61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B42" s="5" t="s">
        <v>62</v>
      </c>
      <c r="C42" s="7">
        <f>104916.15</f>
        <v>104916.15</v>
      </c>
      <c r="D42" s="7">
        <f>130511.55</f>
        <v>130511.55</v>
      </c>
      <c r="E42" s="7">
        <f>126064.61</f>
        <v>126064.61</v>
      </c>
      <c r="F42" s="7">
        <f>142221.53</f>
        <v>142221.53</v>
      </c>
      <c r="G42" s="7">
        <f>150070.77</f>
        <v>150070.76999999999</v>
      </c>
      <c r="H42" s="7">
        <f>135754.61</f>
        <v>135754.60999999999</v>
      </c>
      <c r="I42" s="7">
        <f>168482.3</f>
        <v>168482.3</v>
      </c>
      <c r="J42" s="7">
        <f>169559.99</f>
        <v>169559.99</v>
      </c>
      <c r="K42" s="7">
        <f>92789.62</f>
        <v>92789.62</v>
      </c>
      <c r="L42" s="7">
        <f>289369.6</f>
        <v>289369.59999999998</v>
      </c>
      <c r="M42" s="7">
        <f>206520.18</f>
        <v>206520.18</v>
      </c>
      <c r="N42" s="7">
        <f>244530.45</f>
        <v>244530.45</v>
      </c>
    </row>
    <row r="43" spans="1:14" x14ac:dyDescent="0.2">
      <c r="B43" s="5" t="s">
        <v>63</v>
      </c>
      <c r="C43" s="7">
        <f>-1250</f>
        <v>-1250</v>
      </c>
      <c r="D43" s="6"/>
      <c r="E43" s="6"/>
      <c r="F43" s="7">
        <f>16250</f>
        <v>16250</v>
      </c>
      <c r="G43" s="6"/>
      <c r="H43" s="6"/>
      <c r="I43" s="7">
        <f>16250</f>
        <v>16250</v>
      </c>
      <c r="J43" s="6"/>
      <c r="K43" s="6"/>
      <c r="L43" s="7">
        <f>16250</f>
        <v>16250</v>
      </c>
      <c r="M43" s="7">
        <f>1593.04</f>
        <v>1593.04</v>
      </c>
      <c r="N43" s="7">
        <f>193350</f>
        <v>193350</v>
      </c>
    </row>
    <row r="44" spans="1:14" x14ac:dyDescent="0.2">
      <c r="B44" s="5" t="s">
        <v>64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">
      <c r="B45" s="5" t="s">
        <v>65</v>
      </c>
      <c r="C45" s="7">
        <f>353.04</f>
        <v>353.04</v>
      </c>
      <c r="D45" s="7">
        <f>5397.68</f>
        <v>5397.68</v>
      </c>
      <c r="E45" s="7">
        <f>3252.8</f>
        <v>3252.8</v>
      </c>
      <c r="F45" s="7">
        <f>-2911.55</f>
        <v>-2911.55</v>
      </c>
      <c r="G45" s="7">
        <f>8659.88</f>
        <v>8659.8799999999992</v>
      </c>
      <c r="H45" s="7">
        <f>4232.83</f>
        <v>4232.83</v>
      </c>
      <c r="I45" s="7">
        <f>-1940.87</f>
        <v>-1940.87</v>
      </c>
      <c r="J45" s="7">
        <f>3363.21</f>
        <v>3363.21</v>
      </c>
      <c r="K45" s="7">
        <f>1934.31</f>
        <v>1934.31</v>
      </c>
      <c r="L45" s="7">
        <f>3040</f>
        <v>3040</v>
      </c>
      <c r="M45" s="7">
        <f>6935.76</f>
        <v>6935.76</v>
      </c>
      <c r="N45" s="7">
        <f>4010.46</f>
        <v>4010.46</v>
      </c>
    </row>
    <row r="46" spans="1:14" x14ac:dyDescent="0.2">
      <c r="B46" s="5" t="s">
        <v>66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B47" s="5" t="s">
        <v>67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B48" s="5" t="s">
        <v>68</v>
      </c>
      <c r="C48" s="8">
        <f t="shared" ref="C48:N48" si="8">((((((C41)+(C42))+(C43))+(C44))+(C45))+(C46))+(C47)</f>
        <v>104019.18999999999</v>
      </c>
      <c r="D48" s="8">
        <f t="shared" si="8"/>
        <v>135909.23000000001</v>
      </c>
      <c r="E48" s="8">
        <f t="shared" si="8"/>
        <v>129317.41</v>
      </c>
      <c r="F48" s="8">
        <f t="shared" si="8"/>
        <v>155559.98000000001</v>
      </c>
      <c r="G48" s="8">
        <f t="shared" si="8"/>
        <v>158730.65</v>
      </c>
      <c r="H48" s="8">
        <f t="shared" si="8"/>
        <v>139987.43999999997</v>
      </c>
      <c r="I48" s="8">
        <f t="shared" si="8"/>
        <v>182791.43</v>
      </c>
      <c r="J48" s="8">
        <f t="shared" si="8"/>
        <v>172923.19999999998</v>
      </c>
      <c r="K48" s="8">
        <f t="shared" si="8"/>
        <v>94723.93</v>
      </c>
      <c r="L48" s="8">
        <f t="shared" si="8"/>
        <v>308659.59999999998</v>
      </c>
      <c r="M48" s="8">
        <f t="shared" si="8"/>
        <v>215048.98</v>
      </c>
      <c r="N48" s="8">
        <f t="shared" si="8"/>
        <v>441890.91000000003</v>
      </c>
    </row>
    <row r="49" spans="2:14" x14ac:dyDescent="0.2">
      <c r="B49" s="5" t="s">
        <v>69</v>
      </c>
      <c r="C49" s="7">
        <f>25196.83</f>
        <v>25196.83</v>
      </c>
      <c r="D49" s="7">
        <f>3065.63</f>
        <v>3065.63</v>
      </c>
      <c r="E49" s="7">
        <f>9738.76</f>
        <v>9738.76</v>
      </c>
      <c r="F49" s="7">
        <f>13509.27</f>
        <v>13509.27</v>
      </c>
      <c r="G49" s="7">
        <f>9728.99</f>
        <v>9728.99</v>
      </c>
      <c r="H49" s="7">
        <f>10175.16</f>
        <v>10175.16</v>
      </c>
      <c r="I49" s="7">
        <f>12504.12</f>
        <v>12504.12</v>
      </c>
      <c r="J49" s="7">
        <f>11931.66</f>
        <v>11931.66</v>
      </c>
      <c r="K49" s="7">
        <f>6363.62</f>
        <v>6363.62</v>
      </c>
      <c r="L49" s="7">
        <f>19797.57</f>
        <v>19797.57</v>
      </c>
      <c r="M49" s="7">
        <f>12618.22</f>
        <v>12618.22</v>
      </c>
      <c r="N49" s="7">
        <f>33311.81</f>
        <v>33311.81</v>
      </c>
    </row>
    <row r="50" spans="2:14" x14ac:dyDescent="0.2">
      <c r="B50" s="5" t="s">
        <v>70</v>
      </c>
      <c r="C50" s="7">
        <f>8495.42</f>
        <v>8495.42</v>
      </c>
      <c r="D50" s="7">
        <f>10235.35</f>
        <v>10235.35</v>
      </c>
      <c r="E50" s="7">
        <f>11107.73</f>
        <v>11107.73</v>
      </c>
      <c r="F50" s="7">
        <f>11674.89</f>
        <v>11674.89</v>
      </c>
      <c r="G50" s="7">
        <f>13360.65</f>
        <v>13360.65</v>
      </c>
      <c r="H50" s="7">
        <f>30106.05</f>
        <v>30106.05</v>
      </c>
      <c r="I50" s="7">
        <f>11545.02</f>
        <v>11545.02</v>
      </c>
      <c r="J50" s="7">
        <f>14236.86</f>
        <v>14236.86</v>
      </c>
      <c r="K50" s="7">
        <f>7614.41</f>
        <v>7614.41</v>
      </c>
      <c r="L50" s="7">
        <f>25147.83</f>
        <v>25147.83</v>
      </c>
      <c r="M50" s="7">
        <f>16856.69</f>
        <v>16856.689999999999</v>
      </c>
      <c r="N50" s="7">
        <f>12070.51</f>
        <v>12070.51</v>
      </c>
    </row>
    <row r="51" spans="2:14" x14ac:dyDescent="0.2">
      <c r="B51" s="5" t="s">
        <v>71</v>
      </c>
      <c r="C51" s="6"/>
      <c r="D51" s="6"/>
      <c r="E51" s="6"/>
      <c r="F51" s="6"/>
      <c r="G51" s="6"/>
      <c r="H51" s="7">
        <f>221.58</f>
        <v>221.58</v>
      </c>
      <c r="I51" s="7">
        <f>204.76</f>
        <v>204.76</v>
      </c>
      <c r="J51" s="7">
        <f>203.47</f>
        <v>203.47</v>
      </c>
      <c r="K51" s="7">
        <f>111.06</f>
        <v>111.06</v>
      </c>
      <c r="L51" s="7">
        <f>337.6</f>
        <v>337.6</v>
      </c>
      <c r="M51" s="7">
        <f>258.28</f>
        <v>258.27999999999997</v>
      </c>
      <c r="N51" s="7">
        <f>184.47</f>
        <v>184.47</v>
      </c>
    </row>
    <row r="52" spans="2:14" x14ac:dyDescent="0.2">
      <c r="B52" s="5" t="s">
        <v>72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7">
        <f>-260000</f>
        <v>-260000</v>
      </c>
    </row>
    <row r="53" spans="2:14" x14ac:dyDescent="0.2">
      <c r="B53" s="5" t="s">
        <v>73</v>
      </c>
      <c r="C53" s="8">
        <f t="shared" ref="C53:N53" si="9">(((((C40)+(C48))+(C49))+(C50))+(C51))+(C52)</f>
        <v>137711.44</v>
      </c>
      <c r="D53" s="8">
        <f t="shared" si="9"/>
        <v>149210.21000000002</v>
      </c>
      <c r="E53" s="8">
        <f t="shared" si="9"/>
        <v>150163.90000000002</v>
      </c>
      <c r="F53" s="8">
        <f t="shared" si="9"/>
        <v>180744.14</v>
      </c>
      <c r="G53" s="8">
        <f t="shared" si="9"/>
        <v>181820.28999999998</v>
      </c>
      <c r="H53" s="8">
        <f t="shared" si="9"/>
        <v>180490.22999999995</v>
      </c>
      <c r="I53" s="8">
        <f t="shared" si="9"/>
        <v>207045.33</v>
      </c>
      <c r="J53" s="8">
        <f t="shared" si="9"/>
        <v>199295.18999999997</v>
      </c>
      <c r="K53" s="8">
        <f t="shared" si="9"/>
        <v>108813.01999999999</v>
      </c>
      <c r="L53" s="8">
        <f t="shared" si="9"/>
        <v>353942.6</v>
      </c>
      <c r="M53" s="8">
        <f t="shared" si="9"/>
        <v>244782.17</v>
      </c>
      <c r="N53" s="8">
        <f t="shared" si="9"/>
        <v>227457.7</v>
      </c>
    </row>
    <row r="54" spans="2:14" x14ac:dyDescent="0.2">
      <c r="B54" s="5" t="s">
        <v>74</v>
      </c>
      <c r="C54" s="7">
        <f>3270</f>
        <v>3270</v>
      </c>
      <c r="D54" s="7">
        <f>2020</f>
        <v>2020</v>
      </c>
      <c r="E54" s="7">
        <f>2020</f>
        <v>2020</v>
      </c>
      <c r="F54" s="7">
        <f>3020</f>
        <v>3020</v>
      </c>
      <c r="G54" s="7">
        <f>2020</f>
        <v>2020</v>
      </c>
      <c r="H54" s="6"/>
      <c r="I54" s="7">
        <f>2020</f>
        <v>2020</v>
      </c>
      <c r="J54" s="7">
        <f>2020</f>
        <v>2020</v>
      </c>
      <c r="K54" s="7">
        <f>6020</f>
        <v>6020</v>
      </c>
      <c r="L54" s="6"/>
      <c r="M54" s="6"/>
      <c r="N54" s="6"/>
    </row>
    <row r="55" spans="2:14" x14ac:dyDescent="0.2">
      <c r="B55" s="5" t="s">
        <v>75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2:14" x14ac:dyDescent="0.2">
      <c r="B56" s="5" t="s">
        <v>76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7">
        <f>465.68</f>
        <v>465.68</v>
      </c>
    </row>
    <row r="57" spans="2:14" x14ac:dyDescent="0.2">
      <c r="B57" s="5" t="s">
        <v>77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7">
        <f>506.72</f>
        <v>506.72</v>
      </c>
    </row>
    <row r="58" spans="2:14" x14ac:dyDescent="0.2">
      <c r="B58" s="5" t="s">
        <v>78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7">
        <f>462.28</f>
        <v>462.28</v>
      </c>
    </row>
    <row r="59" spans="2:14" x14ac:dyDescent="0.2">
      <c r="B59" s="5" t="s">
        <v>79</v>
      </c>
      <c r="C59" s="8">
        <f t="shared" ref="C59:N59" si="10">(((C55)+(C56))+(C57))+(C58)</f>
        <v>0</v>
      </c>
      <c r="D59" s="8">
        <f t="shared" si="10"/>
        <v>0</v>
      </c>
      <c r="E59" s="8">
        <f t="shared" si="10"/>
        <v>0</v>
      </c>
      <c r="F59" s="8">
        <f t="shared" si="10"/>
        <v>0</v>
      </c>
      <c r="G59" s="8">
        <f t="shared" si="10"/>
        <v>0</v>
      </c>
      <c r="H59" s="8">
        <f t="shared" si="10"/>
        <v>0</v>
      </c>
      <c r="I59" s="8">
        <f t="shared" si="10"/>
        <v>0</v>
      </c>
      <c r="J59" s="8">
        <f t="shared" si="10"/>
        <v>0</v>
      </c>
      <c r="K59" s="8">
        <f t="shared" si="10"/>
        <v>0</v>
      </c>
      <c r="L59" s="8">
        <f t="shared" si="10"/>
        <v>0</v>
      </c>
      <c r="M59" s="8">
        <f t="shared" si="10"/>
        <v>0</v>
      </c>
      <c r="N59" s="8">
        <f t="shared" si="10"/>
        <v>1434.68</v>
      </c>
    </row>
    <row r="60" spans="2:14" x14ac:dyDescent="0.2">
      <c r="B60" s="5" t="s">
        <v>80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2:14" x14ac:dyDescent="0.2">
      <c r="B61" s="5" t="s">
        <v>81</v>
      </c>
      <c r="C61" s="7">
        <f>767.01</f>
        <v>767.01</v>
      </c>
      <c r="D61" s="7">
        <f>818.46</f>
        <v>818.46</v>
      </c>
      <c r="E61" s="7">
        <f>855.45</f>
        <v>855.45</v>
      </c>
      <c r="F61" s="7">
        <f>963.75</f>
        <v>963.75</v>
      </c>
      <c r="G61" s="7">
        <f>964.76</f>
        <v>964.76</v>
      </c>
      <c r="H61" s="7">
        <f>1989.13</f>
        <v>1989.13</v>
      </c>
      <c r="I61" s="7">
        <f>954.62</f>
        <v>954.62</v>
      </c>
      <c r="J61" s="7">
        <f>1873.64</f>
        <v>1873.64</v>
      </c>
      <c r="K61" s="7">
        <f>1588.98</f>
        <v>1588.98</v>
      </c>
      <c r="L61" s="7">
        <f>2551.19</f>
        <v>2551.19</v>
      </c>
      <c r="M61" s="7">
        <f>2375.7</f>
        <v>2375.6999999999998</v>
      </c>
      <c r="N61" s="7">
        <f>1930.76</f>
        <v>1930.76</v>
      </c>
    </row>
    <row r="62" spans="2:14" x14ac:dyDescent="0.2">
      <c r="B62" s="5" t="s">
        <v>82</v>
      </c>
      <c r="C62" s="7">
        <f>1623.48</f>
        <v>1623.48</v>
      </c>
      <c r="D62" s="7">
        <f>1817.28</f>
        <v>1817.28</v>
      </c>
      <c r="E62" s="7">
        <f>1701.87</f>
        <v>1701.87</v>
      </c>
      <c r="F62" s="7">
        <f>1791.85</f>
        <v>1791.85</v>
      </c>
      <c r="G62" s="7">
        <f>2375.18</f>
        <v>2375.1799999999998</v>
      </c>
      <c r="H62" s="7">
        <f>2042.16</f>
        <v>2042.16</v>
      </c>
      <c r="I62" s="7">
        <f>2436.76</f>
        <v>2436.7600000000002</v>
      </c>
      <c r="J62" s="7">
        <f>2256.63</f>
        <v>2256.63</v>
      </c>
      <c r="K62" s="7">
        <f>2516.95</f>
        <v>2516.9499999999998</v>
      </c>
      <c r="L62" s="7">
        <f>3185.66</f>
        <v>3185.66</v>
      </c>
      <c r="M62" s="7">
        <f>2992.8</f>
        <v>2992.8</v>
      </c>
      <c r="N62" s="7">
        <f>2755.74</f>
        <v>2755.74</v>
      </c>
    </row>
    <row r="63" spans="2:14" x14ac:dyDescent="0.2">
      <c r="B63" s="5" t="s">
        <v>83</v>
      </c>
      <c r="C63" s="8">
        <f t="shared" ref="C63:N63" si="11">((C60)+(C61))+(C62)</f>
        <v>2390.4899999999998</v>
      </c>
      <c r="D63" s="8">
        <f t="shared" si="11"/>
        <v>2635.74</v>
      </c>
      <c r="E63" s="8">
        <f t="shared" si="11"/>
        <v>2557.3199999999997</v>
      </c>
      <c r="F63" s="8">
        <f t="shared" si="11"/>
        <v>2755.6</v>
      </c>
      <c r="G63" s="8">
        <f t="shared" si="11"/>
        <v>3339.9399999999996</v>
      </c>
      <c r="H63" s="8">
        <f t="shared" si="11"/>
        <v>4031.29</v>
      </c>
      <c r="I63" s="8">
        <f t="shared" si="11"/>
        <v>3391.38</v>
      </c>
      <c r="J63" s="8">
        <f t="shared" si="11"/>
        <v>4130.2700000000004</v>
      </c>
      <c r="K63" s="8">
        <f t="shared" si="11"/>
        <v>4105.93</v>
      </c>
      <c r="L63" s="8">
        <f t="shared" si="11"/>
        <v>5736.85</v>
      </c>
      <c r="M63" s="8">
        <f t="shared" si="11"/>
        <v>5368.5</v>
      </c>
      <c r="N63" s="8">
        <f t="shared" si="11"/>
        <v>4686.5</v>
      </c>
    </row>
    <row r="64" spans="2:14" x14ac:dyDescent="0.2">
      <c r="B64" s="5" t="s">
        <v>84</v>
      </c>
      <c r="C64" s="6"/>
      <c r="D64" s="7">
        <f>16500</f>
        <v>16500</v>
      </c>
      <c r="E64" s="6"/>
      <c r="F64" s="6"/>
      <c r="G64" s="6"/>
      <c r="H64" s="6"/>
      <c r="I64" s="6"/>
      <c r="J64" s="7">
        <f>119.95</f>
        <v>119.95</v>
      </c>
      <c r="K64" s="6"/>
      <c r="L64" s="6"/>
      <c r="M64" s="6"/>
      <c r="N64" s="7">
        <f>889.82</f>
        <v>889.82</v>
      </c>
    </row>
    <row r="65" spans="1:14" x14ac:dyDescent="0.2">
      <c r="B65" s="5" t="s">
        <v>85</v>
      </c>
      <c r="C65" s="6"/>
      <c r="D65" s="7">
        <f>366.6</f>
        <v>366.6</v>
      </c>
      <c r="E65" s="7">
        <f>1809.4</f>
        <v>1809.4</v>
      </c>
      <c r="F65" s="6"/>
      <c r="G65" s="6"/>
      <c r="H65" s="6"/>
      <c r="I65" s="7">
        <f>12496.16</f>
        <v>12496.16</v>
      </c>
      <c r="J65" s="7">
        <f>2676.01</f>
        <v>2676.01</v>
      </c>
      <c r="K65" s="7">
        <f>700</f>
        <v>700</v>
      </c>
      <c r="L65" s="6"/>
      <c r="M65" s="7">
        <f>13.41</f>
        <v>13.41</v>
      </c>
      <c r="N65" s="6"/>
    </row>
    <row r="66" spans="1:14" x14ac:dyDescent="0.2">
      <c r="B66" s="5" t="s">
        <v>86</v>
      </c>
      <c r="C66" s="7">
        <f>585.66</f>
        <v>585.66</v>
      </c>
      <c r="D66" s="7">
        <f>788.14</f>
        <v>788.14</v>
      </c>
      <c r="E66" s="7">
        <f>747.23</f>
        <v>747.23</v>
      </c>
      <c r="F66" s="7">
        <f>713.33</f>
        <v>713.33</v>
      </c>
      <c r="G66" s="7">
        <f>609.5</f>
        <v>609.5</v>
      </c>
      <c r="H66" s="7">
        <f>911.49</f>
        <v>911.49</v>
      </c>
      <c r="I66" s="7">
        <f>1133.5</f>
        <v>1133.5</v>
      </c>
      <c r="J66" s="7">
        <f>702.06</f>
        <v>702.06</v>
      </c>
      <c r="K66" s="7">
        <f>1368.5</f>
        <v>1368.5</v>
      </c>
      <c r="L66" s="7">
        <f>808.5</f>
        <v>808.5</v>
      </c>
      <c r="M66" s="7">
        <f>1725.13</f>
        <v>1725.13</v>
      </c>
      <c r="N66" s="7">
        <f>1469.38</f>
        <v>1469.38</v>
      </c>
    </row>
    <row r="67" spans="1:14" x14ac:dyDescent="0.2">
      <c r="B67" s="5" t="s">
        <v>87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">
      <c r="B68" s="5" t="s">
        <v>88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">
      <c r="B69" s="5" t="s">
        <v>89</v>
      </c>
      <c r="C69" s="7">
        <f t="shared" ref="C69:G69" si="12">1562.5</f>
        <v>1562.5</v>
      </c>
      <c r="D69" s="7">
        <f t="shared" si="12"/>
        <v>1562.5</v>
      </c>
      <c r="E69" s="7">
        <f t="shared" si="12"/>
        <v>1562.5</v>
      </c>
      <c r="F69" s="7">
        <f t="shared" si="12"/>
        <v>1562.5</v>
      </c>
      <c r="G69" s="7">
        <f t="shared" si="12"/>
        <v>1562.5</v>
      </c>
      <c r="H69" s="7">
        <f>770</f>
        <v>770</v>
      </c>
      <c r="I69" s="7">
        <f>2310</f>
        <v>2310</v>
      </c>
      <c r="J69" s="7">
        <f>1540</f>
        <v>1540</v>
      </c>
      <c r="K69" s="7">
        <f>1540</f>
        <v>1540</v>
      </c>
      <c r="L69" s="7">
        <f>1540</f>
        <v>1540</v>
      </c>
      <c r="M69" s="7">
        <f>1540</f>
        <v>1540</v>
      </c>
      <c r="N69" s="7">
        <f>4620</f>
        <v>4620</v>
      </c>
    </row>
    <row r="70" spans="1:14" x14ac:dyDescent="0.2">
      <c r="A70" s="13" t="s">
        <v>6</v>
      </c>
      <c r="B70" s="16" t="s">
        <v>90</v>
      </c>
      <c r="C70" s="8">
        <f t="shared" ref="C70:N70" si="13">((((((((((C39)+(C53))+(C54))+(C59))+(C63))+(C64))+(C65))+(C66))+(C67))+(C68))+(C69)</f>
        <v>145520.09</v>
      </c>
      <c r="D70" s="8">
        <f t="shared" si="13"/>
        <v>173083.19000000003</v>
      </c>
      <c r="E70" s="8">
        <f t="shared" si="13"/>
        <v>158860.35000000003</v>
      </c>
      <c r="F70" s="8">
        <f t="shared" si="13"/>
        <v>188795.57</v>
      </c>
      <c r="G70" s="8">
        <f t="shared" si="13"/>
        <v>189352.22999999998</v>
      </c>
      <c r="H70" s="8">
        <f t="shared" si="13"/>
        <v>186203.00999999995</v>
      </c>
      <c r="I70" s="8">
        <f t="shared" si="13"/>
        <v>228396.37</v>
      </c>
      <c r="J70" s="8">
        <f t="shared" si="13"/>
        <v>210483.47999999998</v>
      </c>
      <c r="K70" s="8">
        <f t="shared" si="13"/>
        <v>122547.44999999998</v>
      </c>
      <c r="L70" s="8">
        <f t="shared" si="13"/>
        <v>362027.94999999995</v>
      </c>
      <c r="M70" s="8">
        <f t="shared" si="13"/>
        <v>253429.21000000002</v>
      </c>
      <c r="N70" s="8">
        <f t="shared" si="13"/>
        <v>240558.08000000002</v>
      </c>
    </row>
    <row r="71" spans="1:14" x14ac:dyDescent="0.2">
      <c r="B71" s="5" t="s">
        <v>91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">
      <c r="B72" s="5" t="s">
        <v>92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">
      <c r="B73" s="5" t="s">
        <v>93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">
      <c r="B74" s="5" t="s">
        <v>94</v>
      </c>
      <c r="C74" s="7">
        <f>28526.92</f>
        <v>28526.92</v>
      </c>
      <c r="D74" s="7">
        <f>24846.16</f>
        <v>24846.16</v>
      </c>
      <c r="E74" s="7">
        <f>26088.47</f>
        <v>26088.47</v>
      </c>
      <c r="F74" s="7">
        <f>59330.78</f>
        <v>59330.78</v>
      </c>
      <c r="G74" s="7">
        <f>56188.47</f>
        <v>56188.47</v>
      </c>
      <c r="H74" s="7">
        <f>75610.72</f>
        <v>75610.720000000001</v>
      </c>
      <c r="I74" s="7">
        <f>86650.02</f>
        <v>86650.02</v>
      </c>
      <c r="J74" s="7">
        <f>84446.19</f>
        <v>84446.19</v>
      </c>
      <c r="K74" s="7">
        <f>43838.47</f>
        <v>43838.47</v>
      </c>
      <c r="L74" s="7">
        <f>134515.43</f>
        <v>134515.43</v>
      </c>
      <c r="M74" s="7">
        <f>96530.8</f>
        <v>96530.8</v>
      </c>
      <c r="N74" s="7">
        <f>101587.92</f>
        <v>101587.92</v>
      </c>
    </row>
    <row r="75" spans="1:14" x14ac:dyDescent="0.2">
      <c r="B75" s="5" t="s">
        <v>95</v>
      </c>
      <c r="C75" s="7">
        <f>0</f>
        <v>0</v>
      </c>
      <c r="D75" s="6"/>
      <c r="E75" s="6"/>
      <c r="F75" s="6"/>
      <c r="G75" s="6"/>
      <c r="H75" s="6"/>
      <c r="I75" s="7">
        <f>19510.52</f>
        <v>19510.52</v>
      </c>
      <c r="J75" s="6"/>
      <c r="K75" s="6"/>
      <c r="L75" s="7">
        <f>15000</f>
        <v>15000</v>
      </c>
      <c r="M75" s="6"/>
      <c r="N75" s="7">
        <f>47500</f>
        <v>47500</v>
      </c>
    </row>
    <row r="76" spans="1:14" x14ac:dyDescent="0.2">
      <c r="B76" s="5" t="s">
        <v>96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">
      <c r="B77" s="5" t="s">
        <v>97</v>
      </c>
      <c r="C77" s="7">
        <f>1233.79</f>
        <v>1233.79</v>
      </c>
      <c r="D77" s="7">
        <f>1286.3</f>
        <v>1286.3</v>
      </c>
      <c r="E77" s="7">
        <f>-1065.13</f>
        <v>-1065.1300000000001</v>
      </c>
      <c r="F77" s="7">
        <f>1434.87</f>
        <v>1434.87</v>
      </c>
      <c r="G77" s="7">
        <f>4393.64</f>
        <v>4393.6400000000003</v>
      </c>
      <c r="H77" s="7">
        <f>1791.7</f>
        <v>1791.7</v>
      </c>
      <c r="I77" s="7">
        <f>2945.24</f>
        <v>2945.24</v>
      </c>
      <c r="J77" s="7">
        <f>1653.04</f>
        <v>1653.04</v>
      </c>
      <c r="K77" s="7">
        <f>2287.66</f>
        <v>2287.66</v>
      </c>
      <c r="L77" s="7">
        <f>2763.97</f>
        <v>2763.97</v>
      </c>
      <c r="M77" s="7">
        <f>3497.66</f>
        <v>3497.66</v>
      </c>
      <c r="N77" s="7">
        <f>1141.5</f>
        <v>1141.5</v>
      </c>
    </row>
    <row r="78" spans="1:14" x14ac:dyDescent="0.2">
      <c r="B78" s="5" t="s">
        <v>98</v>
      </c>
      <c r="C78" s="8">
        <f t="shared" ref="C78:N78" si="14">((((C73)+(C74))+(C75))+(C76))+(C77)</f>
        <v>29760.71</v>
      </c>
      <c r="D78" s="8">
        <f t="shared" si="14"/>
        <v>26132.46</v>
      </c>
      <c r="E78" s="8">
        <f t="shared" si="14"/>
        <v>25023.34</v>
      </c>
      <c r="F78" s="8">
        <f t="shared" si="14"/>
        <v>60765.65</v>
      </c>
      <c r="G78" s="8">
        <f t="shared" si="14"/>
        <v>60582.11</v>
      </c>
      <c r="H78" s="8">
        <f t="shared" si="14"/>
        <v>77402.42</v>
      </c>
      <c r="I78" s="8">
        <f t="shared" si="14"/>
        <v>109105.78000000001</v>
      </c>
      <c r="J78" s="8">
        <f t="shared" si="14"/>
        <v>86099.23</v>
      </c>
      <c r="K78" s="8">
        <f t="shared" si="14"/>
        <v>46126.130000000005</v>
      </c>
      <c r="L78" s="8">
        <f t="shared" si="14"/>
        <v>152279.4</v>
      </c>
      <c r="M78" s="8">
        <f t="shared" si="14"/>
        <v>100028.46</v>
      </c>
      <c r="N78" s="8">
        <f t="shared" si="14"/>
        <v>150229.41999999998</v>
      </c>
    </row>
    <row r="79" spans="1:14" x14ac:dyDescent="0.2">
      <c r="B79" s="5" t="s">
        <v>99</v>
      </c>
      <c r="C79" s="7">
        <f>4234.99</f>
        <v>4234.99</v>
      </c>
      <c r="D79" s="7">
        <f>1088.94</f>
        <v>1088.94</v>
      </c>
      <c r="E79" s="7">
        <f>1984.84</f>
        <v>1984.84</v>
      </c>
      <c r="F79" s="7">
        <f>4860.06</f>
        <v>4860.0600000000004</v>
      </c>
      <c r="G79" s="7">
        <f>4462.51</f>
        <v>4462.51</v>
      </c>
      <c r="H79" s="7">
        <f>6392.82</f>
        <v>6392.82</v>
      </c>
      <c r="I79" s="7">
        <f>9148</f>
        <v>9148</v>
      </c>
      <c r="J79" s="7">
        <f>5662.14</f>
        <v>5662.14</v>
      </c>
      <c r="K79" s="7">
        <f>2578.02</f>
        <v>2578.02</v>
      </c>
      <c r="L79" s="7">
        <f>8508.32</f>
        <v>8508.32</v>
      </c>
      <c r="M79" s="7">
        <f>6269.47</f>
        <v>6269.47</v>
      </c>
      <c r="N79" s="7">
        <f>11795.98</f>
        <v>11795.98</v>
      </c>
    </row>
    <row r="80" spans="1:14" x14ac:dyDescent="0.2">
      <c r="B80" s="5" t="s">
        <v>100</v>
      </c>
      <c r="C80" s="7">
        <f>1683.44</f>
        <v>1683.44</v>
      </c>
      <c r="D80" s="7">
        <f>1595.18</f>
        <v>1595.18</v>
      </c>
      <c r="E80" s="7">
        <f>1674.93</f>
        <v>1674.93</v>
      </c>
      <c r="F80" s="7">
        <f>1838.12</f>
        <v>1838.12</v>
      </c>
      <c r="G80" s="7">
        <f>5589.14</f>
        <v>5589.14</v>
      </c>
      <c r="H80" s="7">
        <f>12378.05</f>
        <v>12378.05</v>
      </c>
      <c r="I80" s="7">
        <f>4724.93</f>
        <v>4724.93</v>
      </c>
      <c r="J80" s="7">
        <f>5892.27</f>
        <v>5892.27</v>
      </c>
      <c r="K80" s="7">
        <f>2967.87</f>
        <v>2967.87</v>
      </c>
      <c r="L80" s="7">
        <f>8901.49</f>
        <v>8901.49</v>
      </c>
      <c r="M80" s="7">
        <f>5656.53</f>
        <v>5656.53</v>
      </c>
      <c r="N80" s="7">
        <f>4980.08</f>
        <v>4980.08</v>
      </c>
    </row>
    <row r="81" spans="2:14" x14ac:dyDescent="0.2">
      <c r="B81" s="5" t="s">
        <v>101</v>
      </c>
      <c r="C81" s="6"/>
      <c r="D81" s="6"/>
      <c r="E81" s="6"/>
      <c r="F81" s="6"/>
      <c r="G81" s="6"/>
      <c r="H81" s="7">
        <f>107.02</f>
        <v>107.02</v>
      </c>
      <c r="I81" s="7">
        <f>96.92</f>
        <v>96.92</v>
      </c>
      <c r="J81" s="7">
        <f>104.63</f>
        <v>104.63</v>
      </c>
      <c r="K81" s="7">
        <f>53.01</f>
        <v>53.01</v>
      </c>
      <c r="L81" s="7">
        <f>166.71</f>
        <v>166.71</v>
      </c>
      <c r="M81" s="7">
        <f>107.92</f>
        <v>107.92</v>
      </c>
      <c r="N81" s="7">
        <f>94.12</f>
        <v>94.12</v>
      </c>
    </row>
    <row r="82" spans="2:14" x14ac:dyDescent="0.2">
      <c r="B82" s="5" t="s">
        <v>102</v>
      </c>
      <c r="C82" s="8">
        <f t="shared" ref="C82:N82" si="15">((((C72)+(C78))+(C79))+(C80))+(C81)</f>
        <v>35679.14</v>
      </c>
      <c r="D82" s="8">
        <f t="shared" si="15"/>
        <v>28816.579999999998</v>
      </c>
      <c r="E82" s="8">
        <f t="shared" si="15"/>
        <v>28683.11</v>
      </c>
      <c r="F82" s="8">
        <f t="shared" si="15"/>
        <v>67463.83</v>
      </c>
      <c r="G82" s="8">
        <f t="shared" si="15"/>
        <v>70633.760000000009</v>
      </c>
      <c r="H82" s="8">
        <f t="shared" si="15"/>
        <v>96280.31</v>
      </c>
      <c r="I82" s="8">
        <f t="shared" si="15"/>
        <v>123075.63000000002</v>
      </c>
      <c r="J82" s="8">
        <f t="shared" si="15"/>
        <v>97758.27</v>
      </c>
      <c r="K82" s="8">
        <f t="shared" si="15"/>
        <v>51725.030000000006</v>
      </c>
      <c r="L82" s="8">
        <f t="shared" si="15"/>
        <v>169855.91999999998</v>
      </c>
      <c r="M82" s="8">
        <f t="shared" si="15"/>
        <v>112062.38</v>
      </c>
      <c r="N82" s="8">
        <f t="shared" si="15"/>
        <v>167099.59999999998</v>
      </c>
    </row>
    <row r="83" spans="2:14" x14ac:dyDescent="0.2">
      <c r="B83" s="5" t="s">
        <v>103</v>
      </c>
      <c r="C83" s="6"/>
      <c r="D83" s="6"/>
      <c r="E83" s="7">
        <f>3525</f>
        <v>3525</v>
      </c>
      <c r="F83" s="6"/>
      <c r="G83" s="6"/>
      <c r="H83" s="7">
        <f>608.25</f>
        <v>608.25</v>
      </c>
      <c r="I83" s="7">
        <f>10880.8</f>
        <v>10880.8</v>
      </c>
      <c r="J83" s="7">
        <f>5000</f>
        <v>5000</v>
      </c>
      <c r="K83" s="6"/>
      <c r="L83" s="7">
        <f>5000</f>
        <v>5000</v>
      </c>
      <c r="M83" s="7">
        <f>2640</f>
        <v>2640</v>
      </c>
      <c r="N83" s="7">
        <f>21416.66</f>
        <v>21416.66</v>
      </c>
    </row>
    <row r="84" spans="2:14" x14ac:dyDescent="0.2">
      <c r="B84" s="5" t="s">
        <v>104</v>
      </c>
      <c r="C84" s="7">
        <f>30599</f>
        <v>30599</v>
      </c>
      <c r="D84" s="7">
        <f>48535.29</f>
        <v>48535.29</v>
      </c>
      <c r="E84" s="7">
        <f>276623.44</f>
        <v>276623.44</v>
      </c>
      <c r="F84" s="7">
        <f>93400.68</f>
        <v>93400.68</v>
      </c>
      <c r="G84" s="7">
        <f>77591.2</f>
        <v>77591.199999999997</v>
      </c>
      <c r="H84" s="7">
        <f>89005.34</f>
        <v>89005.34</v>
      </c>
      <c r="I84" s="7">
        <f>1283.07</f>
        <v>1283.07</v>
      </c>
      <c r="J84" s="7">
        <f>21211.71</f>
        <v>21211.71</v>
      </c>
      <c r="K84" s="7">
        <f>70482.7</f>
        <v>70482.7</v>
      </c>
      <c r="L84" s="7">
        <f>71217.4</f>
        <v>71217.399999999994</v>
      </c>
      <c r="M84" s="7">
        <f>69892.76</f>
        <v>69892.759999999995</v>
      </c>
      <c r="N84" s="7">
        <f>105.93</f>
        <v>105.93</v>
      </c>
    </row>
    <row r="85" spans="2:14" x14ac:dyDescent="0.2">
      <c r="B85" s="5" t="s">
        <v>105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2:14" x14ac:dyDescent="0.2">
      <c r="B86" s="5" t="s">
        <v>106</v>
      </c>
      <c r="C86" s="6"/>
      <c r="D86" s="6"/>
      <c r="E86" s="7">
        <f>0</f>
        <v>0</v>
      </c>
      <c r="F86" s="6"/>
      <c r="G86" s="6"/>
      <c r="H86" s="6"/>
      <c r="I86" s="6"/>
      <c r="J86" s="6"/>
      <c r="K86" s="6"/>
      <c r="L86" s="6"/>
      <c r="M86" s="6"/>
      <c r="N86" s="6"/>
    </row>
    <row r="87" spans="2:14" x14ac:dyDescent="0.2">
      <c r="B87" s="5" t="s">
        <v>107</v>
      </c>
      <c r="C87" s="8">
        <f t="shared" ref="C87:N87" si="16">((C84)+(C85))+(C86)</f>
        <v>30599</v>
      </c>
      <c r="D87" s="8">
        <f t="shared" si="16"/>
        <v>48535.29</v>
      </c>
      <c r="E87" s="8">
        <f t="shared" si="16"/>
        <v>276623.44</v>
      </c>
      <c r="F87" s="8">
        <f t="shared" si="16"/>
        <v>93400.68</v>
      </c>
      <c r="G87" s="8">
        <f t="shared" si="16"/>
        <v>77591.199999999997</v>
      </c>
      <c r="H87" s="8">
        <f t="shared" si="16"/>
        <v>89005.34</v>
      </c>
      <c r="I87" s="8">
        <f t="shared" si="16"/>
        <v>1283.07</v>
      </c>
      <c r="J87" s="8">
        <f t="shared" si="16"/>
        <v>21211.71</v>
      </c>
      <c r="K87" s="8">
        <f t="shared" si="16"/>
        <v>70482.7</v>
      </c>
      <c r="L87" s="8">
        <f t="shared" si="16"/>
        <v>71217.399999999994</v>
      </c>
      <c r="M87" s="8">
        <f t="shared" si="16"/>
        <v>69892.759999999995</v>
      </c>
      <c r="N87" s="8">
        <f t="shared" si="16"/>
        <v>105.93</v>
      </c>
    </row>
    <row r="88" spans="2:14" x14ac:dyDescent="0.2">
      <c r="B88" s="5" t="s">
        <v>108</v>
      </c>
      <c r="C88" s="7">
        <f>899</f>
        <v>899</v>
      </c>
      <c r="D88" s="7">
        <f>5451.62</f>
        <v>5451.62</v>
      </c>
      <c r="E88" s="7">
        <f>2778.42</f>
        <v>2778.42</v>
      </c>
      <c r="F88" s="7">
        <f>1311.55</f>
        <v>1311.55</v>
      </c>
      <c r="G88" s="7">
        <f>20715.64</f>
        <v>20715.64</v>
      </c>
      <c r="H88" s="7">
        <f>39870.54</f>
        <v>39870.54</v>
      </c>
      <c r="I88" s="7">
        <f>19375.54</f>
        <v>19375.54</v>
      </c>
      <c r="J88" s="7">
        <f>3172.64</f>
        <v>3172.64</v>
      </c>
      <c r="K88" s="7">
        <f>104683.92</f>
        <v>104683.92</v>
      </c>
      <c r="L88" s="7">
        <f>38648.61</f>
        <v>38648.61</v>
      </c>
      <c r="M88" s="7">
        <f>27419.8</f>
        <v>27419.8</v>
      </c>
      <c r="N88" s="7">
        <f>18691.98</f>
        <v>18691.98</v>
      </c>
    </row>
    <row r="89" spans="2:14" x14ac:dyDescent="0.2">
      <c r="B89" s="5" t="s">
        <v>109</v>
      </c>
      <c r="C89" s="6"/>
      <c r="D89" s="6"/>
      <c r="E89" s="6"/>
      <c r="F89" s="6"/>
      <c r="G89" s="6"/>
      <c r="H89" s="6"/>
      <c r="I89" s="6"/>
      <c r="J89" s="7">
        <f>1000</f>
        <v>1000</v>
      </c>
      <c r="K89" s="6"/>
      <c r="L89" s="7">
        <f>8227.9</f>
        <v>8227.9</v>
      </c>
      <c r="M89" s="7">
        <f>-1793.65</f>
        <v>-1793.65</v>
      </c>
      <c r="N89" s="7">
        <f>6738.95</f>
        <v>6738.95</v>
      </c>
    </row>
    <row r="90" spans="2:14" x14ac:dyDescent="0.2">
      <c r="B90" s="5" t="s">
        <v>110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2:14" x14ac:dyDescent="0.2">
      <c r="B91" s="5" t="s">
        <v>111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7">
        <f>15000</f>
        <v>15000</v>
      </c>
    </row>
    <row r="92" spans="2:14" x14ac:dyDescent="0.2">
      <c r="B92" s="5" t="s">
        <v>112</v>
      </c>
      <c r="C92" s="7">
        <f>9999.15</f>
        <v>9999.15</v>
      </c>
      <c r="D92" s="7">
        <f>63947.74</f>
        <v>63947.74</v>
      </c>
      <c r="E92" s="7">
        <f>7451.86</f>
        <v>7451.86</v>
      </c>
      <c r="F92" s="7">
        <f>7451.86</f>
        <v>7451.86</v>
      </c>
      <c r="G92" s="7">
        <f>9107.42</f>
        <v>9107.42</v>
      </c>
      <c r="H92" s="7">
        <f>9107.42</f>
        <v>9107.42</v>
      </c>
      <c r="I92" s="7">
        <f>14107.42</f>
        <v>14107.42</v>
      </c>
      <c r="J92" s="7">
        <f>9107.42</f>
        <v>9107.42</v>
      </c>
      <c r="K92" s="7">
        <f>21107.42</f>
        <v>21107.42</v>
      </c>
      <c r="L92" s="7">
        <f>9107.42</f>
        <v>9107.42</v>
      </c>
      <c r="M92" s="7">
        <f>9107.42</f>
        <v>9107.42</v>
      </c>
      <c r="N92" s="7">
        <f>9107.37</f>
        <v>9107.3700000000008</v>
      </c>
    </row>
    <row r="93" spans="2:14" x14ac:dyDescent="0.2">
      <c r="B93" s="5" t="s">
        <v>113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2:14" x14ac:dyDescent="0.2">
      <c r="B94" s="5" t="s">
        <v>114</v>
      </c>
      <c r="C94" s="7">
        <f>1640</f>
        <v>1640</v>
      </c>
      <c r="D94" s="7">
        <f>1975</f>
        <v>1975</v>
      </c>
      <c r="E94" s="7">
        <f>375</f>
        <v>375</v>
      </c>
      <c r="F94" s="7">
        <f>4375</f>
        <v>4375</v>
      </c>
      <c r="G94" s="7">
        <f>1875</f>
        <v>1875</v>
      </c>
      <c r="H94" s="7">
        <f>1402.5</f>
        <v>1402.5</v>
      </c>
      <c r="I94" s="7">
        <f>10135</f>
        <v>10135</v>
      </c>
      <c r="J94" s="7">
        <f>3762</f>
        <v>3762</v>
      </c>
      <c r="K94" s="7">
        <f>5425</f>
        <v>5425</v>
      </c>
      <c r="L94" s="7">
        <f>7199.4</f>
        <v>7199.4</v>
      </c>
      <c r="M94" s="7">
        <f>16680.45</f>
        <v>16680.45</v>
      </c>
      <c r="N94" s="7">
        <f>9225.98</f>
        <v>9225.98</v>
      </c>
    </row>
    <row r="95" spans="2:14" x14ac:dyDescent="0.2">
      <c r="B95" s="5" t="s">
        <v>115</v>
      </c>
      <c r="C95" s="7">
        <f>7537.87</f>
        <v>7537.87</v>
      </c>
      <c r="D95" s="7">
        <f>13256.13</f>
        <v>13256.13</v>
      </c>
      <c r="E95" s="7">
        <f>16972.25</f>
        <v>16972.25</v>
      </c>
      <c r="F95" s="7">
        <f>15363.65</f>
        <v>15363.65</v>
      </c>
      <c r="G95" s="7">
        <f>21429.04</f>
        <v>21429.040000000001</v>
      </c>
      <c r="H95" s="7">
        <f>25336.62</f>
        <v>25336.62</v>
      </c>
      <c r="I95" s="7">
        <f>39298.14</f>
        <v>39298.14</v>
      </c>
      <c r="J95" s="7">
        <f>28642.96</f>
        <v>28642.959999999999</v>
      </c>
      <c r="K95" s="7">
        <f>30083.94</f>
        <v>30083.94</v>
      </c>
      <c r="L95" s="7">
        <f>38139.89</f>
        <v>38139.89</v>
      </c>
      <c r="M95" s="7">
        <f>31807.29</f>
        <v>31807.29</v>
      </c>
      <c r="N95" s="7">
        <f>39246.12</f>
        <v>39246.120000000003</v>
      </c>
    </row>
    <row r="96" spans="2:14" x14ac:dyDescent="0.2">
      <c r="B96" s="5" t="s">
        <v>116</v>
      </c>
      <c r="C96" s="6"/>
      <c r="D96" s="7">
        <f>1000</f>
        <v>1000</v>
      </c>
      <c r="E96" s="6"/>
      <c r="F96" s="6"/>
      <c r="G96" s="6"/>
      <c r="H96" s="6"/>
      <c r="I96" s="7">
        <f>1500</f>
        <v>1500</v>
      </c>
      <c r="J96" s="6"/>
      <c r="K96" s="6"/>
      <c r="L96" s="6"/>
      <c r="M96" s="6"/>
      <c r="N96" s="6"/>
    </row>
    <row r="97" spans="1:14" x14ac:dyDescent="0.2">
      <c r="B97" s="5" t="s">
        <v>117</v>
      </c>
      <c r="C97" s="6"/>
      <c r="D97" s="6"/>
      <c r="E97" s="6"/>
      <c r="F97" s="6"/>
      <c r="G97" s="6"/>
      <c r="H97" s="6"/>
      <c r="I97" s="6"/>
      <c r="J97" s="6"/>
      <c r="K97" s="7">
        <f>1440</f>
        <v>1440</v>
      </c>
      <c r="L97" s="7">
        <f>300</f>
        <v>300</v>
      </c>
      <c r="M97" s="7">
        <f>1500</f>
        <v>1500</v>
      </c>
      <c r="N97" s="7">
        <f>23135</f>
        <v>23135</v>
      </c>
    </row>
    <row r="98" spans="1:14" x14ac:dyDescent="0.2">
      <c r="B98" s="5" t="s">
        <v>118</v>
      </c>
      <c r="C98" s="8">
        <f t="shared" ref="C98:N98" si="17">((((C93)+(C94))+(C95))+(C96))+(C97)</f>
        <v>9177.869999999999</v>
      </c>
      <c r="D98" s="8">
        <f t="shared" si="17"/>
        <v>16231.13</v>
      </c>
      <c r="E98" s="8">
        <f t="shared" si="17"/>
        <v>17347.25</v>
      </c>
      <c r="F98" s="8">
        <f t="shared" si="17"/>
        <v>19738.650000000001</v>
      </c>
      <c r="G98" s="8">
        <f t="shared" si="17"/>
        <v>23304.04</v>
      </c>
      <c r="H98" s="8">
        <f t="shared" si="17"/>
        <v>26739.119999999999</v>
      </c>
      <c r="I98" s="8">
        <f t="shared" si="17"/>
        <v>50933.14</v>
      </c>
      <c r="J98" s="8">
        <f t="shared" si="17"/>
        <v>32404.959999999999</v>
      </c>
      <c r="K98" s="8">
        <f t="shared" si="17"/>
        <v>36948.94</v>
      </c>
      <c r="L98" s="8">
        <f t="shared" si="17"/>
        <v>45639.29</v>
      </c>
      <c r="M98" s="8">
        <f t="shared" si="17"/>
        <v>49987.740000000005</v>
      </c>
      <c r="N98" s="8">
        <f t="shared" si="17"/>
        <v>71607.100000000006</v>
      </c>
    </row>
    <row r="99" spans="1:14" x14ac:dyDescent="0.2">
      <c r="B99" s="5" t="s">
        <v>119</v>
      </c>
      <c r="C99" s="6"/>
      <c r="D99" s="6"/>
      <c r="E99" s="6"/>
      <c r="F99" s="7">
        <f>8720</f>
        <v>8720</v>
      </c>
      <c r="G99" s="7">
        <f>9675</f>
        <v>9675</v>
      </c>
      <c r="H99" s="7">
        <f>39738.65</f>
        <v>39738.65</v>
      </c>
      <c r="I99" s="7">
        <f>67911.89</f>
        <v>67911.89</v>
      </c>
      <c r="J99" s="7">
        <f>10543.1</f>
        <v>10543.1</v>
      </c>
      <c r="K99" s="7">
        <f>73036.26</f>
        <v>73036.259999999995</v>
      </c>
      <c r="L99" s="7">
        <f>39828.6</f>
        <v>39828.6</v>
      </c>
      <c r="M99" s="7">
        <f>16993.44</f>
        <v>16993.439999999999</v>
      </c>
      <c r="N99" s="7">
        <f>17528.81</f>
        <v>17528.810000000001</v>
      </c>
    </row>
    <row r="100" spans="1:14" x14ac:dyDescent="0.2">
      <c r="B100" s="5" t="s">
        <v>120</v>
      </c>
      <c r="C100" s="6"/>
      <c r="D100" s="7">
        <f>180.5</f>
        <v>180.5</v>
      </c>
      <c r="E100" s="7">
        <f>4943.42</f>
        <v>4943.42</v>
      </c>
      <c r="F100" s="7">
        <f>5545.26</f>
        <v>5545.26</v>
      </c>
      <c r="G100" s="7">
        <f>9711.82</f>
        <v>9711.82</v>
      </c>
      <c r="H100" s="7">
        <f>4526.76</f>
        <v>4526.76</v>
      </c>
      <c r="I100" s="7">
        <f>191.62</f>
        <v>191.62</v>
      </c>
      <c r="J100" s="7">
        <f>6390.39</f>
        <v>6390.39</v>
      </c>
      <c r="K100" s="7">
        <f>16198.7</f>
        <v>16198.7</v>
      </c>
      <c r="L100" s="7">
        <f>12609.95</f>
        <v>12609.95</v>
      </c>
      <c r="M100" s="7">
        <f>1387.07</f>
        <v>1387.07</v>
      </c>
      <c r="N100" s="7">
        <f>2189.37</f>
        <v>2189.37</v>
      </c>
    </row>
    <row r="101" spans="1:14" x14ac:dyDescent="0.2">
      <c r="B101" s="5" t="s">
        <v>121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>
        <f>37200</f>
        <v>37200</v>
      </c>
      <c r="N101" s="7">
        <f>19980</f>
        <v>19980</v>
      </c>
    </row>
    <row r="102" spans="1:14" x14ac:dyDescent="0.2">
      <c r="B102" s="5" t="s">
        <v>122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">
      <c r="B103" s="5" t="s">
        <v>123</v>
      </c>
      <c r="C103" s="6"/>
      <c r="D103" s="7">
        <f>7507.69</f>
        <v>7507.69</v>
      </c>
      <c r="E103" s="7">
        <f>21308.42</f>
        <v>21308.42</v>
      </c>
      <c r="F103" s="7">
        <f>10360.13</f>
        <v>10360.129999999999</v>
      </c>
      <c r="G103" s="7">
        <f>9252.28</f>
        <v>9252.2800000000007</v>
      </c>
      <c r="H103" s="7">
        <f>15587.19</f>
        <v>15587.19</v>
      </c>
      <c r="I103" s="7">
        <f>3005.71</f>
        <v>3005.71</v>
      </c>
      <c r="J103" s="7">
        <f>5990.05</f>
        <v>5990.05</v>
      </c>
      <c r="K103" s="7">
        <f>17886.83</f>
        <v>17886.830000000002</v>
      </c>
      <c r="L103" s="7">
        <f>16624.48</f>
        <v>16624.48</v>
      </c>
      <c r="M103" s="7">
        <f>10605.36</f>
        <v>10605.36</v>
      </c>
      <c r="N103" s="7">
        <f>3030.95</f>
        <v>3030.95</v>
      </c>
    </row>
    <row r="104" spans="1:14" x14ac:dyDescent="0.2">
      <c r="B104" s="5" t="s">
        <v>124</v>
      </c>
      <c r="C104" s="6"/>
      <c r="D104" s="7">
        <f>11549.12</f>
        <v>11549.12</v>
      </c>
      <c r="E104" s="7">
        <f>15314.36</f>
        <v>15314.36</v>
      </c>
      <c r="F104" s="7">
        <f>18631.31</f>
        <v>18631.310000000001</v>
      </c>
      <c r="G104" s="7">
        <f>6188.22</f>
        <v>6188.22</v>
      </c>
      <c r="H104" s="7">
        <f>13712.34</f>
        <v>13712.34</v>
      </c>
      <c r="I104" s="7">
        <f>2052.48</f>
        <v>2052.48</v>
      </c>
      <c r="J104" s="7">
        <f>2247.06</f>
        <v>2247.06</v>
      </c>
      <c r="K104" s="7">
        <f>14834.74</f>
        <v>14834.74</v>
      </c>
      <c r="L104" s="7">
        <f>10785.77</f>
        <v>10785.77</v>
      </c>
      <c r="M104" s="7">
        <f>10938.55</f>
        <v>10938.55</v>
      </c>
      <c r="N104" s="7">
        <f>4672.9</f>
        <v>4672.8999999999996</v>
      </c>
    </row>
    <row r="105" spans="1:14" x14ac:dyDescent="0.2">
      <c r="B105" s="5" t="s">
        <v>125</v>
      </c>
      <c r="C105" s="6"/>
      <c r="D105" s="7">
        <f>296.85</f>
        <v>296.85000000000002</v>
      </c>
      <c r="E105" s="7">
        <f>4051.29</f>
        <v>4051.29</v>
      </c>
      <c r="F105" s="7">
        <f>2902.17</f>
        <v>2902.17</v>
      </c>
      <c r="G105" s="7">
        <f>764.92</f>
        <v>764.92</v>
      </c>
      <c r="H105" s="7">
        <f>4405.36</f>
        <v>4405.3599999999997</v>
      </c>
      <c r="I105" s="7">
        <f>260.09</f>
        <v>260.08999999999997</v>
      </c>
      <c r="J105" s="7">
        <f>58.15</f>
        <v>58.15</v>
      </c>
      <c r="K105" s="7">
        <f>3656.32</f>
        <v>3656.32</v>
      </c>
      <c r="L105" s="7">
        <f>1999.32</f>
        <v>1999.32</v>
      </c>
      <c r="M105" s="7">
        <f>1834.6</f>
        <v>1834.6</v>
      </c>
      <c r="N105" s="7">
        <f>900.68</f>
        <v>900.68</v>
      </c>
    </row>
    <row r="106" spans="1:14" x14ac:dyDescent="0.2">
      <c r="B106" s="5" t="s">
        <v>126</v>
      </c>
      <c r="C106" s="6"/>
      <c r="D106" s="7">
        <f>1941.21</f>
        <v>1941.21</v>
      </c>
      <c r="E106" s="7">
        <f>1591.7</f>
        <v>1591.7</v>
      </c>
      <c r="F106" s="7">
        <f>1428.05</f>
        <v>1428.05</v>
      </c>
      <c r="G106" s="7">
        <f>518.23</f>
        <v>518.23</v>
      </c>
      <c r="H106" s="7">
        <f>246.79</f>
        <v>246.79</v>
      </c>
      <c r="I106" s="6"/>
      <c r="J106" s="7">
        <f>102.9</f>
        <v>102.9</v>
      </c>
      <c r="K106" s="7">
        <f>153.13</f>
        <v>153.13</v>
      </c>
      <c r="L106" s="7">
        <f>193.97</f>
        <v>193.97</v>
      </c>
      <c r="M106" s="7">
        <f>1431.71</f>
        <v>1431.71</v>
      </c>
      <c r="N106" s="6"/>
    </row>
    <row r="107" spans="1:14" x14ac:dyDescent="0.2">
      <c r="B107" s="5" t="s">
        <v>127</v>
      </c>
      <c r="C107" s="8">
        <f t="shared" ref="C107:N107" si="18">((((C102)+(C103))+(C104))+(C105))+(C106)</f>
        <v>0</v>
      </c>
      <c r="D107" s="8">
        <f t="shared" si="18"/>
        <v>21294.87</v>
      </c>
      <c r="E107" s="8">
        <f t="shared" si="18"/>
        <v>42265.77</v>
      </c>
      <c r="F107" s="8">
        <f t="shared" si="18"/>
        <v>33321.660000000003</v>
      </c>
      <c r="G107" s="8">
        <f t="shared" si="18"/>
        <v>16723.650000000001</v>
      </c>
      <c r="H107" s="8">
        <f t="shared" si="18"/>
        <v>33951.68</v>
      </c>
      <c r="I107" s="8">
        <f t="shared" si="18"/>
        <v>5318.2800000000007</v>
      </c>
      <c r="J107" s="8">
        <f t="shared" si="18"/>
        <v>8398.16</v>
      </c>
      <c r="K107" s="8">
        <f t="shared" si="18"/>
        <v>36531.019999999997</v>
      </c>
      <c r="L107" s="8">
        <f t="shared" si="18"/>
        <v>29603.54</v>
      </c>
      <c r="M107" s="8">
        <f t="shared" si="18"/>
        <v>24810.219999999998</v>
      </c>
      <c r="N107" s="8">
        <f t="shared" si="18"/>
        <v>8604.5299999999988</v>
      </c>
    </row>
    <row r="108" spans="1:14" x14ac:dyDescent="0.2">
      <c r="B108" s="5" t="s">
        <v>128</v>
      </c>
      <c r="C108" s="6"/>
      <c r="D108" s="6"/>
      <c r="E108" s="6"/>
      <c r="F108" s="6"/>
      <c r="G108" s="6"/>
      <c r="H108" s="6"/>
      <c r="I108" s="6"/>
      <c r="J108" s="7">
        <f>2497.75</f>
        <v>2497.75</v>
      </c>
      <c r="K108" s="6"/>
      <c r="L108" s="7">
        <f>650</f>
        <v>650</v>
      </c>
      <c r="M108" s="7">
        <f>123.78</f>
        <v>123.78</v>
      </c>
      <c r="N108" s="7">
        <f>161.55</f>
        <v>161.55000000000001</v>
      </c>
    </row>
    <row r="109" spans="1:14" x14ac:dyDescent="0.2">
      <c r="B109" s="5" t="s">
        <v>129</v>
      </c>
      <c r="C109" s="7">
        <f>520</f>
        <v>520</v>
      </c>
      <c r="D109" s="7">
        <f>779.9</f>
        <v>779.9</v>
      </c>
      <c r="E109" s="7">
        <f>520</f>
        <v>520</v>
      </c>
      <c r="F109" s="7">
        <f>560</f>
        <v>560</v>
      </c>
      <c r="G109" s="7">
        <f>926.34</f>
        <v>926.34</v>
      </c>
      <c r="H109" s="7">
        <f>2062</f>
        <v>2062</v>
      </c>
      <c r="I109" s="7">
        <f>1951</f>
        <v>1951</v>
      </c>
      <c r="J109" s="7">
        <f>1702</f>
        <v>1702</v>
      </c>
      <c r="K109" s="7">
        <f>7931.21</f>
        <v>7931.21</v>
      </c>
      <c r="L109" s="7">
        <f>6194</f>
        <v>6194</v>
      </c>
      <c r="M109" s="7">
        <f>4727.8</f>
        <v>4727.8</v>
      </c>
      <c r="N109" s="7">
        <f>3577</f>
        <v>3577</v>
      </c>
    </row>
    <row r="110" spans="1:14" x14ac:dyDescent="0.2">
      <c r="B110" s="5" t="s">
        <v>130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7">
        <f>1226.49</f>
        <v>1226.49</v>
      </c>
    </row>
    <row r="111" spans="1:14" x14ac:dyDescent="0.2">
      <c r="B111" s="5" t="s">
        <v>131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>
        <f>72547.48</f>
        <v>72547.48</v>
      </c>
      <c r="N111" s="7">
        <f>0</f>
        <v>0</v>
      </c>
    </row>
    <row r="112" spans="1:14" x14ac:dyDescent="0.2">
      <c r="A112" s="13" t="s">
        <v>8</v>
      </c>
      <c r="B112" s="16" t="s">
        <v>132</v>
      </c>
      <c r="C112" s="8">
        <f t="shared" ref="C112:N112" si="19">(((((((((((((((((C71)+(C82))+(C83))+(C87))+(C88))+(C89))+(C90))+(C91))+(C92))+(C98))+(C99))+(C100))+(C101))+(C107))+(C108))+(C109))+(C110))+(C111)</f>
        <v>86874.159999999989</v>
      </c>
      <c r="D112" s="8">
        <f t="shared" si="19"/>
        <v>185237.62999999998</v>
      </c>
      <c r="E112" s="8">
        <f t="shared" si="19"/>
        <v>384138.26999999996</v>
      </c>
      <c r="F112" s="8">
        <f t="shared" si="19"/>
        <v>237513.49</v>
      </c>
      <c r="G112" s="8">
        <f t="shared" si="19"/>
        <v>238388.87000000005</v>
      </c>
      <c r="H112" s="8">
        <f t="shared" si="19"/>
        <v>341890.07</v>
      </c>
      <c r="I112" s="8">
        <f t="shared" si="19"/>
        <v>295028.39000000007</v>
      </c>
      <c r="J112" s="8">
        <f t="shared" si="19"/>
        <v>199186.40000000002</v>
      </c>
      <c r="K112" s="8">
        <f t="shared" si="19"/>
        <v>418645.20000000007</v>
      </c>
      <c r="L112" s="8">
        <f t="shared" si="19"/>
        <v>436582.62999999995</v>
      </c>
      <c r="M112" s="8">
        <f t="shared" si="19"/>
        <v>427106.24</v>
      </c>
      <c r="N112" s="8">
        <f t="shared" si="19"/>
        <v>363035.33999999991</v>
      </c>
    </row>
    <row r="113" spans="2:14" x14ac:dyDescent="0.2">
      <c r="B113" s="5" t="s">
        <v>133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2:14" x14ac:dyDescent="0.2">
      <c r="B114" s="5" t="s">
        <v>134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2:14" x14ac:dyDescent="0.2">
      <c r="B115" s="5" t="s">
        <v>135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2:14" x14ac:dyDescent="0.2">
      <c r="B116" s="5" t="s">
        <v>136</v>
      </c>
      <c r="C116" s="7">
        <f>346294.1</f>
        <v>346294.1</v>
      </c>
      <c r="D116" s="7">
        <f>305849.49</f>
        <v>305849.49</v>
      </c>
      <c r="E116" s="7">
        <f>334076.97</f>
        <v>334076.96999999997</v>
      </c>
      <c r="F116" s="7">
        <f>366192.38</f>
        <v>366192.38</v>
      </c>
      <c r="G116" s="7">
        <f>394942.4</f>
        <v>394942.4</v>
      </c>
      <c r="H116" s="7">
        <f>340384.91</f>
        <v>340384.91</v>
      </c>
      <c r="I116" s="7">
        <f>390835.12</f>
        <v>390835.12</v>
      </c>
      <c r="J116" s="7">
        <f>406324.15</f>
        <v>406324.15</v>
      </c>
      <c r="K116" s="7">
        <f>226033.81</f>
        <v>226033.81</v>
      </c>
      <c r="L116" s="7">
        <f>663794.67</f>
        <v>663794.67000000004</v>
      </c>
      <c r="M116" s="7">
        <f>443589.79</f>
        <v>443589.79</v>
      </c>
      <c r="N116" s="7">
        <f>486852.77</f>
        <v>486852.77</v>
      </c>
    </row>
    <row r="117" spans="2:14" x14ac:dyDescent="0.2">
      <c r="B117" s="5" t="s">
        <v>137</v>
      </c>
      <c r="C117" s="7">
        <f>0</f>
        <v>0</v>
      </c>
      <c r="D117" s="6"/>
      <c r="E117" s="6"/>
      <c r="F117" s="7">
        <f>36459</f>
        <v>36459</v>
      </c>
      <c r="G117" s="7">
        <f>9166.67</f>
        <v>9166.67</v>
      </c>
      <c r="H117" s="7">
        <f>4584</f>
        <v>4584</v>
      </c>
      <c r="I117" s="7">
        <f>27000</f>
        <v>27000</v>
      </c>
      <c r="J117" s="7">
        <f>25921.48</f>
        <v>25921.48</v>
      </c>
      <c r="K117" s="7">
        <f>16000</f>
        <v>16000</v>
      </c>
      <c r="L117" s="7">
        <f>44178.44</f>
        <v>44178.44</v>
      </c>
      <c r="M117" s="7">
        <f>20998.97</f>
        <v>20998.97</v>
      </c>
      <c r="N117" s="7">
        <f>41481.26</f>
        <v>41481.26</v>
      </c>
    </row>
    <row r="118" spans="2:14" x14ac:dyDescent="0.2">
      <c r="B118" s="5" t="s">
        <v>138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2:14" x14ac:dyDescent="0.2">
      <c r="B119" s="5" t="s">
        <v>139</v>
      </c>
      <c r="C119" s="7">
        <f>1910.09</f>
        <v>1910.09</v>
      </c>
      <c r="D119" s="7">
        <f>1810.67</f>
        <v>1810.67</v>
      </c>
      <c r="E119" s="7">
        <f>4114.86</f>
        <v>4114.8599999999997</v>
      </c>
      <c r="F119" s="7">
        <f>3258.17</f>
        <v>3258.17</v>
      </c>
      <c r="G119" s="7">
        <f>6980.47</f>
        <v>6980.47</v>
      </c>
      <c r="H119" s="7">
        <f>-5906.81</f>
        <v>-5906.81</v>
      </c>
      <c r="I119" s="7">
        <f>5188.83</f>
        <v>5188.83</v>
      </c>
      <c r="J119" s="7">
        <f>2727.3</f>
        <v>2727.3</v>
      </c>
      <c r="K119" s="7">
        <f>-7075.93</f>
        <v>-7075.93</v>
      </c>
      <c r="L119" s="7">
        <f>-10501.14</f>
        <v>-10501.14</v>
      </c>
      <c r="M119" s="7">
        <f>3216.8</f>
        <v>3216.8</v>
      </c>
      <c r="N119" s="7">
        <f>5385.96</f>
        <v>5385.96</v>
      </c>
    </row>
    <row r="120" spans="2:14" x14ac:dyDescent="0.2">
      <c r="B120" s="5" t="s">
        <v>140</v>
      </c>
      <c r="C120" s="8">
        <f t="shared" ref="C120:N120" si="20">((((C115)+(C116))+(C117))+(C118))+(C119)</f>
        <v>348204.19</v>
      </c>
      <c r="D120" s="8">
        <f t="shared" si="20"/>
        <v>307660.15999999997</v>
      </c>
      <c r="E120" s="8">
        <f t="shared" si="20"/>
        <v>338191.82999999996</v>
      </c>
      <c r="F120" s="8">
        <f t="shared" si="20"/>
        <v>405909.55</v>
      </c>
      <c r="G120" s="8">
        <f t="shared" si="20"/>
        <v>411089.54</v>
      </c>
      <c r="H120" s="8">
        <f t="shared" si="20"/>
        <v>339062.1</v>
      </c>
      <c r="I120" s="8">
        <f t="shared" si="20"/>
        <v>423023.95</v>
      </c>
      <c r="J120" s="8">
        <f t="shared" si="20"/>
        <v>434972.93</v>
      </c>
      <c r="K120" s="8">
        <f t="shared" si="20"/>
        <v>234957.88</v>
      </c>
      <c r="L120" s="8">
        <f t="shared" si="20"/>
        <v>697471.97000000009</v>
      </c>
      <c r="M120" s="8">
        <f t="shared" si="20"/>
        <v>467805.56</v>
      </c>
      <c r="N120" s="8">
        <f t="shared" si="20"/>
        <v>533719.99</v>
      </c>
    </row>
    <row r="121" spans="2:14" x14ac:dyDescent="0.2">
      <c r="B121" s="5" t="s">
        <v>141</v>
      </c>
      <c r="C121" s="7">
        <f>44549.3</f>
        <v>44549.3</v>
      </c>
      <c r="D121" s="7">
        <f>22699.7</f>
        <v>22699.7</v>
      </c>
      <c r="E121" s="7">
        <f>34826.89</f>
        <v>34826.89</v>
      </c>
      <c r="F121" s="7">
        <f>88950.89</f>
        <v>88950.89</v>
      </c>
      <c r="G121" s="7">
        <f>-5336.23</f>
        <v>-5336.23</v>
      </c>
      <c r="H121" s="7">
        <f>33922.41</f>
        <v>33922.410000000003</v>
      </c>
      <c r="I121" s="7">
        <f>35737.74</f>
        <v>35737.74</v>
      </c>
      <c r="J121" s="7">
        <f>48493.67</f>
        <v>48493.67</v>
      </c>
      <c r="K121" s="7">
        <f>14143.31</f>
        <v>14143.31</v>
      </c>
      <c r="L121" s="7">
        <f>36670.72</f>
        <v>36670.720000000001</v>
      </c>
      <c r="M121" s="7">
        <f>21741.13</f>
        <v>21741.13</v>
      </c>
      <c r="N121" s="7">
        <f>149211.76</f>
        <v>149211.76</v>
      </c>
    </row>
    <row r="122" spans="2:14" x14ac:dyDescent="0.2">
      <c r="B122" s="5" t="s">
        <v>142</v>
      </c>
      <c r="C122" s="7">
        <f>29843.9</f>
        <v>29843.9</v>
      </c>
      <c r="D122" s="7">
        <f>25003.75</f>
        <v>25003.75</v>
      </c>
      <c r="E122" s="7">
        <f>30055.92</f>
        <v>30055.919999999998</v>
      </c>
      <c r="F122" s="7">
        <f>37311.44</f>
        <v>37311.440000000002</v>
      </c>
      <c r="G122" s="7">
        <f>29910.35</f>
        <v>29910.35</v>
      </c>
      <c r="H122" s="7">
        <f>74822.6</f>
        <v>74822.600000000006</v>
      </c>
      <c r="I122" s="7">
        <f>21515.6</f>
        <v>21515.599999999999</v>
      </c>
      <c r="J122" s="7">
        <f>31711.96</f>
        <v>31711.96</v>
      </c>
      <c r="K122" s="7">
        <f>17828.8</f>
        <v>17828.8</v>
      </c>
      <c r="L122" s="7">
        <f>54588.58</f>
        <v>54588.58</v>
      </c>
      <c r="M122" s="7">
        <f>37275.85</f>
        <v>37275.85</v>
      </c>
      <c r="N122" s="7">
        <f>27238.05</f>
        <v>27238.05</v>
      </c>
    </row>
    <row r="123" spans="2:14" x14ac:dyDescent="0.2">
      <c r="B123" s="5" t="s">
        <v>143</v>
      </c>
      <c r="C123" s="6"/>
      <c r="D123" s="6"/>
      <c r="E123" s="6"/>
      <c r="F123" s="6"/>
      <c r="G123" s="6"/>
      <c r="H123" s="7">
        <f>574.54</f>
        <v>574.54</v>
      </c>
      <c r="I123" s="7">
        <f>502.11</f>
        <v>502.11</v>
      </c>
      <c r="J123" s="7">
        <f>515.98</f>
        <v>515.98</v>
      </c>
      <c r="K123" s="7">
        <f>292.33</f>
        <v>292.33</v>
      </c>
      <c r="L123" s="7">
        <f>841.86</f>
        <v>841.86</v>
      </c>
      <c r="M123" s="7">
        <f>548.85</f>
        <v>548.85</v>
      </c>
      <c r="N123" s="7">
        <f>412.43</f>
        <v>412.43</v>
      </c>
    </row>
    <row r="124" spans="2:14" x14ac:dyDescent="0.2">
      <c r="B124" s="5" t="s">
        <v>144</v>
      </c>
      <c r="C124" s="8">
        <f t="shared" ref="C124:N124" si="21">((((C114)+(C120))+(C121))+(C122))+(C123)</f>
        <v>422597.39</v>
      </c>
      <c r="D124" s="8">
        <f t="shared" si="21"/>
        <v>355363.61</v>
      </c>
      <c r="E124" s="8">
        <f t="shared" si="21"/>
        <v>403074.63999999996</v>
      </c>
      <c r="F124" s="8">
        <f t="shared" si="21"/>
        <v>532171.88</v>
      </c>
      <c r="G124" s="8">
        <f t="shared" si="21"/>
        <v>435663.66</v>
      </c>
      <c r="H124" s="8">
        <f t="shared" si="21"/>
        <v>448381.64999999997</v>
      </c>
      <c r="I124" s="8">
        <f t="shared" si="21"/>
        <v>480779.39999999997</v>
      </c>
      <c r="J124" s="8">
        <f t="shared" si="21"/>
        <v>515694.54</v>
      </c>
      <c r="K124" s="8">
        <f t="shared" si="21"/>
        <v>267222.32</v>
      </c>
      <c r="L124" s="8">
        <f t="shared" si="21"/>
        <v>789573.13</v>
      </c>
      <c r="M124" s="8">
        <f t="shared" si="21"/>
        <v>527371.39</v>
      </c>
      <c r="N124" s="8">
        <f t="shared" si="21"/>
        <v>710582.2300000001</v>
      </c>
    </row>
    <row r="125" spans="2:14" x14ac:dyDescent="0.2">
      <c r="B125" s="5" t="s">
        <v>145</v>
      </c>
      <c r="C125" s="7">
        <f>0</f>
        <v>0</v>
      </c>
      <c r="D125" s="7">
        <f>45712.18</f>
        <v>45712.18</v>
      </c>
      <c r="E125" s="7">
        <f>76083.91</f>
        <v>76083.91</v>
      </c>
      <c r="F125" s="7">
        <f>382834.34</f>
        <v>382834.34</v>
      </c>
      <c r="G125" s="7">
        <f>74380.34</f>
        <v>74380.34</v>
      </c>
      <c r="H125" s="7">
        <f>165069.87</f>
        <v>165069.87</v>
      </c>
      <c r="I125" s="7">
        <f>99919.03</f>
        <v>99919.03</v>
      </c>
      <c r="J125" s="7">
        <f>209136.92</f>
        <v>209136.92</v>
      </c>
      <c r="K125" s="7">
        <f>394684.09</f>
        <v>394684.09</v>
      </c>
      <c r="L125" s="7">
        <f>481623.88</f>
        <v>481623.88</v>
      </c>
      <c r="M125" s="7">
        <f>129985.13</f>
        <v>129985.13</v>
      </c>
      <c r="N125" s="7">
        <f>1887139.85</f>
        <v>1887139.85</v>
      </c>
    </row>
    <row r="126" spans="2:14" x14ac:dyDescent="0.2">
      <c r="B126" s="5" t="s">
        <v>146</v>
      </c>
      <c r="C126" s="7">
        <f>-9000</f>
        <v>-9000</v>
      </c>
      <c r="D126" s="7">
        <f>16960</f>
        <v>16960</v>
      </c>
      <c r="E126" s="6"/>
      <c r="F126" s="6"/>
      <c r="G126" s="7">
        <f>7425</f>
        <v>7425</v>
      </c>
      <c r="H126" s="6"/>
      <c r="I126" s="6"/>
      <c r="J126" s="7">
        <f>8640</f>
        <v>8640</v>
      </c>
      <c r="K126" s="6"/>
      <c r="L126" s="6"/>
      <c r="M126" s="6"/>
      <c r="N126" s="6"/>
    </row>
    <row r="127" spans="2:14" x14ac:dyDescent="0.2">
      <c r="B127" s="5" t="s">
        <v>147</v>
      </c>
      <c r="C127" s="7">
        <f>3500</f>
        <v>3500</v>
      </c>
      <c r="D127" s="7">
        <f>500</f>
        <v>500</v>
      </c>
      <c r="E127" s="7">
        <f>500</f>
        <v>500</v>
      </c>
      <c r="F127" s="7">
        <f>500</f>
        <v>500</v>
      </c>
      <c r="G127" s="6"/>
      <c r="H127" s="6"/>
      <c r="I127" s="7">
        <f>5000</f>
        <v>5000</v>
      </c>
      <c r="J127" s="6"/>
      <c r="K127" s="6"/>
      <c r="L127" s="7">
        <f>5000</f>
        <v>5000</v>
      </c>
      <c r="M127" s="6"/>
      <c r="N127" s="6"/>
    </row>
    <row r="128" spans="2:14" x14ac:dyDescent="0.2">
      <c r="B128" s="5" t="s">
        <v>148</v>
      </c>
      <c r="C128" s="6"/>
      <c r="D128" s="6"/>
      <c r="E128" s="6"/>
      <c r="F128" s="6"/>
      <c r="G128" s="6"/>
      <c r="H128" s="6"/>
      <c r="I128" s="6"/>
      <c r="J128" s="6"/>
      <c r="K128" s="6"/>
      <c r="L128" s="7">
        <f>3335.61</f>
        <v>3335.61</v>
      </c>
      <c r="M128" s="7">
        <f>3289.4</f>
        <v>3289.4</v>
      </c>
      <c r="N128" s="6"/>
    </row>
    <row r="129" spans="2:14" x14ac:dyDescent="0.2">
      <c r="B129" s="5" t="s">
        <v>149</v>
      </c>
      <c r="C129" s="7">
        <f>177.16</f>
        <v>177.16</v>
      </c>
      <c r="D129" s="7">
        <f>462.3</f>
        <v>462.3</v>
      </c>
      <c r="E129" s="7">
        <f>4341.52</f>
        <v>4341.5200000000004</v>
      </c>
      <c r="F129" s="7">
        <f>27.92</f>
        <v>27.92</v>
      </c>
      <c r="G129" s="7">
        <f>690.9</f>
        <v>690.9</v>
      </c>
      <c r="H129" s="7">
        <f>1168.95</f>
        <v>1168.95</v>
      </c>
      <c r="I129" s="7">
        <f>639.46</f>
        <v>639.46</v>
      </c>
      <c r="J129" s="7">
        <f>653.18</f>
        <v>653.17999999999995</v>
      </c>
      <c r="K129" s="7">
        <f>105.99</f>
        <v>105.99</v>
      </c>
      <c r="L129" s="7">
        <f>616.53</f>
        <v>616.53</v>
      </c>
      <c r="M129" s="7">
        <f>186.65</f>
        <v>186.65</v>
      </c>
      <c r="N129" s="7">
        <f>20603.91</f>
        <v>20603.91</v>
      </c>
    </row>
    <row r="130" spans="2:14" x14ac:dyDescent="0.2">
      <c r="B130" s="5" t="s">
        <v>150</v>
      </c>
      <c r="C130" s="7">
        <f>1842.93</f>
        <v>1842.93</v>
      </c>
      <c r="D130" s="7">
        <f>639.52</f>
        <v>639.52</v>
      </c>
      <c r="E130" s="7">
        <f>753.53</f>
        <v>753.53</v>
      </c>
      <c r="F130" s="7">
        <f>837.5</f>
        <v>837.5</v>
      </c>
      <c r="G130" s="7">
        <f>40.05</f>
        <v>40.049999999999997</v>
      </c>
      <c r="H130" s="6"/>
      <c r="I130" s="7">
        <f>21.98</f>
        <v>21.98</v>
      </c>
      <c r="J130" s="7">
        <f>1388.24</f>
        <v>1388.24</v>
      </c>
      <c r="K130" s="7">
        <f>87.51</f>
        <v>87.51</v>
      </c>
      <c r="L130" s="6"/>
      <c r="M130" s="7">
        <f>324.16</f>
        <v>324.16000000000003</v>
      </c>
      <c r="N130" s="7">
        <f>28.58</f>
        <v>28.58</v>
      </c>
    </row>
    <row r="131" spans="2:14" x14ac:dyDescent="0.2">
      <c r="B131" s="5" t="s">
        <v>151</v>
      </c>
      <c r="C131" s="7">
        <f>8329.17</f>
        <v>8329.17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2:14" x14ac:dyDescent="0.2">
      <c r="B132" s="5" t="s">
        <v>152</v>
      </c>
      <c r="C132" s="7">
        <f>3274.38</f>
        <v>3274.38</v>
      </c>
      <c r="D132" s="7">
        <f>6858.81</f>
        <v>6858.81</v>
      </c>
      <c r="E132" s="7">
        <f>6489.6</f>
        <v>6489.6</v>
      </c>
      <c r="F132" s="7">
        <f>13985</f>
        <v>13985</v>
      </c>
      <c r="G132" s="7">
        <f>7217.36</f>
        <v>7217.36</v>
      </c>
      <c r="H132" s="7">
        <f>9185.04</f>
        <v>9185.0400000000009</v>
      </c>
      <c r="I132" s="7">
        <f>9576.95</f>
        <v>9576.9500000000007</v>
      </c>
      <c r="J132" s="7">
        <f>12190.31</f>
        <v>12190.31</v>
      </c>
      <c r="K132" s="7">
        <f>7131.28</f>
        <v>7131.28</v>
      </c>
      <c r="L132" s="7">
        <f>9851.79</f>
        <v>9851.7900000000009</v>
      </c>
      <c r="M132" s="7">
        <f>7653.91</f>
        <v>7653.91</v>
      </c>
      <c r="N132" s="7">
        <f>10078.05</f>
        <v>10078.049999999999</v>
      </c>
    </row>
    <row r="133" spans="2:14" x14ac:dyDescent="0.2">
      <c r="B133" s="5" t="s">
        <v>153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2:14" x14ac:dyDescent="0.2">
      <c r="B134" s="5" t="s">
        <v>154</v>
      </c>
      <c r="C134" s="7">
        <f>24603.62</f>
        <v>24603.62</v>
      </c>
      <c r="D134" s="7">
        <f>28783.2</f>
        <v>28783.200000000001</v>
      </c>
      <c r="E134" s="7">
        <f>35340.13</f>
        <v>35340.129999999997</v>
      </c>
      <c r="F134" s="7">
        <f>29959.63</f>
        <v>29959.63</v>
      </c>
      <c r="G134" s="7">
        <f>39895.62</f>
        <v>39895.620000000003</v>
      </c>
      <c r="H134" s="7">
        <f>40157.26</f>
        <v>40157.26</v>
      </c>
      <c r="I134" s="7">
        <f>56296.13</f>
        <v>56296.13</v>
      </c>
      <c r="J134" s="7">
        <f>56839.41</f>
        <v>56839.41</v>
      </c>
      <c r="K134" s="7">
        <f>53786.47</f>
        <v>53786.47</v>
      </c>
      <c r="L134" s="7">
        <f>63397.2</f>
        <v>63397.2</v>
      </c>
      <c r="M134" s="7">
        <f>37071.94</f>
        <v>37071.94</v>
      </c>
      <c r="N134" s="7">
        <f>42122.65</f>
        <v>42122.65</v>
      </c>
    </row>
    <row r="135" spans="2:14" x14ac:dyDescent="0.2">
      <c r="B135" s="5" t="s">
        <v>155</v>
      </c>
      <c r="C135" s="7">
        <f>9219.93</f>
        <v>9219.93</v>
      </c>
      <c r="D135" s="7">
        <f>10518.44</f>
        <v>10518.44</v>
      </c>
      <c r="E135" s="7">
        <f>10276.33</f>
        <v>10276.33</v>
      </c>
      <c r="F135" s="7">
        <f>13737.45</f>
        <v>13737.45</v>
      </c>
      <c r="G135" s="7">
        <f>8534.83</f>
        <v>8534.83</v>
      </c>
      <c r="H135" s="7">
        <f>19846.19</f>
        <v>19846.189999999999</v>
      </c>
      <c r="I135" s="7">
        <f>26316.77</f>
        <v>26316.77</v>
      </c>
      <c r="J135" s="7">
        <f>17480.03</f>
        <v>17480.03</v>
      </c>
      <c r="K135" s="7">
        <f>16426.34</f>
        <v>16426.34</v>
      </c>
      <c r="L135" s="7">
        <f>23758.04</f>
        <v>23758.04</v>
      </c>
      <c r="M135" s="7">
        <f>11972.94</f>
        <v>11972.94</v>
      </c>
      <c r="N135" s="7">
        <f>10322.27</f>
        <v>10322.27</v>
      </c>
    </row>
    <row r="136" spans="2:14" x14ac:dyDescent="0.2">
      <c r="B136" s="5" t="s">
        <v>156</v>
      </c>
      <c r="C136" s="7">
        <f>2263.55</f>
        <v>2263.5500000000002</v>
      </c>
      <c r="D136" s="7">
        <f>2496.92</f>
        <v>2496.92</v>
      </c>
      <c r="E136" s="7">
        <f>3622.95</f>
        <v>3622.95</v>
      </c>
      <c r="F136" s="7">
        <f>4394.44</f>
        <v>4394.4399999999996</v>
      </c>
      <c r="G136" s="7">
        <f>4650.21</f>
        <v>4650.21</v>
      </c>
      <c r="H136" s="7">
        <f>3319.58</f>
        <v>3319.58</v>
      </c>
      <c r="I136" s="7">
        <f>8965.77</f>
        <v>8965.77</v>
      </c>
      <c r="J136" s="7">
        <f>6745.12</f>
        <v>6745.12</v>
      </c>
      <c r="K136" s="7">
        <f>5636.8</f>
        <v>5636.8</v>
      </c>
      <c r="L136" s="7">
        <f>7050.75</f>
        <v>7050.75</v>
      </c>
      <c r="M136" s="7">
        <f>4505.11</f>
        <v>4505.1099999999997</v>
      </c>
      <c r="N136" s="7">
        <f>3841.47</f>
        <v>3841.47</v>
      </c>
    </row>
    <row r="137" spans="2:14" x14ac:dyDescent="0.2">
      <c r="B137" s="5" t="s">
        <v>157</v>
      </c>
      <c r="C137" s="8">
        <f t="shared" ref="C137:N137" si="22">(((C133)+(C134))+(C135))+(C136)</f>
        <v>36087.100000000006</v>
      </c>
      <c r="D137" s="8">
        <f t="shared" si="22"/>
        <v>41798.559999999998</v>
      </c>
      <c r="E137" s="8">
        <f t="shared" si="22"/>
        <v>49239.409999999996</v>
      </c>
      <c r="F137" s="8">
        <f t="shared" si="22"/>
        <v>48091.520000000004</v>
      </c>
      <c r="G137" s="8">
        <f t="shared" si="22"/>
        <v>53080.66</v>
      </c>
      <c r="H137" s="8">
        <f t="shared" si="22"/>
        <v>63323.03</v>
      </c>
      <c r="I137" s="8">
        <f t="shared" si="22"/>
        <v>91578.67</v>
      </c>
      <c r="J137" s="8">
        <f t="shared" si="22"/>
        <v>81064.56</v>
      </c>
      <c r="K137" s="8">
        <f t="shared" si="22"/>
        <v>75849.61</v>
      </c>
      <c r="L137" s="8">
        <f t="shared" si="22"/>
        <v>94205.989999999991</v>
      </c>
      <c r="M137" s="8">
        <f t="shared" si="22"/>
        <v>53549.990000000005</v>
      </c>
      <c r="N137" s="8">
        <f t="shared" si="22"/>
        <v>56286.39</v>
      </c>
    </row>
    <row r="138" spans="2:14" x14ac:dyDescent="0.2">
      <c r="B138" s="5" t="s">
        <v>158</v>
      </c>
      <c r="C138" s="7">
        <f>5361.62</f>
        <v>5361.62</v>
      </c>
      <c r="D138" s="7">
        <f>8928.61</f>
        <v>8928.61</v>
      </c>
      <c r="E138" s="7">
        <f>10046.79</f>
        <v>10046.790000000001</v>
      </c>
      <c r="F138" s="7">
        <f>7929.46</f>
        <v>7929.46</v>
      </c>
      <c r="G138" s="7">
        <f>5536.89</f>
        <v>5536.89</v>
      </c>
      <c r="H138" s="7">
        <f>9437.87</f>
        <v>9437.8700000000008</v>
      </c>
      <c r="I138" s="7">
        <f>7541.25</f>
        <v>7541.25</v>
      </c>
      <c r="J138" s="7">
        <f>14392.51</f>
        <v>14392.51</v>
      </c>
      <c r="K138" s="7">
        <f>8306</f>
        <v>8306</v>
      </c>
      <c r="L138" s="7">
        <f>9152.53</f>
        <v>9152.5300000000007</v>
      </c>
      <c r="M138" s="7">
        <f>9258.07</f>
        <v>9258.07</v>
      </c>
      <c r="N138" s="7">
        <f>9592.78</f>
        <v>9592.7800000000007</v>
      </c>
    </row>
    <row r="139" spans="2:14" x14ac:dyDescent="0.2">
      <c r="B139" s="5" t="s">
        <v>159</v>
      </c>
      <c r="C139" s="6"/>
      <c r="D139" s="7">
        <f>40000</f>
        <v>40000</v>
      </c>
      <c r="E139" s="6"/>
      <c r="F139" s="6"/>
      <c r="G139" s="6"/>
      <c r="H139" s="6"/>
      <c r="I139" s="6"/>
      <c r="J139" s="6"/>
      <c r="K139" s="6"/>
      <c r="L139" s="6"/>
      <c r="M139" s="7">
        <f>28000</f>
        <v>28000</v>
      </c>
      <c r="N139" s="6"/>
    </row>
    <row r="140" spans="2:14" x14ac:dyDescent="0.2">
      <c r="B140" s="5" t="s">
        <v>160</v>
      </c>
      <c r="C140" s="6"/>
      <c r="D140" s="6"/>
      <c r="E140" s="6"/>
      <c r="F140" s="6"/>
      <c r="G140" s="7">
        <f>18.99</f>
        <v>18.989999999999998</v>
      </c>
      <c r="H140" s="7">
        <f>7995</f>
        <v>7995</v>
      </c>
      <c r="I140" s="7">
        <f>1976.4</f>
        <v>1976.4</v>
      </c>
      <c r="J140" s="7">
        <f>1125</f>
        <v>1125</v>
      </c>
      <c r="K140" s="6"/>
      <c r="L140" s="7">
        <f>14.41</f>
        <v>14.41</v>
      </c>
      <c r="M140" s="7">
        <f>22.73</f>
        <v>22.73</v>
      </c>
      <c r="N140" s="6"/>
    </row>
    <row r="141" spans="2:14" x14ac:dyDescent="0.2">
      <c r="B141" s="5" t="s">
        <v>161</v>
      </c>
      <c r="C141" s="7">
        <f>8290.81</f>
        <v>8290.81</v>
      </c>
      <c r="D141" s="7">
        <f>11897.81</f>
        <v>11897.81</v>
      </c>
      <c r="E141" s="7">
        <f>14089.43</f>
        <v>14089.43</v>
      </c>
      <c r="F141" s="7">
        <f>14156.4</f>
        <v>14156.4</v>
      </c>
      <c r="G141" s="7">
        <f>9177.2</f>
        <v>9177.2000000000007</v>
      </c>
      <c r="H141" s="7">
        <f>12252.88</f>
        <v>12252.88</v>
      </c>
      <c r="I141" s="7">
        <f>15961.7</f>
        <v>15961.7</v>
      </c>
      <c r="J141" s="7">
        <f>10550.55</f>
        <v>10550.55</v>
      </c>
      <c r="K141" s="7">
        <f>12400.37</f>
        <v>12400.37</v>
      </c>
      <c r="L141" s="7">
        <f>10952.88</f>
        <v>10952.88</v>
      </c>
      <c r="M141" s="7">
        <f>11111.17</f>
        <v>11111.17</v>
      </c>
      <c r="N141" s="7">
        <f>14830.09</f>
        <v>14830.09</v>
      </c>
    </row>
    <row r="142" spans="2:14" x14ac:dyDescent="0.2">
      <c r="B142" s="5" t="s">
        <v>162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2:14" x14ac:dyDescent="0.2">
      <c r="B143" s="5" t="s">
        <v>163</v>
      </c>
      <c r="C143" s="7">
        <f>773</f>
        <v>773</v>
      </c>
      <c r="D143" s="7">
        <f>773</f>
        <v>773</v>
      </c>
      <c r="E143" s="7">
        <f>1324.04</f>
        <v>1324.04</v>
      </c>
      <c r="F143" s="7">
        <f>1190</f>
        <v>1190</v>
      </c>
      <c r="G143" s="7">
        <f>1190</f>
        <v>1190</v>
      </c>
      <c r="H143" s="7">
        <f>1190</f>
        <v>1190</v>
      </c>
      <c r="I143" s="7">
        <f>1469.95</f>
        <v>1469.95</v>
      </c>
      <c r="J143" s="7">
        <f>1449.94</f>
        <v>1449.94</v>
      </c>
      <c r="K143" s="7">
        <f>1449.94</f>
        <v>1449.94</v>
      </c>
      <c r="L143" s="7">
        <f>1591.87</f>
        <v>1591.87</v>
      </c>
      <c r="M143" s="7">
        <f>1649.94</f>
        <v>1649.94</v>
      </c>
      <c r="N143" s="7">
        <f>1649.94</f>
        <v>1649.94</v>
      </c>
    </row>
    <row r="144" spans="2:14" x14ac:dyDescent="0.2">
      <c r="B144" s="5" t="s">
        <v>164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7">
        <f>403.1</f>
        <v>403.1</v>
      </c>
    </row>
    <row r="145" spans="1:14" x14ac:dyDescent="0.2">
      <c r="A145" s="13" t="s">
        <v>8</v>
      </c>
      <c r="B145" s="16" t="s">
        <v>165</v>
      </c>
      <c r="C145" s="8">
        <f t="shared" ref="C145:N145" si="23">(((((((((((((((((C113)+(C124))+(C125))+(C126))+(C127))+(C128))+(C129))+(C130))+(C131))+(C132))+(C137))+(C138))+(C139))+(C140))+(C141))+(C142))+(C143))+(C144)</f>
        <v>481233.56</v>
      </c>
      <c r="D145" s="8">
        <f t="shared" si="23"/>
        <v>529894.40000000002</v>
      </c>
      <c r="E145" s="8">
        <f t="shared" si="23"/>
        <v>565942.87000000011</v>
      </c>
      <c r="F145" s="8">
        <f t="shared" si="23"/>
        <v>1001724.02</v>
      </c>
      <c r="G145" s="8">
        <f t="shared" si="23"/>
        <v>594421.05000000005</v>
      </c>
      <c r="H145" s="8">
        <f t="shared" si="23"/>
        <v>718004.29</v>
      </c>
      <c r="I145" s="8">
        <f t="shared" si="23"/>
        <v>714464.7899999998</v>
      </c>
      <c r="J145" s="8">
        <f t="shared" si="23"/>
        <v>856285.75</v>
      </c>
      <c r="K145" s="8">
        <f t="shared" si="23"/>
        <v>767237.11</v>
      </c>
      <c r="L145" s="8">
        <f t="shared" si="23"/>
        <v>1405918.62</v>
      </c>
      <c r="M145" s="8">
        <f t="shared" si="23"/>
        <v>772402.54</v>
      </c>
      <c r="N145" s="8">
        <f t="shared" si="23"/>
        <v>2711194.92</v>
      </c>
    </row>
    <row r="146" spans="1:14" x14ac:dyDescent="0.2">
      <c r="B146" s="5" t="s">
        <v>166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B147" s="5" t="s">
        <v>167</v>
      </c>
      <c r="C147" s="6"/>
      <c r="D147" s="6"/>
      <c r="E147" s="6"/>
      <c r="F147" s="6"/>
      <c r="G147" s="6"/>
      <c r="H147" s="7">
        <f>2500</f>
        <v>2500</v>
      </c>
      <c r="I147" s="7">
        <f>15000</f>
        <v>15000</v>
      </c>
      <c r="J147" s="7">
        <f>20000</f>
        <v>20000</v>
      </c>
      <c r="K147" s="7">
        <f>17463.14</f>
        <v>17463.14</v>
      </c>
      <c r="L147" s="6"/>
      <c r="M147" s="6"/>
      <c r="N147" s="6"/>
    </row>
    <row r="148" spans="1:14" x14ac:dyDescent="0.2">
      <c r="B148" s="5" t="s">
        <v>168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B149" s="5" t="s">
        <v>169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B150" s="5" t="s">
        <v>170</v>
      </c>
      <c r="C150" s="7">
        <f>85205.74</f>
        <v>85205.74</v>
      </c>
      <c r="D150" s="7">
        <f>78027.3</f>
        <v>78027.3</v>
      </c>
      <c r="E150" s="7">
        <f>81932.3</f>
        <v>81932.3</v>
      </c>
      <c r="F150" s="7">
        <f>99372.3</f>
        <v>99372.3</v>
      </c>
      <c r="G150" s="7">
        <f>101856.74</f>
        <v>101856.74</v>
      </c>
      <c r="H150" s="7">
        <f>88367.31</f>
        <v>88367.31</v>
      </c>
      <c r="I150" s="7">
        <f>105514.99</f>
        <v>105514.99</v>
      </c>
      <c r="J150" s="7">
        <f>106271.05</f>
        <v>106271.05</v>
      </c>
      <c r="K150" s="7">
        <f>41582.63</f>
        <v>41582.629999999997</v>
      </c>
      <c r="L150" s="7">
        <f>165460.43</f>
        <v>165460.43</v>
      </c>
      <c r="M150" s="7">
        <f>117861.99</f>
        <v>117861.99</v>
      </c>
      <c r="N150" s="7">
        <f>163800.56</f>
        <v>163800.56</v>
      </c>
    </row>
    <row r="151" spans="1:14" x14ac:dyDescent="0.2">
      <c r="B151" s="5" t="s">
        <v>171</v>
      </c>
      <c r="C151" s="7">
        <f>0</f>
        <v>0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7">
        <f>111500</f>
        <v>111500</v>
      </c>
    </row>
    <row r="152" spans="1:14" x14ac:dyDescent="0.2">
      <c r="B152" s="5" t="s">
        <v>172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B153" s="5" t="s">
        <v>173</v>
      </c>
      <c r="C153" s="7">
        <f>-369.46</f>
        <v>-369.46</v>
      </c>
      <c r="D153" s="7">
        <f>1972.85</f>
        <v>1972.85</v>
      </c>
      <c r="E153" s="7">
        <f>3836.59</f>
        <v>3836.59</v>
      </c>
      <c r="F153" s="7">
        <f>1871.22</f>
        <v>1871.22</v>
      </c>
      <c r="G153" s="7">
        <f>6046.54</f>
        <v>6046.54</v>
      </c>
      <c r="H153" s="7">
        <f>4717.16</f>
        <v>4717.16</v>
      </c>
      <c r="I153" s="7">
        <f>3196.27</f>
        <v>3196.27</v>
      </c>
      <c r="J153" s="7">
        <f>-7202.39</f>
        <v>-7202.39</v>
      </c>
      <c r="K153" s="7">
        <f>849.73</f>
        <v>849.73</v>
      </c>
      <c r="L153" s="7">
        <f>4498.86</f>
        <v>4498.8599999999997</v>
      </c>
      <c r="M153" s="7">
        <f>1013.36</f>
        <v>1013.36</v>
      </c>
      <c r="N153" s="7">
        <f>3728.02</f>
        <v>3728.02</v>
      </c>
    </row>
    <row r="154" spans="1:14" x14ac:dyDescent="0.2">
      <c r="B154" s="5" t="s">
        <v>174</v>
      </c>
      <c r="C154" s="8">
        <f t="shared" ref="C154:N154" si="24">((((C149)+(C150))+(C151))+(C152))+(C153)</f>
        <v>84836.28</v>
      </c>
      <c r="D154" s="8">
        <f t="shared" si="24"/>
        <v>80000.150000000009</v>
      </c>
      <c r="E154" s="8">
        <f t="shared" si="24"/>
        <v>85768.89</v>
      </c>
      <c r="F154" s="8">
        <f t="shared" si="24"/>
        <v>101243.52</v>
      </c>
      <c r="G154" s="8">
        <f t="shared" si="24"/>
        <v>107903.28</v>
      </c>
      <c r="H154" s="8">
        <f t="shared" si="24"/>
        <v>93084.47</v>
      </c>
      <c r="I154" s="8">
        <f t="shared" si="24"/>
        <v>108711.26000000001</v>
      </c>
      <c r="J154" s="8">
        <f t="shared" si="24"/>
        <v>99068.66</v>
      </c>
      <c r="K154" s="8">
        <f t="shared" si="24"/>
        <v>42432.36</v>
      </c>
      <c r="L154" s="8">
        <f t="shared" si="24"/>
        <v>169959.28999999998</v>
      </c>
      <c r="M154" s="8">
        <f t="shared" si="24"/>
        <v>118875.35</v>
      </c>
      <c r="N154" s="8">
        <f t="shared" si="24"/>
        <v>279028.58</v>
      </c>
    </row>
    <row r="155" spans="1:14" x14ac:dyDescent="0.2">
      <c r="B155" s="5" t="s">
        <v>175</v>
      </c>
      <c r="C155" s="7">
        <f>11323.98</f>
        <v>11323.98</v>
      </c>
      <c r="D155" s="7">
        <f>4087.83</f>
        <v>4087.83</v>
      </c>
      <c r="E155" s="7">
        <f>5658.74</f>
        <v>5658.74</v>
      </c>
      <c r="F155" s="7">
        <f>8219.34</f>
        <v>8219.34</v>
      </c>
      <c r="G155" s="7">
        <f>6774.13</f>
        <v>6774.13</v>
      </c>
      <c r="H155" s="7">
        <f>6548.15</f>
        <v>6548.15</v>
      </c>
      <c r="I155" s="7">
        <f>6552.44</f>
        <v>6552.44</v>
      </c>
      <c r="J155" s="7">
        <f>6713.58</f>
        <v>6713.58</v>
      </c>
      <c r="K155" s="7">
        <f>2426.69</f>
        <v>2426.69</v>
      </c>
      <c r="L155" s="7">
        <f>9507.6</f>
        <v>9507.6</v>
      </c>
      <c r="M155" s="7">
        <f>6361.79</f>
        <v>6361.79</v>
      </c>
      <c r="N155" s="7">
        <f>19625.72</f>
        <v>19625.72</v>
      </c>
    </row>
    <row r="156" spans="1:14" x14ac:dyDescent="0.2">
      <c r="B156" s="5" t="s">
        <v>176</v>
      </c>
      <c r="C156" s="7">
        <f>6874.95</f>
        <v>6874.95</v>
      </c>
      <c r="D156" s="7">
        <f>5883.12</f>
        <v>5883.12</v>
      </c>
      <c r="E156" s="7">
        <f>6177.27</f>
        <v>6177.27</v>
      </c>
      <c r="F156" s="7">
        <f>6471.43</f>
        <v>6471.43</v>
      </c>
      <c r="G156" s="7">
        <f>5262.25</f>
        <v>5262.25</v>
      </c>
      <c r="H156" s="7">
        <f>13562.56</f>
        <v>13562.56</v>
      </c>
      <c r="I156" s="7">
        <f>5774.56</f>
        <v>5774.56</v>
      </c>
      <c r="J156" s="7">
        <f>6629.61</f>
        <v>6629.61</v>
      </c>
      <c r="K156" s="7">
        <f>3314.82</f>
        <v>3314.82</v>
      </c>
      <c r="L156" s="7">
        <f>12469.57</f>
        <v>12469.57</v>
      </c>
      <c r="M156" s="7">
        <f>9552.79</f>
        <v>9552.7900000000009</v>
      </c>
      <c r="N156" s="7">
        <f>7978.25</f>
        <v>7978.25</v>
      </c>
    </row>
    <row r="157" spans="1:14" x14ac:dyDescent="0.2">
      <c r="B157" s="5" t="s">
        <v>177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B158" s="5" t="s">
        <v>178</v>
      </c>
      <c r="C158" s="7">
        <f>1484.52</f>
        <v>1484.52</v>
      </c>
      <c r="D158" s="7">
        <f>1496.65</f>
        <v>1496.65</v>
      </c>
      <c r="E158" s="7">
        <f>1855.78</f>
        <v>1855.78</v>
      </c>
      <c r="F158" s="7">
        <f>1880.03</f>
        <v>1880.03</v>
      </c>
      <c r="G158" s="7">
        <f>2021.54</f>
        <v>2021.54</v>
      </c>
      <c r="H158" s="7">
        <f>284.79</f>
        <v>284.79000000000002</v>
      </c>
      <c r="I158" s="7">
        <f>131.64</f>
        <v>131.63999999999999</v>
      </c>
      <c r="J158" s="7">
        <f>131.74</f>
        <v>131.74</v>
      </c>
      <c r="K158" s="7">
        <f>25.79</f>
        <v>25.79</v>
      </c>
      <c r="L158" s="7">
        <f>183.22</f>
        <v>183.22</v>
      </c>
      <c r="M158" s="7">
        <f>129.48</f>
        <v>129.47999999999999</v>
      </c>
      <c r="N158" s="7">
        <f>106.94</f>
        <v>106.94</v>
      </c>
    </row>
    <row r="159" spans="1:14" x14ac:dyDescent="0.2">
      <c r="B159" s="5" t="s">
        <v>179</v>
      </c>
      <c r="C159" s="6"/>
      <c r="D159" s="7">
        <f>1500</f>
        <v>1500</v>
      </c>
      <c r="E159" s="7">
        <f>3000</f>
        <v>3000</v>
      </c>
      <c r="F159" s="6"/>
      <c r="G159" s="6"/>
      <c r="H159" s="7">
        <f>11133.3</f>
        <v>11133.3</v>
      </c>
      <c r="I159" s="7">
        <f>10000</f>
        <v>10000</v>
      </c>
      <c r="J159" s="6"/>
      <c r="K159" s="6"/>
      <c r="L159" s="6"/>
      <c r="M159" s="6"/>
      <c r="N159" s="6"/>
    </row>
    <row r="160" spans="1:14" x14ac:dyDescent="0.2">
      <c r="B160" s="5" t="s">
        <v>180</v>
      </c>
      <c r="C160" s="6"/>
      <c r="D160" s="6"/>
      <c r="E160" s="6"/>
      <c r="F160" s="7">
        <f>1439.94</f>
        <v>1439.94</v>
      </c>
      <c r="G160" s="6"/>
      <c r="H160" s="6"/>
      <c r="I160" s="6"/>
      <c r="J160" s="6"/>
      <c r="K160" s="6"/>
      <c r="L160" s="6"/>
      <c r="M160" s="6"/>
      <c r="N160" s="6"/>
    </row>
    <row r="161" spans="2:14" x14ac:dyDescent="0.2">
      <c r="B161" s="5" t="s">
        <v>181</v>
      </c>
      <c r="C161" s="8">
        <f t="shared" ref="C161:N161" si="25">(((((((C148)+(C154))+(C155))+(C156))+(C157))+(C158))+(C159))+(C160)</f>
        <v>104519.73</v>
      </c>
      <c r="D161" s="8">
        <f t="shared" si="25"/>
        <v>92967.75</v>
      </c>
      <c r="E161" s="8">
        <f t="shared" si="25"/>
        <v>102460.68000000001</v>
      </c>
      <c r="F161" s="8">
        <f t="shared" si="25"/>
        <v>119254.26000000001</v>
      </c>
      <c r="G161" s="8">
        <f t="shared" si="25"/>
        <v>121961.2</v>
      </c>
      <c r="H161" s="8">
        <f t="shared" si="25"/>
        <v>124613.26999999999</v>
      </c>
      <c r="I161" s="8">
        <f t="shared" si="25"/>
        <v>131169.90000000002</v>
      </c>
      <c r="J161" s="8">
        <f t="shared" si="25"/>
        <v>112543.59000000001</v>
      </c>
      <c r="K161" s="8">
        <f t="shared" si="25"/>
        <v>48199.66</v>
      </c>
      <c r="L161" s="8">
        <f t="shared" si="25"/>
        <v>192119.67999999999</v>
      </c>
      <c r="M161" s="8">
        <f t="shared" si="25"/>
        <v>134919.41</v>
      </c>
      <c r="N161" s="8">
        <f t="shared" si="25"/>
        <v>306739.49000000005</v>
      </c>
    </row>
    <row r="162" spans="2:14" x14ac:dyDescent="0.2">
      <c r="B162" s="5" t="s">
        <v>182</v>
      </c>
      <c r="C162" s="7">
        <f>8075</f>
        <v>8075</v>
      </c>
      <c r="D162" s="7">
        <f>9010</f>
        <v>9010</v>
      </c>
      <c r="E162" s="7">
        <f>11305</f>
        <v>11305</v>
      </c>
      <c r="F162" s="7">
        <f>8160</f>
        <v>8160</v>
      </c>
      <c r="G162" s="7">
        <f>20825</f>
        <v>20825</v>
      </c>
      <c r="H162" s="6"/>
      <c r="I162" s="7">
        <f>19125</f>
        <v>19125</v>
      </c>
      <c r="J162" s="7">
        <f>6545</f>
        <v>6545</v>
      </c>
      <c r="K162" s="7">
        <f>23375</f>
        <v>23375</v>
      </c>
      <c r="L162" s="7">
        <f>7025</f>
        <v>7025</v>
      </c>
      <c r="M162" s="7">
        <f>130</f>
        <v>130</v>
      </c>
      <c r="N162" s="6"/>
    </row>
    <row r="163" spans="2:14" x14ac:dyDescent="0.2">
      <c r="B163" s="5" t="s">
        <v>183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2:14" x14ac:dyDescent="0.2">
      <c r="B164" s="5" t="s">
        <v>184</v>
      </c>
      <c r="C164" s="7">
        <f>2969.71</f>
        <v>2969.71</v>
      </c>
      <c r="D164" s="7">
        <f>3609.47</f>
        <v>3609.47</v>
      </c>
      <c r="E164" s="7">
        <f t="shared" ref="E164:J164" si="26">2206.09</f>
        <v>2206.09</v>
      </c>
      <c r="F164" s="7">
        <f t="shared" si="26"/>
        <v>2206.09</v>
      </c>
      <c r="G164" s="7">
        <f t="shared" si="26"/>
        <v>2206.09</v>
      </c>
      <c r="H164" s="7">
        <f t="shared" si="26"/>
        <v>2206.09</v>
      </c>
      <c r="I164" s="7">
        <f t="shared" si="26"/>
        <v>2206.09</v>
      </c>
      <c r="J164" s="7">
        <f t="shared" si="26"/>
        <v>2206.09</v>
      </c>
      <c r="K164" s="7">
        <f>3153.09</f>
        <v>3153.09</v>
      </c>
      <c r="L164" s="7">
        <f>2206.09</f>
        <v>2206.09</v>
      </c>
      <c r="M164" s="7">
        <f>2206.09</f>
        <v>2206.09</v>
      </c>
      <c r="N164" s="7">
        <f>2206.07</f>
        <v>2206.0700000000002</v>
      </c>
    </row>
    <row r="165" spans="2:14" x14ac:dyDescent="0.2">
      <c r="B165" s="5" t="s">
        <v>185</v>
      </c>
      <c r="C165" s="7">
        <f t="shared" ref="C165:E165" si="27">515.75</f>
        <v>515.75</v>
      </c>
      <c r="D165" s="7">
        <f t="shared" si="27"/>
        <v>515.75</v>
      </c>
      <c r="E165" s="7">
        <f t="shared" si="27"/>
        <v>515.75</v>
      </c>
      <c r="F165" s="7">
        <f>852.75</f>
        <v>852.75</v>
      </c>
      <c r="G165" s="7">
        <f>852.75</f>
        <v>852.75</v>
      </c>
      <c r="H165" s="7">
        <f>1312.75</f>
        <v>1312.75</v>
      </c>
      <c r="I165" s="7">
        <f>852.75</f>
        <v>852.75</v>
      </c>
      <c r="J165" s="7">
        <f>3502.75</f>
        <v>3502.75</v>
      </c>
      <c r="K165" s="7">
        <f>991.49</f>
        <v>991.49</v>
      </c>
      <c r="L165" s="7">
        <f>552.67</f>
        <v>552.66999999999996</v>
      </c>
      <c r="M165" s="7">
        <f>852.75</f>
        <v>852.75</v>
      </c>
      <c r="N165" s="7">
        <f>752.75</f>
        <v>752.75</v>
      </c>
    </row>
    <row r="166" spans="2:14" x14ac:dyDescent="0.2">
      <c r="B166" s="5" t="s">
        <v>186</v>
      </c>
      <c r="C166" s="7">
        <f>369</f>
        <v>369</v>
      </c>
      <c r="D166" s="6"/>
      <c r="E166" s="6"/>
      <c r="F166" s="7">
        <f>-11</f>
        <v>-11</v>
      </c>
      <c r="G166" s="6"/>
      <c r="H166" s="6"/>
      <c r="I166" s="6"/>
      <c r="J166" s="7">
        <f>689</f>
        <v>689</v>
      </c>
      <c r="K166" s="6"/>
      <c r="L166" s="6"/>
      <c r="M166" s="6"/>
      <c r="N166" s="7">
        <f>1107.25</f>
        <v>1107.25</v>
      </c>
    </row>
    <row r="167" spans="2:14" x14ac:dyDescent="0.2">
      <c r="B167" s="5" t="s">
        <v>187</v>
      </c>
      <c r="C167" s="8">
        <f t="shared" ref="C167:N167" si="28">(((C163)+(C164))+(C165))+(C166)</f>
        <v>3854.46</v>
      </c>
      <c r="D167" s="8">
        <f t="shared" si="28"/>
        <v>4125.2199999999993</v>
      </c>
      <c r="E167" s="8">
        <f t="shared" si="28"/>
        <v>2721.84</v>
      </c>
      <c r="F167" s="8">
        <f t="shared" si="28"/>
        <v>3047.84</v>
      </c>
      <c r="G167" s="8">
        <f t="shared" si="28"/>
        <v>3058.84</v>
      </c>
      <c r="H167" s="8">
        <f t="shared" si="28"/>
        <v>3518.84</v>
      </c>
      <c r="I167" s="8">
        <f t="shared" si="28"/>
        <v>3058.84</v>
      </c>
      <c r="J167" s="8">
        <f t="shared" si="28"/>
        <v>6397.84</v>
      </c>
      <c r="K167" s="8">
        <f t="shared" si="28"/>
        <v>4144.58</v>
      </c>
      <c r="L167" s="8">
        <f t="shared" si="28"/>
        <v>2758.76</v>
      </c>
      <c r="M167" s="8">
        <f t="shared" si="28"/>
        <v>3058.84</v>
      </c>
      <c r="N167" s="8">
        <f t="shared" si="28"/>
        <v>4066.07</v>
      </c>
    </row>
    <row r="168" spans="2:14" x14ac:dyDescent="0.2">
      <c r="B168" s="5" t="s">
        <v>188</v>
      </c>
      <c r="C168" s="6"/>
      <c r="D168" s="6"/>
      <c r="E168" s="6"/>
      <c r="F168" s="6"/>
      <c r="G168" s="6"/>
      <c r="H168" s="6"/>
      <c r="I168" s="7">
        <f>10074</f>
        <v>10074</v>
      </c>
      <c r="J168" s="7">
        <f>2261.07</f>
        <v>2261.0700000000002</v>
      </c>
      <c r="K168" s="7">
        <f>279.92</f>
        <v>279.92</v>
      </c>
      <c r="L168" s="6"/>
      <c r="M168" s="7">
        <f>896.39</f>
        <v>896.39</v>
      </c>
      <c r="N168" s="6"/>
    </row>
    <row r="169" spans="2:14" x14ac:dyDescent="0.2">
      <c r="B169" s="5" t="s">
        <v>189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2:14" x14ac:dyDescent="0.2">
      <c r="B170" s="5" t="s">
        <v>190</v>
      </c>
      <c r="C170" s="7">
        <f>6757.49</f>
        <v>6757.49</v>
      </c>
      <c r="D170" s="7">
        <f>679.96</f>
        <v>679.96</v>
      </c>
      <c r="E170" s="7">
        <f>4391.05</f>
        <v>4391.05</v>
      </c>
      <c r="F170" s="7">
        <f>5942.06</f>
        <v>5942.06</v>
      </c>
      <c r="G170" s="7">
        <f>4232</f>
        <v>4232</v>
      </c>
      <c r="H170" s="7">
        <f>4539.44</f>
        <v>4539.4399999999996</v>
      </c>
      <c r="I170" s="7">
        <f>10443.17</f>
        <v>10443.17</v>
      </c>
      <c r="J170" s="7">
        <f>1257.03</f>
        <v>1257.03</v>
      </c>
      <c r="K170" s="7">
        <f>6988.15</f>
        <v>6988.15</v>
      </c>
      <c r="L170" s="7">
        <f>6204.38</f>
        <v>6204.38</v>
      </c>
      <c r="M170" s="7">
        <f>6310.64</f>
        <v>6310.64</v>
      </c>
      <c r="N170" s="7">
        <f>12947.56</f>
        <v>12947.56</v>
      </c>
    </row>
    <row r="171" spans="2:14" x14ac:dyDescent="0.2">
      <c r="B171" s="5" t="s">
        <v>191</v>
      </c>
      <c r="C171" s="7">
        <f>1547.82</f>
        <v>1547.82</v>
      </c>
      <c r="D171" s="7">
        <f>208.38</f>
        <v>208.38</v>
      </c>
      <c r="E171" s="7">
        <f>1351.54</f>
        <v>1351.54</v>
      </c>
      <c r="F171" s="7">
        <f>2413.31</f>
        <v>2413.31</v>
      </c>
      <c r="G171" s="7">
        <f>1829.96</f>
        <v>1829.96</v>
      </c>
      <c r="H171" s="7">
        <f>747.58</f>
        <v>747.58</v>
      </c>
      <c r="I171" s="7">
        <f>3036.55</f>
        <v>3036.55</v>
      </c>
      <c r="J171" s="7">
        <f>772.89</f>
        <v>772.89</v>
      </c>
      <c r="K171" s="7">
        <f>1846.74</f>
        <v>1846.74</v>
      </c>
      <c r="L171" s="7">
        <f>4750.39</f>
        <v>4750.3900000000003</v>
      </c>
      <c r="M171" s="7">
        <f>11701.52</f>
        <v>11701.52</v>
      </c>
      <c r="N171" s="7">
        <f>3357.37</f>
        <v>3357.37</v>
      </c>
    </row>
    <row r="172" spans="2:14" x14ac:dyDescent="0.2">
      <c r="B172" s="5" t="s">
        <v>192</v>
      </c>
      <c r="C172" s="7">
        <f>609.13</f>
        <v>609.13</v>
      </c>
      <c r="D172" s="7">
        <f>114.53</f>
        <v>114.53</v>
      </c>
      <c r="E172" s="7">
        <f>743.54</f>
        <v>743.54</v>
      </c>
      <c r="F172" s="7">
        <f>1662.11</f>
        <v>1662.11</v>
      </c>
      <c r="G172" s="7">
        <f>271.1</f>
        <v>271.10000000000002</v>
      </c>
      <c r="H172" s="7">
        <f>163.4</f>
        <v>163.4</v>
      </c>
      <c r="I172" s="7">
        <f>1177.35</f>
        <v>1177.3499999999999</v>
      </c>
      <c r="J172" s="7">
        <f>1580.04</f>
        <v>1580.04</v>
      </c>
      <c r="K172" s="7">
        <f>1851.77</f>
        <v>1851.77</v>
      </c>
      <c r="L172" s="7">
        <f>1294.96</f>
        <v>1294.96</v>
      </c>
      <c r="M172" s="7">
        <f>1200.52</f>
        <v>1200.52</v>
      </c>
      <c r="N172" s="7">
        <f>2069.11</f>
        <v>2069.11</v>
      </c>
    </row>
    <row r="173" spans="2:14" x14ac:dyDescent="0.2">
      <c r="B173" s="5" t="s">
        <v>193</v>
      </c>
      <c r="C173" s="8">
        <f t="shared" ref="C173:N173" si="29">(((C169)+(C170))+(C171))+(C172)</f>
        <v>8914.4399999999987</v>
      </c>
      <c r="D173" s="8">
        <f t="shared" si="29"/>
        <v>1002.87</v>
      </c>
      <c r="E173" s="8">
        <f t="shared" si="29"/>
        <v>6486.13</v>
      </c>
      <c r="F173" s="8">
        <f t="shared" si="29"/>
        <v>10017.480000000001</v>
      </c>
      <c r="G173" s="8">
        <f t="shared" si="29"/>
        <v>6333.06</v>
      </c>
      <c r="H173" s="8">
        <f t="shared" si="29"/>
        <v>5450.4199999999992</v>
      </c>
      <c r="I173" s="8">
        <f t="shared" si="29"/>
        <v>14657.070000000002</v>
      </c>
      <c r="J173" s="8">
        <f t="shared" si="29"/>
        <v>3609.96</v>
      </c>
      <c r="K173" s="8">
        <f t="shared" si="29"/>
        <v>10686.66</v>
      </c>
      <c r="L173" s="8">
        <f t="shared" si="29"/>
        <v>12249.73</v>
      </c>
      <c r="M173" s="8">
        <f t="shared" si="29"/>
        <v>19212.68</v>
      </c>
      <c r="N173" s="8">
        <f t="shared" si="29"/>
        <v>18374.04</v>
      </c>
    </row>
    <row r="174" spans="2:14" x14ac:dyDescent="0.2">
      <c r="B174" s="5" t="s">
        <v>194</v>
      </c>
      <c r="C174" s="7">
        <f>8659.44</f>
        <v>8659.44</v>
      </c>
      <c r="D174" s="7">
        <f>2023.3</f>
        <v>2023.3</v>
      </c>
      <c r="E174" s="7">
        <f>1746.68</f>
        <v>1746.68</v>
      </c>
      <c r="F174" s="7">
        <f>6291.65</f>
        <v>6291.65</v>
      </c>
      <c r="G174" s="7">
        <f>1153.14</f>
        <v>1153.1400000000001</v>
      </c>
      <c r="H174" s="7">
        <f>5533.74</f>
        <v>5533.74</v>
      </c>
      <c r="I174" s="7">
        <f>449.49</f>
        <v>449.49</v>
      </c>
      <c r="J174" s="7">
        <f>46527.85</f>
        <v>46527.85</v>
      </c>
      <c r="K174" s="7">
        <f>5005.84</f>
        <v>5005.84</v>
      </c>
      <c r="L174" s="7">
        <f>2778.17</f>
        <v>2778.17</v>
      </c>
      <c r="M174" s="7">
        <f>9600.83</f>
        <v>9600.83</v>
      </c>
      <c r="N174" s="7">
        <f>9802.1</f>
        <v>9802.1</v>
      </c>
    </row>
    <row r="175" spans="2:14" x14ac:dyDescent="0.2">
      <c r="B175" s="5" t="s">
        <v>195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2:14" x14ac:dyDescent="0.2">
      <c r="B176" s="5" t="s">
        <v>196</v>
      </c>
      <c r="C176" s="7">
        <f>261.12</f>
        <v>261.12</v>
      </c>
      <c r="D176" s="7">
        <f>2151</f>
        <v>2151</v>
      </c>
      <c r="E176" s="7">
        <f>395.47</f>
        <v>395.47</v>
      </c>
      <c r="F176" s="7">
        <f>272.38</f>
        <v>272.38</v>
      </c>
      <c r="G176" s="7">
        <f>-126.54</f>
        <v>-126.54</v>
      </c>
      <c r="H176" s="7">
        <f>434.39</f>
        <v>434.39</v>
      </c>
      <c r="I176" s="7">
        <f>230.79</f>
        <v>230.79</v>
      </c>
      <c r="J176" s="7">
        <f>178.36</f>
        <v>178.36</v>
      </c>
      <c r="K176" s="7">
        <f>81.74</f>
        <v>81.739999999999995</v>
      </c>
      <c r="L176" s="7">
        <f>373.02</f>
        <v>373.02</v>
      </c>
      <c r="M176" s="7">
        <f>926.94</f>
        <v>926.94</v>
      </c>
      <c r="N176" s="7">
        <f>761.3</f>
        <v>761.3</v>
      </c>
    </row>
    <row r="177" spans="2:14" x14ac:dyDescent="0.2">
      <c r="B177" s="5" t="s">
        <v>197</v>
      </c>
      <c r="C177" s="7">
        <f>2739.9</f>
        <v>2739.9</v>
      </c>
      <c r="D177" s="7">
        <f>2619.95</f>
        <v>2619.9499999999998</v>
      </c>
      <c r="E177" s="7">
        <f>2619.95</f>
        <v>2619.9499999999998</v>
      </c>
      <c r="F177" s="7">
        <f>2638.95</f>
        <v>2638.95</v>
      </c>
      <c r="G177" s="7">
        <f>2638.95</f>
        <v>2638.95</v>
      </c>
      <c r="H177" s="7">
        <f>2638.95</f>
        <v>2638.95</v>
      </c>
      <c r="I177" s="7">
        <f>3521.99</f>
        <v>3521.99</v>
      </c>
      <c r="J177" s="7">
        <f>3798.35</f>
        <v>3798.35</v>
      </c>
      <c r="K177" s="7">
        <f>3351.71</f>
        <v>3351.71</v>
      </c>
      <c r="L177" s="7">
        <f>3475.4</f>
        <v>3475.4</v>
      </c>
      <c r="M177" s="7">
        <f>3184</f>
        <v>3184</v>
      </c>
      <c r="N177" s="7">
        <f>4907.57</f>
        <v>4907.57</v>
      </c>
    </row>
    <row r="178" spans="2:14" x14ac:dyDescent="0.2">
      <c r="B178" s="5" t="s">
        <v>198</v>
      </c>
      <c r="C178" s="7">
        <f>328</f>
        <v>328</v>
      </c>
      <c r="D178" s="7">
        <f>400</f>
        <v>400</v>
      </c>
      <c r="E178" s="6"/>
      <c r="F178" s="7">
        <f>480</f>
        <v>480</v>
      </c>
      <c r="G178" s="7">
        <f>520</f>
        <v>520</v>
      </c>
      <c r="H178" s="7">
        <f>544</f>
        <v>544</v>
      </c>
      <c r="I178" s="7">
        <f>560</f>
        <v>560</v>
      </c>
      <c r="J178" s="7">
        <f>632</f>
        <v>632</v>
      </c>
      <c r="K178" s="7">
        <f>648</f>
        <v>648</v>
      </c>
      <c r="L178" s="7">
        <f>712</f>
        <v>712</v>
      </c>
      <c r="M178" s="7">
        <f>744</f>
        <v>744</v>
      </c>
      <c r="N178" s="7">
        <f>784</f>
        <v>784</v>
      </c>
    </row>
    <row r="179" spans="2:14" x14ac:dyDescent="0.2">
      <c r="B179" s="5" t="s">
        <v>199</v>
      </c>
      <c r="C179" s="7">
        <f>393</f>
        <v>393</v>
      </c>
      <c r="D179" s="7">
        <f>440</f>
        <v>440</v>
      </c>
      <c r="E179" s="7">
        <f>913</f>
        <v>913</v>
      </c>
      <c r="F179" s="7">
        <f>501</f>
        <v>501</v>
      </c>
      <c r="G179" s="7">
        <f>525</f>
        <v>525</v>
      </c>
      <c r="H179" s="7">
        <f>543</f>
        <v>543</v>
      </c>
      <c r="I179" s="7">
        <f>555</f>
        <v>555</v>
      </c>
      <c r="J179" s="7">
        <f>579</f>
        <v>579</v>
      </c>
      <c r="K179" s="7">
        <f>1191</f>
        <v>1191</v>
      </c>
      <c r="L179" s="7">
        <f>1311</f>
        <v>1311</v>
      </c>
      <c r="M179" s="7">
        <f>1383</f>
        <v>1383</v>
      </c>
      <c r="N179" s="7">
        <f>1431</f>
        <v>1431</v>
      </c>
    </row>
    <row r="180" spans="2:14" x14ac:dyDescent="0.2">
      <c r="B180" s="5" t="s">
        <v>200</v>
      </c>
      <c r="C180" s="8">
        <f t="shared" ref="C180:N180" si="30">((((C175)+(C176))+(C177))+(C178))+(C179)</f>
        <v>3722.02</v>
      </c>
      <c r="D180" s="8">
        <f t="shared" si="30"/>
        <v>5610.95</v>
      </c>
      <c r="E180" s="8">
        <f t="shared" si="30"/>
        <v>3928.42</v>
      </c>
      <c r="F180" s="8">
        <f t="shared" si="30"/>
        <v>3892.33</v>
      </c>
      <c r="G180" s="8">
        <f t="shared" si="30"/>
        <v>3557.41</v>
      </c>
      <c r="H180" s="8">
        <f t="shared" si="30"/>
        <v>4160.34</v>
      </c>
      <c r="I180" s="8">
        <f t="shared" si="30"/>
        <v>4867.78</v>
      </c>
      <c r="J180" s="8">
        <f t="shared" si="30"/>
        <v>5187.71</v>
      </c>
      <c r="K180" s="8">
        <f t="shared" si="30"/>
        <v>5272.45</v>
      </c>
      <c r="L180" s="8">
        <f t="shared" si="30"/>
        <v>5871.42</v>
      </c>
      <c r="M180" s="8">
        <f t="shared" si="30"/>
        <v>6237.9400000000005</v>
      </c>
      <c r="N180" s="8">
        <f t="shared" si="30"/>
        <v>7883.87</v>
      </c>
    </row>
    <row r="181" spans="2:14" x14ac:dyDescent="0.2">
      <c r="B181" s="5" t="s">
        <v>201</v>
      </c>
      <c r="C181" s="7">
        <f>2167.5</f>
        <v>2167.5</v>
      </c>
      <c r="D181" s="6"/>
      <c r="E181" s="6"/>
      <c r="F181" s="6"/>
      <c r="G181" s="6"/>
      <c r="H181" s="6"/>
      <c r="I181" s="6"/>
      <c r="J181" s="7">
        <f>2167.5</f>
        <v>2167.5</v>
      </c>
      <c r="K181" s="6"/>
      <c r="L181" s="6"/>
      <c r="M181" s="6"/>
      <c r="N181" s="6"/>
    </row>
    <row r="182" spans="2:14" x14ac:dyDescent="0.2">
      <c r="B182" s="5" t="s">
        <v>202</v>
      </c>
      <c r="C182" s="6"/>
      <c r="D182" s="6"/>
      <c r="E182" s="6"/>
      <c r="F182" s="7">
        <f>226.04</f>
        <v>226.04</v>
      </c>
      <c r="G182" s="7">
        <f>4225</f>
        <v>4225</v>
      </c>
      <c r="H182" s="7">
        <f>4039.24</f>
        <v>4039.24</v>
      </c>
      <c r="I182" s="6"/>
      <c r="J182" s="7">
        <f>172.57</f>
        <v>172.57</v>
      </c>
      <c r="K182" s="7">
        <f>138.02</f>
        <v>138.02000000000001</v>
      </c>
      <c r="L182" s="6"/>
      <c r="M182" s="6"/>
      <c r="N182" s="7">
        <f>45</f>
        <v>45</v>
      </c>
    </row>
    <row r="183" spans="2:14" x14ac:dyDescent="0.2">
      <c r="B183" s="5" t="s">
        <v>203</v>
      </c>
      <c r="C183" s="7">
        <f>2872.94</f>
        <v>2872.94</v>
      </c>
      <c r="D183" s="7">
        <f>3014.3</f>
        <v>3014.3</v>
      </c>
      <c r="E183" s="7">
        <f>2392.85</f>
        <v>2392.85</v>
      </c>
      <c r="F183" s="7">
        <f>2635.64</f>
        <v>2635.64</v>
      </c>
      <c r="G183" s="7">
        <f>2452.68</f>
        <v>2452.6799999999998</v>
      </c>
      <c r="H183" s="7">
        <f>2621.42</f>
        <v>2621.42</v>
      </c>
      <c r="I183" s="7">
        <f>2637.35</f>
        <v>2637.35</v>
      </c>
      <c r="J183" s="7">
        <f>2953.58</f>
        <v>2953.58</v>
      </c>
      <c r="K183" s="7">
        <f>2259.72</f>
        <v>2259.7199999999998</v>
      </c>
      <c r="L183" s="7">
        <f>3650.19</f>
        <v>3650.19</v>
      </c>
      <c r="M183" s="7">
        <f>1731.24</f>
        <v>1731.24</v>
      </c>
      <c r="N183" s="7">
        <f>931.68</f>
        <v>931.68</v>
      </c>
    </row>
    <row r="184" spans="2:14" x14ac:dyDescent="0.2">
      <c r="B184" s="5" t="s">
        <v>204</v>
      </c>
      <c r="C184" s="6"/>
      <c r="D184" s="6"/>
      <c r="E184" s="6"/>
      <c r="F184" s="6"/>
      <c r="G184" s="6"/>
      <c r="H184" s="6"/>
      <c r="I184" s="6"/>
      <c r="J184" s="7">
        <f>3000</f>
        <v>3000</v>
      </c>
      <c r="K184" s="6"/>
      <c r="L184" s="7">
        <f>3000</f>
        <v>3000</v>
      </c>
      <c r="M184" s="7">
        <f>210</f>
        <v>210</v>
      </c>
      <c r="N184" s="6"/>
    </row>
    <row r="185" spans="2:14" x14ac:dyDescent="0.2">
      <c r="B185" s="5" t="s">
        <v>205</v>
      </c>
      <c r="C185" s="6"/>
      <c r="D185" s="6"/>
      <c r="E185" s="7">
        <f>549</f>
        <v>549</v>
      </c>
      <c r="F185" s="7">
        <f>125</f>
        <v>125</v>
      </c>
      <c r="G185" s="7">
        <f>550</f>
        <v>550</v>
      </c>
      <c r="H185" s="7">
        <f>119</f>
        <v>119</v>
      </c>
      <c r="I185" s="7">
        <f>59</f>
        <v>59</v>
      </c>
      <c r="J185" s="7">
        <f>239</f>
        <v>239</v>
      </c>
      <c r="K185" s="6"/>
      <c r="L185" s="6"/>
      <c r="M185" s="7">
        <f>851.72</f>
        <v>851.72</v>
      </c>
      <c r="N185" s="6"/>
    </row>
    <row r="186" spans="2:14" x14ac:dyDescent="0.2">
      <c r="B186" s="5" t="s">
        <v>206</v>
      </c>
      <c r="C186" s="7">
        <f>2408.63</f>
        <v>2408.63</v>
      </c>
      <c r="D186" s="7">
        <f>1917.2</f>
        <v>1917.2</v>
      </c>
      <c r="E186" s="7">
        <f>1708.13</f>
        <v>1708.13</v>
      </c>
      <c r="F186" s="7">
        <f>1990.76</f>
        <v>1990.76</v>
      </c>
      <c r="G186" s="7">
        <f>3213.12</f>
        <v>3213.12</v>
      </c>
      <c r="H186" s="7">
        <f>1930.27</f>
        <v>1930.27</v>
      </c>
      <c r="I186" s="7">
        <f>2003.06</f>
        <v>2003.06</v>
      </c>
      <c r="J186" s="7">
        <f>2239.58</f>
        <v>2239.58</v>
      </c>
      <c r="K186" s="7">
        <f>5015.51</f>
        <v>5015.51</v>
      </c>
      <c r="L186" s="7">
        <f>6011.76</f>
        <v>6011.76</v>
      </c>
      <c r="M186" s="7">
        <f>3688.61</f>
        <v>3688.61</v>
      </c>
      <c r="N186" s="7">
        <f>6209.2</f>
        <v>6209.2</v>
      </c>
    </row>
    <row r="187" spans="2:14" x14ac:dyDescent="0.2">
      <c r="B187" s="5" t="s">
        <v>207</v>
      </c>
      <c r="C187" s="8">
        <f t="shared" ref="C187:N187" si="31">(C185)+(C186)</f>
        <v>2408.63</v>
      </c>
      <c r="D187" s="8">
        <f t="shared" si="31"/>
        <v>1917.2</v>
      </c>
      <c r="E187" s="8">
        <f t="shared" si="31"/>
        <v>2257.13</v>
      </c>
      <c r="F187" s="8">
        <f t="shared" si="31"/>
        <v>2115.7600000000002</v>
      </c>
      <c r="G187" s="8">
        <f t="shared" si="31"/>
        <v>3763.12</v>
      </c>
      <c r="H187" s="8">
        <f t="shared" si="31"/>
        <v>2049.27</v>
      </c>
      <c r="I187" s="8">
        <f t="shared" si="31"/>
        <v>2062.06</v>
      </c>
      <c r="J187" s="8">
        <f t="shared" si="31"/>
        <v>2478.58</v>
      </c>
      <c r="K187" s="8">
        <f t="shared" si="31"/>
        <v>5015.51</v>
      </c>
      <c r="L187" s="8">
        <f t="shared" si="31"/>
        <v>6011.76</v>
      </c>
      <c r="M187" s="8">
        <f t="shared" si="31"/>
        <v>4540.33</v>
      </c>
      <c r="N187" s="8">
        <f t="shared" si="31"/>
        <v>6209.2</v>
      </c>
    </row>
    <row r="188" spans="2:14" x14ac:dyDescent="0.2">
      <c r="B188" s="5" t="s">
        <v>208</v>
      </c>
      <c r="C188" s="7">
        <f>2788.24</f>
        <v>2788.24</v>
      </c>
      <c r="D188" s="7">
        <f>643.47</f>
        <v>643.47</v>
      </c>
      <c r="E188" s="7">
        <f>4990.08</f>
        <v>4990.08</v>
      </c>
      <c r="F188" s="7">
        <f>160</f>
        <v>160</v>
      </c>
      <c r="G188" s="7">
        <f>385.94</f>
        <v>385.94</v>
      </c>
      <c r="H188" s="7">
        <f>100</f>
        <v>100</v>
      </c>
      <c r="I188" s="7">
        <f>6792.78</f>
        <v>6792.78</v>
      </c>
      <c r="J188" s="7">
        <f>426.91</f>
        <v>426.91</v>
      </c>
      <c r="K188" s="7">
        <f>575.6</f>
        <v>575.6</v>
      </c>
      <c r="L188" s="7">
        <f>360</f>
        <v>360</v>
      </c>
      <c r="M188" s="7">
        <f>468.44</f>
        <v>468.44</v>
      </c>
      <c r="N188" s="7">
        <f>708.22</f>
        <v>708.22</v>
      </c>
    </row>
    <row r="189" spans="2:14" x14ac:dyDescent="0.2">
      <c r="B189" s="5" t="s">
        <v>209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2:14" x14ac:dyDescent="0.2">
      <c r="B190" s="5" t="s">
        <v>210</v>
      </c>
      <c r="C190" s="6"/>
      <c r="D190" s="7">
        <f>618.75</f>
        <v>618.75</v>
      </c>
      <c r="E190" s="6"/>
      <c r="F190" s="6"/>
      <c r="G190" s="7">
        <f>225</f>
        <v>225</v>
      </c>
      <c r="H190" s="7">
        <f>2475</f>
        <v>2475</v>
      </c>
      <c r="I190" s="7">
        <f>4257.5</f>
        <v>4257.5</v>
      </c>
      <c r="J190" s="7">
        <f>3937.5</f>
        <v>3937.5</v>
      </c>
      <c r="K190" s="7">
        <f>2362.5</f>
        <v>2362.5</v>
      </c>
      <c r="L190" s="7">
        <f>4050</f>
        <v>4050</v>
      </c>
      <c r="M190" s="7">
        <f>13877</f>
        <v>13877</v>
      </c>
      <c r="N190" s="7">
        <f>806.75</f>
        <v>806.75</v>
      </c>
    </row>
    <row r="191" spans="2:14" x14ac:dyDescent="0.2">
      <c r="B191" s="5" t="s">
        <v>211</v>
      </c>
      <c r="C191" s="6"/>
      <c r="D191" s="6"/>
      <c r="E191" s="6"/>
      <c r="F191" s="6"/>
      <c r="G191" s="6"/>
      <c r="H191" s="6"/>
      <c r="I191" s="6"/>
      <c r="J191" s="6"/>
      <c r="K191" s="7">
        <f>27500</f>
        <v>27500</v>
      </c>
      <c r="L191" s="6"/>
      <c r="M191" s="7">
        <f>15500</f>
        <v>15500</v>
      </c>
      <c r="N191" s="7">
        <f>97929.63</f>
        <v>97929.63</v>
      </c>
    </row>
    <row r="192" spans="2:14" x14ac:dyDescent="0.2">
      <c r="B192" s="5" t="s">
        <v>212</v>
      </c>
      <c r="C192" s="6"/>
      <c r="D192" s="7">
        <f>7645</f>
        <v>7645</v>
      </c>
      <c r="E192" s="7">
        <f>22546.98</f>
        <v>22546.98</v>
      </c>
      <c r="F192" s="7">
        <f>30668.81</f>
        <v>30668.81</v>
      </c>
      <c r="G192" s="7">
        <f>3126.8</f>
        <v>3126.8</v>
      </c>
      <c r="H192" s="7">
        <f>14585.91</f>
        <v>14585.91</v>
      </c>
      <c r="I192" s="7">
        <f>6788.8</f>
        <v>6788.8</v>
      </c>
      <c r="J192" s="6"/>
      <c r="K192" s="7">
        <f>1852.5</f>
        <v>1852.5</v>
      </c>
      <c r="L192" s="7">
        <f>4283</f>
        <v>4283</v>
      </c>
      <c r="M192" s="7">
        <f>3552.34</f>
        <v>3552.34</v>
      </c>
      <c r="N192" s="7">
        <f>2047.5</f>
        <v>2047.5</v>
      </c>
    </row>
    <row r="193" spans="2:14" x14ac:dyDescent="0.2">
      <c r="B193" s="5" t="s">
        <v>213</v>
      </c>
      <c r="C193" s="6"/>
      <c r="D193" s="6"/>
      <c r="E193" s="6"/>
      <c r="F193" s="6"/>
      <c r="G193" s="7">
        <f>1287.79</f>
        <v>1287.79</v>
      </c>
      <c r="H193" s="6"/>
      <c r="I193" s="7">
        <f>7205.83</f>
        <v>7205.83</v>
      </c>
      <c r="J193" s="6"/>
      <c r="K193" s="7">
        <f>15805.8</f>
        <v>15805.8</v>
      </c>
      <c r="L193" s="7">
        <f>7907.64</f>
        <v>7907.64</v>
      </c>
      <c r="M193" s="7">
        <f>4445.92</f>
        <v>4445.92</v>
      </c>
      <c r="N193" s="7">
        <f>11500</f>
        <v>11500</v>
      </c>
    </row>
    <row r="194" spans="2:14" x14ac:dyDescent="0.2">
      <c r="B194" s="5" t="s">
        <v>214</v>
      </c>
      <c r="C194" s="6"/>
      <c r="D194" s="6"/>
      <c r="E194" s="6"/>
      <c r="F194" s="6"/>
      <c r="G194" s="6"/>
      <c r="H194" s="6"/>
      <c r="I194" s="6"/>
      <c r="J194" s="6"/>
      <c r="K194" s="6"/>
      <c r="L194" s="7">
        <f>683.33</f>
        <v>683.33</v>
      </c>
      <c r="M194" s="7">
        <f>683.33</f>
        <v>683.33</v>
      </c>
      <c r="N194" s="7">
        <f>4183.33</f>
        <v>4183.33</v>
      </c>
    </row>
    <row r="195" spans="2:14" x14ac:dyDescent="0.2">
      <c r="B195" s="5" t="s">
        <v>215</v>
      </c>
      <c r="C195" s="8">
        <f t="shared" ref="C195:N195" si="32">(((((C189)+(C190))+(C191))+(C192))+(C193))+(C194)</f>
        <v>0</v>
      </c>
      <c r="D195" s="8">
        <f t="shared" si="32"/>
        <v>8263.75</v>
      </c>
      <c r="E195" s="8">
        <f t="shared" si="32"/>
        <v>22546.98</v>
      </c>
      <c r="F195" s="8">
        <f t="shared" si="32"/>
        <v>30668.81</v>
      </c>
      <c r="G195" s="8">
        <f t="shared" si="32"/>
        <v>4639.59</v>
      </c>
      <c r="H195" s="8">
        <f t="shared" si="32"/>
        <v>17060.91</v>
      </c>
      <c r="I195" s="8">
        <f t="shared" si="32"/>
        <v>18252.129999999997</v>
      </c>
      <c r="J195" s="8">
        <f t="shared" si="32"/>
        <v>3937.5</v>
      </c>
      <c r="K195" s="8">
        <f t="shared" si="32"/>
        <v>47520.800000000003</v>
      </c>
      <c r="L195" s="8">
        <f t="shared" si="32"/>
        <v>16923.97</v>
      </c>
      <c r="M195" s="8">
        <f t="shared" si="32"/>
        <v>38058.589999999997</v>
      </c>
      <c r="N195" s="8">
        <f t="shared" si="32"/>
        <v>116467.21</v>
      </c>
    </row>
    <row r="196" spans="2:14" x14ac:dyDescent="0.2">
      <c r="B196" s="5" t="s">
        <v>216</v>
      </c>
      <c r="C196" s="6"/>
      <c r="D196" s="6"/>
      <c r="E196" s="6"/>
      <c r="F196" s="6"/>
      <c r="G196" s="6"/>
      <c r="H196" s="7">
        <f>95</f>
        <v>95</v>
      </c>
      <c r="I196" s="6"/>
      <c r="J196" s="6"/>
      <c r="K196" s="7">
        <f>95</f>
        <v>95</v>
      </c>
      <c r="L196" s="6"/>
      <c r="M196" s="6"/>
      <c r="N196" s="6"/>
    </row>
    <row r="197" spans="2:14" x14ac:dyDescent="0.2">
      <c r="B197" s="5" t="s">
        <v>217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2:14" x14ac:dyDescent="0.2">
      <c r="B198" s="5" t="s">
        <v>218</v>
      </c>
      <c r="C198" s="7">
        <f>373.97</f>
        <v>373.97</v>
      </c>
      <c r="D198" s="7">
        <f>432.92</f>
        <v>432.92</v>
      </c>
      <c r="E198" s="7">
        <f>1063.45</f>
        <v>1063.45</v>
      </c>
      <c r="F198" s="7">
        <f>1128.05</f>
        <v>1128.05</v>
      </c>
      <c r="G198" s="7">
        <f>259.96</f>
        <v>259.95999999999998</v>
      </c>
      <c r="H198" s="7">
        <f>292.25</f>
        <v>292.25</v>
      </c>
      <c r="I198" s="7">
        <f>625.68</f>
        <v>625.67999999999995</v>
      </c>
      <c r="J198" s="7">
        <f>453.81</f>
        <v>453.81</v>
      </c>
      <c r="K198" s="7">
        <f>311.91</f>
        <v>311.91000000000003</v>
      </c>
      <c r="L198" s="7">
        <f>2348.26</f>
        <v>2348.2600000000002</v>
      </c>
      <c r="M198" s="7">
        <f>25</f>
        <v>25</v>
      </c>
      <c r="N198" s="7">
        <f>708.98</f>
        <v>708.98</v>
      </c>
    </row>
    <row r="199" spans="2:14" x14ac:dyDescent="0.2">
      <c r="B199" s="5" t="s">
        <v>219</v>
      </c>
      <c r="C199" s="7">
        <f>679.12</f>
        <v>679.12</v>
      </c>
      <c r="D199" s="7">
        <f>849.27</f>
        <v>849.27</v>
      </c>
      <c r="E199" s="7">
        <f>1540.36</f>
        <v>1540.36</v>
      </c>
      <c r="F199" s="7">
        <f>491.2</f>
        <v>491.2</v>
      </c>
      <c r="G199" s="7">
        <f>813.16</f>
        <v>813.16</v>
      </c>
      <c r="H199" s="7">
        <f>753.81</f>
        <v>753.81</v>
      </c>
      <c r="I199" s="7">
        <f>1126.62</f>
        <v>1126.6199999999999</v>
      </c>
      <c r="J199" s="7">
        <f>516.48</f>
        <v>516.48</v>
      </c>
      <c r="K199" s="7">
        <f>977.05</f>
        <v>977.05</v>
      </c>
      <c r="L199" s="7">
        <f>1670.89</f>
        <v>1670.89</v>
      </c>
      <c r="M199" s="7">
        <f>1304.45</f>
        <v>1304.45</v>
      </c>
      <c r="N199" s="7">
        <f>558.94</f>
        <v>558.94000000000005</v>
      </c>
    </row>
    <row r="200" spans="2:14" x14ac:dyDescent="0.2">
      <c r="B200" s="5" t="s">
        <v>220</v>
      </c>
      <c r="C200" s="7">
        <f>2604.77</f>
        <v>2604.77</v>
      </c>
      <c r="D200" s="7">
        <f>-149.27</f>
        <v>-149.27000000000001</v>
      </c>
      <c r="E200" s="7">
        <f>-8631.54</f>
        <v>-8631.5400000000009</v>
      </c>
      <c r="F200" s="7">
        <f>9976.84</f>
        <v>9976.84</v>
      </c>
      <c r="G200" s="7">
        <f>5118.81</f>
        <v>5118.8100000000004</v>
      </c>
      <c r="H200" s="7">
        <f>-3647.26</f>
        <v>-3647.26</v>
      </c>
      <c r="I200" s="7">
        <f>4634.77</f>
        <v>4634.7700000000004</v>
      </c>
      <c r="J200" s="7">
        <f>1102.35</f>
        <v>1102.3499999999999</v>
      </c>
      <c r="K200" s="7">
        <f>-15992</f>
        <v>-15992</v>
      </c>
      <c r="L200" s="7">
        <f>2211.23</f>
        <v>2211.23</v>
      </c>
      <c r="M200" s="7">
        <f>3255.34</f>
        <v>3255.34</v>
      </c>
      <c r="N200" s="7">
        <f>4936.48</f>
        <v>4936.4799999999996</v>
      </c>
    </row>
    <row r="201" spans="2:14" x14ac:dyDescent="0.2">
      <c r="B201" s="5" t="s">
        <v>221</v>
      </c>
      <c r="C201" s="6"/>
      <c r="D201" s="6"/>
      <c r="E201" s="6"/>
      <c r="F201" s="6"/>
      <c r="G201" s="6"/>
      <c r="H201" s="6"/>
      <c r="I201" s="7">
        <f>120.63</f>
        <v>120.63</v>
      </c>
      <c r="J201" s="6"/>
      <c r="K201" s="7">
        <f>944.5</f>
        <v>944.5</v>
      </c>
      <c r="L201" s="7">
        <f>2666.62</f>
        <v>2666.62</v>
      </c>
      <c r="M201" s="7">
        <f>669.41</f>
        <v>669.41</v>
      </c>
      <c r="N201" s="7">
        <f>64.98</f>
        <v>64.98</v>
      </c>
    </row>
    <row r="202" spans="2:14" x14ac:dyDescent="0.2">
      <c r="B202" s="5" t="s">
        <v>222</v>
      </c>
      <c r="C202" s="8">
        <f t="shared" ref="C202:N202" si="33">((((C197)+(C198))+(C199))+(C200))+(C201)</f>
        <v>3657.86</v>
      </c>
      <c r="D202" s="8">
        <f t="shared" si="33"/>
        <v>1132.92</v>
      </c>
      <c r="E202" s="8">
        <f t="shared" si="33"/>
        <v>-6027.7300000000014</v>
      </c>
      <c r="F202" s="8">
        <f t="shared" si="33"/>
        <v>11596.09</v>
      </c>
      <c r="G202" s="8">
        <f t="shared" si="33"/>
        <v>6191.93</v>
      </c>
      <c r="H202" s="8">
        <f t="shared" si="33"/>
        <v>-2601.2000000000003</v>
      </c>
      <c r="I202" s="8">
        <f t="shared" si="33"/>
        <v>6507.7</v>
      </c>
      <c r="J202" s="8">
        <f t="shared" si="33"/>
        <v>2072.64</v>
      </c>
      <c r="K202" s="8">
        <f t="shared" si="33"/>
        <v>-13758.54</v>
      </c>
      <c r="L202" s="8">
        <f t="shared" si="33"/>
        <v>8897</v>
      </c>
      <c r="M202" s="8">
        <f t="shared" si="33"/>
        <v>5254.2</v>
      </c>
      <c r="N202" s="8">
        <f t="shared" si="33"/>
        <v>6269.3799999999992</v>
      </c>
    </row>
    <row r="203" spans="2:14" x14ac:dyDescent="0.2">
      <c r="B203" s="5" t="s">
        <v>223</v>
      </c>
      <c r="C203" s="7">
        <f>320</f>
        <v>320</v>
      </c>
      <c r="D203" s="7">
        <f>320</f>
        <v>320</v>
      </c>
      <c r="E203" s="7">
        <f>320</f>
        <v>320</v>
      </c>
      <c r="F203" s="7">
        <f>240</f>
        <v>240</v>
      </c>
      <c r="G203" s="7">
        <f>480</f>
        <v>480</v>
      </c>
      <c r="H203" s="7">
        <f>460</f>
        <v>460</v>
      </c>
      <c r="I203" s="7">
        <f>300</f>
        <v>300</v>
      </c>
      <c r="J203" s="7">
        <f>432.11</f>
        <v>432.11</v>
      </c>
      <c r="K203" s="7">
        <f>400</f>
        <v>400</v>
      </c>
      <c r="L203" s="7">
        <f>600</f>
        <v>600</v>
      </c>
      <c r="M203" s="7">
        <f>600</f>
        <v>600</v>
      </c>
      <c r="N203" s="7">
        <f>400</f>
        <v>400</v>
      </c>
    </row>
    <row r="204" spans="2:14" x14ac:dyDescent="0.2">
      <c r="B204" s="5" t="s">
        <v>224</v>
      </c>
      <c r="C204" s="7">
        <f>190.1</f>
        <v>190.1</v>
      </c>
      <c r="D204" s="7">
        <f>118.69</f>
        <v>118.69</v>
      </c>
      <c r="E204" s="7">
        <f>620.15</f>
        <v>620.15</v>
      </c>
      <c r="F204" s="7">
        <f>654.15</f>
        <v>654.15</v>
      </c>
      <c r="G204" s="7">
        <f>1012.7</f>
        <v>1012.7</v>
      </c>
      <c r="H204" s="7">
        <f>2258.89</f>
        <v>2258.89</v>
      </c>
      <c r="I204" s="7">
        <f>327.44</f>
        <v>327.44</v>
      </c>
      <c r="J204" s="7">
        <f>569.8</f>
        <v>569.79999999999995</v>
      </c>
      <c r="K204" s="7">
        <f>2364.35</f>
        <v>2364.35</v>
      </c>
      <c r="L204" s="7">
        <f>2489.03</f>
        <v>2489.0300000000002</v>
      </c>
      <c r="M204" s="7">
        <f>991.08</f>
        <v>991.08</v>
      </c>
      <c r="N204" s="7">
        <f>577.07</f>
        <v>577.07000000000005</v>
      </c>
    </row>
    <row r="205" spans="2:14" x14ac:dyDescent="0.2">
      <c r="B205" s="5" t="s">
        <v>225</v>
      </c>
      <c r="C205" s="7">
        <f>714.91</f>
        <v>714.91</v>
      </c>
      <c r="D205" s="7">
        <f>221.81</f>
        <v>221.81</v>
      </c>
      <c r="E205" s="7">
        <f>457.12</f>
        <v>457.12</v>
      </c>
      <c r="F205" s="7">
        <f>318</f>
        <v>318</v>
      </c>
      <c r="G205" s="7">
        <f>1219.66</f>
        <v>1219.6600000000001</v>
      </c>
      <c r="H205" s="7">
        <f>348.95</f>
        <v>348.95</v>
      </c>
      <c r="I205" s="7">
        <f>735.58</f>
        <v>735.58</v>
      </c>
      <c r="J205" s="7">
        <f>596.32</f>
        <v>596.32000000000005</v>
      </c>
      <c r="K205" s="7">
        <f>523.31</f>
        <v>523.30999999999995</v>
      </c>
      <c r="L205" s="7">
        <f>447.31</f>
        <v>447.31</v>
      </c>
      <c r="M205" s="7">
        <f>233.74</f>
        <v>233.74</v>
      </c>
      <c r="N205" s="7">
        <f>235.27</f>
        <v>235.27</v>
      </c>
    </row>
    <row r="206" spans="2:14" x14ac:dyDescent="0.2">
      <c r="B206" s="5" t="s">
        <v>226</v>
      </c>
      <c r="C206" s="7">
        <f>233.96</f>
        <v>233.96</v>
      </c>
      <c r="D206" s="7">
        <f>176.02</f>
        <v>176.02</v>
      </c>
      <c r="E206" s="7">
        <f>252.4</f>
        <v>252.4</v>
      </c>
      <c r="F206" s="7">
        <f>757.2</f>
        <v>757.2</v>
      </c>
      <c r="G206" s="7">
        <f>189.44</f>
        <v>189.44</v>
      </c>
      <c r="H206" s="7">
        <f>2493.83</f>
        <v>2493.83</v>
      </c>
      <c r="I206" s="7">
        <f>293.15</f>
        <v>293.14999999999998</v>
      </c>
      <c r="J206" s="7">
        <f>498.92</f>
        <v>498.92</v>
      </c>
      <c r="K206" s="7">
        <f>283.97</f>
        <v>283.97000000000003</v>
      </c>
      <c r="L206" s="7">
        <f>269.61</f>
        <v>269.61</v>
      </c>
      <c r="M206" s="7">
        <f>37.67</f>
        <v>37.67</v>
      </c>
      <c r="N206" s="7">
        <f>556.74</f>
        <v>556.74</v>
      </c>
    </row>
    <row r="207" spans="2:14" x14ac:dyDescent="0.2">
      <c r="B207" s="5" t="s">
        <v>227</v>
      </c>
      <c r="C207" s="7">
        <f>22582.75</f>
        <v>22582.75</v>
      </c>
      <c r="D207" s="7">
        <f>15754.38</f>
        <v>15754.38</v>
      </c>
      <c r="E207" s="7">
        <f>40123.58</f>
        <v>40123.58</v>
      </c>
      <c r="F207" s="7">
        <f>23603.84</f>
        <v>23603.84</v>
      </c>
      <c r="G207" s="7">
        <f>19955.88</f>
        <v>19955.88</v>
      </c>
      <c r="H207" s="7">
        <f>20844.94</f>
        <v>20844.939999999999</v>
      </c>
      <c r="I207" s="7">
        <f>15702.26</f>
        <v>15702.26</v>
      </c>
      <c r="J207" s="7">
        <f>26913.71</f>
        <v>26913.71</v>
      </c>
      <c r="K207" s="7">
        <f>23446.07</f>
        <v>23446.07</v>
      </c>
      <c r="L207" s="7">
        <f>36353.69</f>
        <v>36353.69</v>
      </c>
      <c r="M207" s="7">
        <f>24390.09</f>
        <v>24390.09</v>
      </c>
      <c r="N207" s="7">
        <f>58026.48</f>
        <v>58026.48</v>
      </c>
    </row>
    <row r="208" spans="2:14" x14ac:dyDescent="0.2">
      <c r="B208" s="5" t="s">
        <v>228</v>
      </c>
      <c r="C208" s="7">
        <f>1167</f>
        <v>1167</v>
      </c>
      <c r="D208" s="7">
        <f>1317</f>
        <v>1317</v>
      </c>
      <c r="E208" s="7">
        <f>1753</f>
        <v>1753</v>
      </c>
      <c r="F208" s="7">
        <f>1444</f>
        <v>1444</v>
      </c>
      <c r="G208" s="7">
        <f>1413</f>
        <v>1413</v>
      </c>
      <c r="H208" s="7">
        <f>1210.5</f>
        <v>1210.5</v>
      </c>
      <c r="I208" s="7">
        <f>1172</f>
        <v>1172</v>
      </c>
      <c r="J208" s="7">
        <f>1476</f>
        <v>1476</v>
      </c>
      <c r="K208" s="7">
        <f>1036</f>
        <v>1036</v>
      </c>
      <c r="L208" s="7">
        <f>344.35</f>
        <v>344.35</v>
      </c>
      <c r="M208" s="7">
        <f>225</f>
        <v>225</v>
      </c>
      <c r="N208" s="7">
        <f>236</f>
        <v>236</v>
      </c>
    </row>
    <row r="209" spans="1:14" x14ac:dyDescent="0.2">
      <c r="B209" s="5" t="s">
        <v>229</v>
      </c>
      <c r="C209" s="8">
        <f t="shared" ref="C209:N209" si="34">(C207)+(C208)</f>
        <v>23749.75</v>
      </c>
      <c r="D209" s="8">
        <f t="shared" si="34"/>
        <v>17071.379999999997</v>
      </c>
      <c r="E209" s="8">
        <f t="shared" si="34"/>
        <v>41876.58</v>
      </c>
      <c r="F209" s="8">
        <f t="shared" si="34"/>
        <v>25047.84</v>
      </c>
      <c r="G209" s="8">
        <f t="shared" si="34"/>
        <v>21368.880000000001</v>
      </c>
      <c r="H209" s="8">
        <f t="shared" si="34"/>
        <v>22055.439999999999</v>
      </c>
      <c r="I209" s="8">
        <f t="shared" si="34"/>
        <v>16874.260000000002</v>
      </c>
      <c r="J209" s="8">
        <f t="shared" si="34"/>
        <v>28389.71</v>
      </c>
      <c r="K209" s="8">
        <f t="shared" si="34"/>
        <v>24482.07</v>
      </c>
      <c r="L209" s="8">
        <f t="shared" si="34"/>
        <v>36698.04</v>
      </c>
      <c r="M209" s="8">
        <f t="shared" si="34"/>
        <v>24615.09</v>
      </c>
      <c r="N209" s="8">
        <f t="shared" si="34"/>
        <v>58262.48</v>
      </c>
    </row>
    <row r="210" spans="1:14" x14ac:dyDescent="0.2">
      <c r="B210" s="5" t="s">
        <v>230</v>
      </c>
      <c r="C210" s="7">
        <f>162.45</f>
        <v>162.44999999999999</v>
      </c>
      <c r="D210" s="7">
        <f>0</f>
        <v>0</v>
      </c>
      <c r="E210" s="7">
        <f>820</f>
        <v>820</v>
      </c>
      <c r="F210" s="7">
        <f>953.71</f>
        <v>953.71</v>
      </c>
      <c r="G210" s="7">
        <f>3893.24</f>
        <v>3893.24</v>
      </c>
      <c r="H210" s="7">
        <f>-2.4</f>
        <v>-2.4</v>
      </c>
      <c r="I210" s="6"/>
      <c r="J210" s="7">
        <f>1056.44</f>
        <v>1056.44</v>
      </c>
      <c r="K210" s="6"/>
      <c r="L210" s="6"/>
      <c r="M210" s="7">
        <f>1522.44</f>
        <v>1522.44</v>
      </c>
      <c r="N210" s="7">
        <f>50</f>
        <v>50</v>
      </c>
    </row>
    <row r="211" spans="1:14" x14ac:dyDescent="0.2">
      <c r="B211" s="5" t="s">
        <v>231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B212" s="5" t="s">
        <v>232</v>
      </c>
      <c r="C212" s="7">
        <f>393.06</f>
        <v>393.06</v>
      </c>
      <c r="D212" s="7">
        <f>393.06</f>
        <v>393.06</v>
      </c>
      <c r="E212" s="7">
        <f>393.06</f>
        <v>393.06</v>
      </c>
      <c r="F212" s="7">
        <f>651.97</f>
        <v>651.97</v>
      </c>
      <c r="G212" s="7">
        <f>458.91</f>
        <v>458.91</v>
      </c>
      <c r="H212" s="7">
        <f>845.03</f>
        <v>845.03</v>
      </c>
      <c r="I212" s="7">
        <f>450.58</f>
        <v>450.58</v>
      </c>
      <c r="J212" s="7">
        <f>652.26</f>
        <v>652.26</v>
      </c>
      <c r="K212" s="7">
        <f>628.64</f>
        <v>628.64</v>
      </c>
      <c r="L212" s="7">
        <f>1909.83</f>
        <v>1909.83</v>
      </c>
      <c r="M212" s="7">
        <f>1801.67</f>
        <v>1801.67</v>
      </c>
      <c r="N212" s="7">
        <f>1481.56</f>
        <v>1481.56</v>
      </c>
    </row>
    <row r="213" spans="1:14" x14ac:dyDescent="0.2">
      <c r="B213" s="5" t="s">
        <v>233</v>
      </c>
      <c r="C213" s="7">
        <f>65.74</f>
        <v>65.739999999999995</v>
      </c>
      <c r="D213" s="7">
        <f>57.65</f>
        <v>57.65</v>
      </c>
      <c r="E213" s="7">
        <f>57.83</f>
        <v>57.83</v>
      </c>
      <c r="F213" s="7">
        <f>53.4</f>
        <v>53.4</v>
      </c>
      <c r="G213" s="7">
        <f>59.45</f>
        <v>59.45</v>
      </c>
      <c r="H213" s="7">
        <f>54.68</f>
        <v>54.68</v>
      </c>
      <c r="I213" s="7">
        <f>55.41</f>
        <v>55.41</v>
      </c>
      <c r="J213" s="7">
        <f>101.24</f>
        <v>101.24</v>
      </c>
      <c r="K213" s="7">
        <f>144.8</f>
        <v>144.80000000000001</v>
      </c>
      <c r="L213" s="7">
        <f>148.24</f>
        <v>148.24</v>
      </c>
      <c r="M213" s="7">
        <f>61.05</f>
        <v>61.05</v>
      </c>
      <c r="N213" s="7">
        <f>147.81</f>
        <v>147.81</v>
      </c>
    </row>
    <row r="214" spans="1:14" x14ac:dyDescent="0.2">
      <c r="B214" s="5" t="s">
        <v>234</v>
      </c>
      <c r="C214" s="8">
        <f t="shared" ref="C214:N214" si="35">((C211)+(C212))+(C213)</f>
        <v>458.8</v>
      </c>
      <c r="D214" s="8">
        <f t="shared" si="35"/>
        <v>450.71</v>
      </c>
      <c r="E214" s="8">
        <f t="shared" si="35"/>
        <v>450.89</v>
      </c>
      <c r="F214" s="8">
        <f t="shared" si="35"/>
        <v>705.37</v>
      </c>
      <c r="G214" s="8">
        <f t="shared" si="35"/>
        <v>518.36</v>
      </c>
      <c r="H214" s="8">
        <f t="shared" si="35"/>
        <v>899.70999999999992</v>
      </c>
      <c r="I214" s="8">
        <f t="shared" si="35"/>
        <v>505.99</v>
      </c>
      <c r="J214" s="8">
        <f t="shared" si="35"/>
        <v>753.5</v>
      </c>
      <c r="K214" s="8">
        <f t="shared" si="35"/>
        <v>773.44</v>
      </c>
      <c r="L214" s="8">
        <f t="shared" si="35"/>
        <v>2058.0699999999997</v>
      </c>
      <c r="M214" s="8">
        <f t="shared" si="35"/>
        <v>1862.72</v>
      </c>
      <c r="N214" s="8">
        <f t="shared" si="35"/>
        <v>1629.37</v>
      </c>
    </row>
    <row r="215" spans="1:14" x14ac:dyDescent="0.2">
      <c r="B215" s="5" t="s">
        <v>235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 s="13" t="s">
        <v>4</v>
      </c>
      <c r="B216" s="16" t="s">
        <v>236</v>
      </c>
      <c r="C216" s="8">
        <f t="shared" ref="C216:N216" si="36">(((((((((((((((((((((((((C146)+(C147))+(C161))+(C162))+(C167))+(C168))+(C173))+(C174))+(C180))+(C181))+(C182))+(C183))+(C184))+(C187))+(C188))+(C195))+(C196))+(C202))+(C203))+(C204))+(C205))+(C206))+(C209))+(C210))+(C214))+(C215)</f>
        <v>177470.22999999998</v>
      </c>
      <c r="D216" s="8">
        <f t="shared" si="36"/>
        <v>148070.34</v>
      </c>
      <c r="E216" s="8">
        <f t="shared" si="36"/>
        <v>199605.2</v>
      </c>
      <c r="F216" s="8">
        <f t="shared" si="36"/>
        <v>226742.17</v>
      </c>
      <c r="G216" s="8">
        <f t="shared" si="36"/>
        <v>207229.19</v>
      </c>
      <c r="H216" s="8">
        <f t="shared" si="36"/>
        <v>197655.66999999998</v>
      </c>
      <c r="I216" s="8">
        <f t="shared" si="36"/>
        <v>253690.52000000002</v>
      </c>
      <c r="J216" s="8">
        <f t="shared" si="36"/>
        <v>252579.1</v>
      </c>
      <c r="K216" s="8">
        <f t="shared" si="36"/>
        <v>185100.50000000003</v>
      </c>
      <c r="L216" s="8">
        <f t="shared" si="36"/>
        <v>304207.74000000005</v>
      </c>
      <c r="M216" s="8">
        <f t="shared" si="36"/>
        <v>254181.62999999998</v>
      </c>
      <c r="N216" s="8">
        <f t="shared" si="36"/>
        <v>539207.19000000006</v>
      </c>
    </row>
    <row r="217" spans="1:14" x14ac:dyDescent="0.2">
      <c r="A217" s="13" t="s">
        <v>367</v>
      </c>
      <c r="B217" s="16" t="s">
        <v>237</v>
      </c>
      <c r="C217" s="7">
        <f>-14.18</f>
        <v>-14.18</v>
      </c>
      <c r="D217" s="7">
        <f>-10.1</f>
        <v>-10.1</v>
      </c>
      <c r="E217" s="7">
        <f>-14.3</f>
        <v>-14.3</v>
      </c>
      <c r="F217" s="7">
        <f>-20.02</f>
        <v>-20.02</v>
      </c>
      <c r="G217" s="7">
        <f>-19.02</f>
        <v>-19.02</v>
      </c>
      <c r="H217" s="7">
        <f>-13.94</f>
        <v>-13.94</v>
      </c>
      <c r="I217" s="7">
        <f>-12.42</f>
        <v>-12.42</v>
      </c>
      <c r="J217" s="7">
        <f>-7.44</f>
        <v>-7.44</v>
      </c>
      <c r="K217" s="7">
        <f>5629.34</f>
        <v>5629.34</v>
      </c>
      <c r="L217" s="7">
        <f>20091.41</f>
        <v>20091.41</v>
      </c>
      <c r="M217" s="7">
        <f>18179.98</f>
        <v>18179.98</v>
      </c>
      <c r="N217" s="7">
        <f>13333.79</f>
        <v>13333.79</v>
      </c>
    </row>
    <row r="218" spans="1:14" x14ac:dyDescent="0.2">
      <c r="A218" s="13" t="s">
        <v>17</v>
      </c>
      <c r="B218" s="16" t="s">
        <v>238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 s="13" t="s">
        <v>366</v>
      </c>
      <c r="B219" s="16" t="s">
        <v>239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7">
        <f>35.97</f>
        <v>35.97</v>
      </c>
      <c r="N219" s="7">
        <f>1200.4</f>
        <v>1200.4000000000001</v>
      </c>
    </row>
    <row r="220" spans="1:14" x14ac:dyDescent="0.2">
      <c r="B220" s="5" t="s">
        <v>10</v>
      </c>
      <c r="C220" s="8">
        <f t="shared" ref="C220:N220" si="37">((((((C70)+(C112))+(C145))+(C216))+(C217))+(C218))+(C219)</f>
        <v>891083.86</v>
      </c>
      <c r="D220" s="8">
        <f t="shared" si="37"/>
        <v>1036275.46</v>
      </c>
      <c r="E220" s="8">
        <f t="shared" si="37"/>
        <v>1308532.3900000001</v>
      </c>
      <c r="F220" s="8">
        <f t="shared" si="37"/>
        <v>1654755.23</v>
      </c>
      <c r="G220" s="8">
        <f t="shared" si="37"/>
        <v>1229372.32</v>
      </c>
      <c r="H220" s="8">
        <f t="shared" si="37"/>
        <v>1443739.1</v>
      </c>
      <c r="I220" s="8">
        <f t="shared" si="37"/>
        <v>1491567.65</v>
      </c>
      <c r="J220" s="8">
        <f t="shared" si="37"/>
        <v>1518527.29</v>
      </c>
      <c r="K220" s="8">
        <f t="shared" si="37"/>
        <v>1499159.6</v>
      </c>
      <c r="L220" s="8">
        <f t="shared" si="37"/>
        <v>2528828.3500000006</v>
      </c>
      <c r="M220" s="8">
        <f t="shared" si="37"/>
        <v>1725335.5699999998</v>
      </c>
      <c r="N220" s="8">
        <f t="shared" si="37"/>
        <v>3868529.7199999997</v>
      </c>
    </row>
    <row r="221" spans="1:14" x14ac:dyDescent="0.2">
      <c r="B221" s="5" t="s">
        <v>9</v>
      </c>
      <c r="C221" s="8">
        <f t="shared" ref="C221:N221" si="38">(C37)-(C220)</f>
        <v>-190299.57999999996</v>
      </c>
      <c r="D221" s="8">
        <f t="shared" si="38"/>
        <v>-467269.92999999993</v>
      </c>
      <c r="E221" s="8">
        <f t="shared" si="38"/>
        <v>-688003.5700000003</v>
      </c>
      <c r="F221" s="8">
        <f t="shared" si="38"/>
        <v>-1014780.0599999998</v>
      </c>
      <c r="G221" s="8">
        <f t="shared" si="38"/>
        <v>-565824.36</v>
      </c>
      <c r="H221" s="8">
        <f t="shared" si="38"/>
        <v>-719644.71</v>
      </c>
      <c r="I221" s="8">
        <f t="shared" si="38"/>
        <v>-841449.15</v>
      </c>
      <c r="J221" s="8">
        <f t="shared" si="38"/>
        <v>-738105.52000000014</v>
      </c>
      <c r="K221" s="8">
        <f t="shared" si="38"/>
        <v>-448426.43999999994</v>
      </c>
      <c r="L221" s="8">
        <f t="shared" si="38"/>
        <v>-1599423.5300000005</v>
      </c>
      <c r="M221" s="8">
        <f t="shared" si="38"/>
        <v>-546761.26999999979</v>
      </c>
      <c r="N221" s="8">
        <f t="shared" si="38"/>
        <v>-2931581.53</v>
      </c>
    </row>
    <row r="222" spans="1:14" x14ac:dyDescent="0.2">
      <c r="B222" s="5" t="s">
        <v>240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B223" s="5" t="s">
        <v>241</v>
      </c>
      <c r="C223" s="7">
        <f>44609.25</f>
        <v>44609.25</v>
      </c>
      <c r="D223" s="7">
        <f>45811.88</f>
        <v>45811.88</v>
      </c>
      <c r="E223" s="7">
        <f>39645.04</f>
        <v>39645.040000000001</v>
      </c>
      <c r="F223" s="7">
        <f>42343.94</f>
        <v>42343.94</v>
      </c>
      <c r="G223" s="7">
        <f>39294.7</f>
        <v>39294.699999999997</v>
      </c>
      <c r="H223" s="7">
        <f>38892.99</f>
        <v>38892.99</v>
      </c>
      <c r="I223" s="7">
        <f>38939.24</f>
        <v>38939.24</v>
      </c>
      <c r="J223" s="7">
        <f>37929.07</f>
        <v>37929.07</v>
      </c>
      <c r="K223" s="7">
        <f>32183.03</f>
        <v>32183.03</v>
      </c>
      <c r="L223" s="7">
        <f>55314.19</f>
        <v>55314.19</v>
      </c>
      <c r="M223" s="7">
        <f>21703.93</f>
        <v>21703.93</v>
      </c>
      <c r="N223" s="6"/>
    </row>
    <row r="224" spans="1:14" x14ac:dyDescent="0.2">
      <c r="B224" s="5" t="s">
        <v>242</v>
      </c>
      <c r="C224" s="6"/>
      <c r="D224" s="7">
        <f>-2594.4</f>
        <v>-2594.4</v>
      </c>
      <c r="E224" s="7">
        <f>0</f>
        <v>0</v>
      </c>
      <c r="F224" s="7">
        <f>0.01</f>
        <v>0.01</v>
      </c>
      <c r="G224" s="6"/>
      <c r="H224" s="6"/>
      <c r="I224" s="6"/>
      <c r="J224" s="6"/>
      <c r="K224" s="7">
        <f>15000</f>
        <v>15000</v>
      </c>
      <c r="L224" s="7">
        <f>-15000</f>
        <v>-15000</v>
      </c>
      <c r="M224" s="6"/>
      <c r="N224" s="6"/>
    </row>
    <row r="225" spans="1:14" x14ac:dyDescent="0.2">
      <c r="B225" s="17" t="s">
        <v>243</v>
      </c>
      <c r="C225" s="8">
        <f t="shared" ref="C225:N225" si="39">(C223)+(C224)</f>
        <v>44609.25</v>
      </c>
      <c r="D225" s="8">
        <f t="shared" si="39"/>
        <v>43217.479999999996</v>
      </c>
      <c r="E225" s="8">
        <f t="shared" si="39"/>
        <v>39645.040000000001</v>
      </c>
      <c r="F225" s="8">
        <f t="shared" si="39"/>
        <v>42343.950000000004</v>
      </c>
      <c r="G225" s="8">
        <f t="shared" si="39"/>
        <v>39294.699999999997</v>
      </c>
      <c r="H225" s="8">
        <f t="shared" si="39"/>
        <v>38892.99</v>
      </c>
      <c r="I225" s="8">
        <f t="shared" si="39"/>
        <v>38939.24</v>
      </c>
      <c r="J225" s="8">
        <f t="shared" si="39"/>
        <v>37929.07</v>
      </c>
      <c r="K225" s="8">
        <f t="shared" si="39"/>
        <v>47183.03</v>
      </c>
      <c r="L225" s="8">
        <f t="shared" si="39"/>
        <v>40314.19</v>
      </c>
      <c r="M225" s="8">
        <f t="shared" si="39"/>
        <v>21703.93</v>
      </c>
      <c r="N225" s="8">
        <f t="shared" si="39"/>
        <v>0</v>
      </c>
    </row>
    <row r="226" spans="1:14" x14ac:dyDescent="0.2">
      <c r="B226" s="17" t="s">
        <v>244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B227" s="17" t="s">
        <v>245</v>
      </c>
      <c r="C227" s="7">
        <f>11.75</f>
        <v>11.75</v>
      </c>
      <c r="D227" s="7">
        <f>15439.18</f>
        <v>15439.18</v>
      </c>
      <c r="E227" s="7">
        <f>-13139.18</f>
        <v>-13139.18</v>
      </c>
      <c r="F227" s="7">
        <f>917.73</f>
        <v>917.73</v>
      </c>
      <c r="G227" s="7">
        <f>851.13</f>
        <v>851.13</v>
      </c>
      <c r="H227" s="7">
        <f>657.01</f>
        <v>657.01</v>
      </c>
      <c r="I227" s="7">
        <f>530.14</f>
        <v>530.14</v>
      </c>
      <c r="J227" s="7">
        <f>405.78</f>
        <v>405.78</v>
      </c>
      <c r="K227" s="7">
        <f>399.99</f>
        <v>399.99</v>
      </c>
      <c r="L227" s="7">
        <f>400</f>
        <v>400</v>
      </c>
      <c r="M227" s="7">
        <f>400.25</f>
        <v>400.25</v>
      </c>
      <c r="N227" s="7">
        <f>400</f>
        <v>400</v>
      </c>
    </row>
    <row r="228" spans="1:14" x14ac:dyDescent="0.2">
      <c r="B228" s="17" t="s">
        <v>246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B229" s="17" t="s">
        <v>247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B230" s="17" t="s">
        <v>248</v>
      </c>
      <c r="C230" s="8">
        <f t="shared" ref="C230:N230" si="40">((C227)+(C228))+(C229)</f>
        <v>11.75</v>
      </c>
      <c r="D230" s="8">
        <f t="shared" si="40"/>
        <v>15439.18</v>
      </c>
      <c r="E230" s="8">
        <f t="shared" si="40"/>
        <v>-13139.18</v>
      </c>
      <c r="F230" s="8">
        <f t="shared" si="40"/>
        <v>917.73</v>
      </c>
      <c r="G230" s="8">
        <f t="shared" si="40"/>
        <v>851.13</v>
      </c>
      <c r="H230" s="8">
        <f t="shared" si="40"/>
        <v>657.01</v>
      </c>
      <c r="I230" s="8">
        <f t="shared" si="40"/>
        <v>530.14</v>
      </c>
      <c r="J230" s="8">
        <f t="shared" si="40"/>
        <v>405.78</v>
      </c>
      <c r="K230" s="8">
        <f t="shared" si="40"/>
        <v>399.99</v>
      </c>
      <c r="L230" s="8">
        <f t="shared" si="40"/>
        <v>400</v>
      </c>
      <c r="M230" s="8">
        <f t="shared" si="40"/>
        <v>400.25</v>
      </c>
      <c r="N230" s="8">
        <f t="shared" si="40"/>
        <v>400</v>
      </c>
    </row>
    <row r="231" spans="1:14" x14ac:dyDescent="0.2">
      <c r="A231" s="13" t="str">
        <f>+B231</f>
        <v>Net Other Income</v>
      </c>
      <c r="B231" s="16" t="s">
        <v>249</v>
      </c>
      <c r="C231" s="8">
        <f t="shared" ref="C231:N231" si="41">(C225)-(C230)</f>
        <v>44597.5</v>
      </c>
      <c r="D231" s="8">
        <f t="shared" si="41"/>
        <v>27778.299999999996</v>
      </c>
      <c r="E231" s="8">
        <f t="shared" si="41"/>
        <v>52784.22</v>
      </c>
      <c r="F231" s="8">
        <f t="shared" si="41"/>
        <v>41426.22</v>
      </c>
      <c r="G231" s="8">
        <f t="shared" si="41"/>
        <v>38443.57</v>
      </c>
      <c r="H231" s="8">
        <f t="shared" si="41"/>
        <v>38235.979999999996</v>
      </c>
      <c r="I231" s="8">
        <f t="shared" si="41"/>
        <v>38409.1</v>
      </c>
      <c r="J231" s="8">
        <f t="shared" si="41"/>
        <v>37523.29</v>
      </c>
      <c r="K231" s="8">
        <f t="shared" si="41"/>
        <v>46783.040000000001</v>
      </c>
      <c r="L231" s="8">
        <f t="shared" si="41"/>
        <v>39914.19</v>
      </c>
      <c r="M231" s="8">
        <f t="shared" si="41"/>
        <v>21303.68</v>
      </c>
      <c r="N231" s="8">
        <f t="shared" si="41"/>
        <v>-400</v>
      </c>
    </row>
    <row r="232" spans="1:14" x14ac:dyDescent="0.2">
      <c r="B232" s="5" t="s">
        <v>5</v>
      </c>
      <c r="C232" s="8">
        <f t="shared" ref="C232:N232" si="42">(C221)+(C231)</f>
        <v>-145702.07999999996</v>
      </c>
      <c r="D232" s="8">
        <f t="shared" si="42"/>
        <v>-439491.62999999995</v>
      </c>
      <c r="E232" s="8">
        <f t="shared" si="42"/>
        <v>-635219.35000000033</v>
      </c>
      <c r="F232" s="8">
        <f t="shared" si="42"/>
        <v>-973353.83999999985</v>
      </c>
      <c r="G232" s="8">
        <f t="shared" si="42"/>
        <v>-527380.79</v>
      </c>
      <c r="H232" s="8">
        <f t="shared" si="42"/>
        <v>-681408.73</v>
      </c>
      <c r="I232" s="8">
        <f t="shared" si="42"/>
        <v>-803040.05</v>
      </c>
      <c r="J232" s="8">
        <f t="shared" si="42"/>
        <v>-700582.2300000001</v>
      </c>
      <c r="K232" s="8">
        <f t="shared" si="42"/>
        <v>-401643.39999999997</v>
      </c>
      <c r="L232" s="8">
        <f t="shared" si="42"/>
        <v>-1559509.3400000005</v>
      </c>
      <c r="M232" s="8">
        <f t="shared" si="42"/>
        <v>-525457.58999999973</v>
      </c>
      <c r="N232" s="8">
        <f t="shared" si="42"/>
        <v>-2931981.53</v>
      </c>
    </row>
    <row r="233" spans="1:14" x14ac:dyDescent="0.2">
      <c r="A233" s="11" t="s">
        <v>0</v>
      </c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6" spans="1:14" x14ac:dyDescent="0.2">
      <c r="B236" s="14" t="s">
        <v>250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0BDA-F2A6-5943-9016-53306BADEAD9}">
  <dimension ref="A1:E236"/>
  <sheetViews>
    <sheetView zoomScaleNormal="100" workbookViewId="0">
      <pane xSplit="2" ySplit="1" topLeftCell="C2" activePane="bottomRight" state="frozen"/>
      <selection activeCell="N236" sqref="N236"/>
      <selection pane="topRight" activeCell="N236" sqref="N236"/>
      <selection pane="bottomLeft" activeCell="N236" sqref="N236"/>
      <selection pane="bottomRight" activeCell="F6" sqref="F6"/>
    </sheetView>
  </sheetViews>
  <sheetFormatPr baseColWidth="10" defaultColWidth="9.1640625" defaultRowHeight="15" x14ac:dyDescent="0.2"/>
  <cols>
    <col min="1" max="1" width="19.5" style="11" bestFit="1" customWidth="1"/>
    <col min="2" max="2" width="54.1640625" style="11" customWidth="1"/>
    <col min="3" max="5" width="12" style="11" customWidth="1"/>
    <col min="6" max="16384" width="9.1640625" style="11"/>
  </cols>
  <sheetData>
    <row r="1" spans="1:5" x14ac:dyDescent="0.2">
      <c r="A1" s="11" t="s">
        <v>394</v>
      </c>
      <c r="B1" s="3"/>
      <c r="C1" s="31">
        <v>43831</v>
      </c>
      <c r="D1" s="31">
        <v>43862</v>
      </c>
      <c r="E1" s="31">
        <v>43891</v>
      </c>
    </row>
    <row r="2" spans="1:5" x14ac:dyDescent="0.2">
      <c r="B2" s="5" t="s">
        <v>14</v>
      </c>
      <c r="C2" s="6"/>
      <c r="D2" s="6"/>
      <c r="E2" s="6"/>
    </row>
    <row r="3" spans="1:5" x14ac:dyDescent="0.2">
      <c r="B3" s="5" t="s">
        <v>28</v>
      </c>
      <c r="C3" s="6"/>
      <c r="D3" s="6"/>
      <c r="E3" s="6"/>
    </row>
    <row r="4" spans="1:5" x14ac:dyDescent="0.2">
      <c r="A4" s="13" t="s">
        <v>16</v>
      </c>
      <c r="B4" s="5" t="s">
        <v>29</v>
      </c>
      <c r="C4" s="7">
        <f>2530</f>
        <v>2530</v>
      </c>
      <c r="D4" s="7">
        <f>2530</f>
        <v>2530</v>
      </c>
      <c r="E4" s="7">
        <f>2530</f>
        <v>2530</v>
      </c>
    </row>
    <row r="5" spans="1:5" x14ac:dyDescent="0.2">
      <c r="A5" s="13" t="s">
        <v>16</v>
      </c>
      <c r="B5" s="5" t="s">
        <v>30</v>
      </c>
      <c r="C5" s="7">
        <f>10120</f>
        <v>10120</v>
      </c>
      <c r="D5" s="7">
        <f>10120</f>
        <v>10120</v>
      </c>
      <c r="E5" s="7">
        <f>10120</f>
        <v>10120</v>
      </c>
    </row>
    <row r="6" spans="1:5" x14ac:dyDescent="0.2">
      <c r="A6" s="13" t="s">
        <v>15</v>
      </c>
      <c r="B6" s="5" t="s">
        <v>31</v>
      </c>
      <c r="C6" s="7">
        <f>168833.09</f>
        <v>168833.09</v>
      </c>
      <c r="D6" s="7">
        <f>159824.75</f>
        <v>159824.75</v>
      </c>
      <c r="E6" s="7">
        <f>194474.97</f>
        <v>194474.97</v>
      </c>
    </row>
    <row r="7" spans="1:5" x14ac:dyDescent="0.2">
      <c r="A7" s="13" t="s">
        <v>16</v>
      </c>
      <c r="B7" s="5" t="s">
        <v>32</v>
      </c>
      <c r="C7" s="7">
        <f>1774239.44</f>
        <v>1774239.44</v>
      </c>
      <c r="D7" s="7">
        <f>1793947.05</f>
        <v>1793947.05</v>
      </c>
      <c r="E7" s="7">
        <f>1897319.83</f>
        <v>1897319.83</v>
      </c>
    </row>
    <row r="8" spans="1:5" x14ac:dyDescent="0.2">
      <c r="A8" s="13" t="s">
        <v>15</v>
      </c>
      <c r="B8" s="5" t="s">
        <v>33</v>
      </c>
      <c r="C8" s="7">
        <f>7000</f>
        <v>7000</v>
      </c>
      <c r="D8" s="7">
        <f>4000</f>
        <v>4000</v>
      </c>
      <c r="E8" s="7">
        <f>-14500</f>
        <v>-14500</v>
      </c>
    </row>
    <row r="9" spans="1:5" x14ac:dyDescent="0.2">
      <c r="A9" s="13" t="s">
        <v>16</v>
      </c>
      <c r="B9" s="5" t="s">
        <v>34</v>
      </c>
      <c r="C9" s="6"/>
      <c r="D9" s="6"/>
      <c r="E9" s="6"/>
    </row>
    <row r="10" spans="1:5" x14ac:dyDescent="0.2">
      <c r="B10" s="5" t="s">
        <v>35</v>
      </c>
      <c r="C10" s="8">
        <f t="shared" ref="C10:E10" si="0">((((((C3)+(C4))+(C5))+(C6))+(C7))+(C8))+(C9)</f>
        <v>1962722.53</v>
      </c>
      <c r="D10" s="8">
        <f t="shared" si="0"/>
        <v>1970421.8</v>
      </c>
      <c r="E10" s="8">
        <f t="shared" si="0"/>
        <v>2089944.8000000003</v>
      </c>
    </row>
    <row r="11" spans="1:5" x14ac:dyDescent="0.2">
      <c r="B11" s="16" t="s">
        <v>13</v>
      </c>
      <c r="C11" s="8">
        <f t="shared" ref="C11:E11" si="1">C10</f>
        <v>1962722.53</v>
      </c>
      <c r="D11" s="8">
        <f t="shared" si="1"/>
        <v>1970421.8</v>
      </c>
      <c r="E11" s="8">
        <f t="shared" si="1"/>
        <v>2089944.8000000003</v>
      </c>
    </row>
    <row r="12" spans="1:5" x14ac:dyDescent="0.2">
      <c r="B12" s="5" t="s">
        <v>12</v>
      </c>
      <c r="C12" s="6"/>
      <c r="D12" s="6"/>
      <c r="E12" s="6"/>
    </row>
    <row r="13" spans="1:5" x14ac:dyDescent="0.2">
      <c r="B13" s="5" t="s">
        <v>36</v>
      </c>
      <c r="C13" s="6"/>
      <c r="D13" s="6"/>
      <c r="E13" s="6"/>
    </row>
    <row r="14" spans="1:5" x14ac:dyDescent="0.2">
      <c r="B14" s="5" t="s">
        <v>37</v>
      </c>
      <c r="C14" s="7">
        <f>173283.65</f>
        <v>173283.65</v>
      </c>
      <c r="D14" s="7">
        <f>171834.4</f>
        <v>171834.4</v>
      </c>
      <c r="E14" s="7">
        <f>207718.45</f>
        <v>207718.45</v>
      </c>
    </row>
    <row r="15" spans="1:5" x14ac:dyDescent="0.2">
      <c r="B15" s="5" t="s">
        <v>38</v>
      </c>
      <c r="C15" s="7">
        <f>2535.67</f>
        <v>2535.67</v>
      </c>
      <c r="D15" s="7">
        <f>2235.04</f>
        <v>2235.04</v>
      </c>
      <c r="E15" s="7">
        <f>2235.04</f>
        <v>2235.04</v>
      </c>
    </row>
    <row r="16" spans="1:5" x14ac:dyDescent="0.2">
      <c r="B16" s="5" t="s">
        <v>39</v>
      </c>
      <c r="C16" s="6"/>
      <c r="D16" s="6"/>
      <c r="E16" s="6"/>
    </row>
    <row r="17" spans="2:5" x14ac:dyDescent="0.2">
      <c r="B17" s="5" t="s">
        <v>40</v>
      </c>
      <c r="C17" s="7">
        <f>223.72</f>
        <v>223.72</v>
      </c>
      <c r="D17" s="6"/>
      <c r="E17" s="6"/>
    </row>
    <row r="18" spans="2:5" x14ac:dyDescent="0.2">
      <c r="B18" s="15" t="s">
        <v>41</v>
      </c>
      <c r="C18" s="8">
        <f t="shared" ref="C18:E18" si="2">(C16)+(C17)</f>
        <v>223.72</v>
      </c>
      <c r="D18" s="8">
        <f t="shared" si="2"/>
        <v>0</v>
      </c>
      <c r="E18" s="8">
        <f t="shared" si="2"/>
        <v>0</v>
      </c>
    </row>
    <row r="19" spans="2:5" x14ac:dyDescent="0.2">
      <c r="B19" s="5" t="s">
        <v>42</v>
      </c>
      <c r="C19" s="6"/>
      <c r="D19" s="6"/>
      <c r="E19" s="6"/>
    </row>
    <row r="20" spans="2:5" x14ac:dyDescent="0.2">
      <c r="B20" s="5" t="s">
        <v>43</v>
      </c>
      <c r="C20" s="7">
        <f>147146.82</f>
        <v>147146.82</v>
      </c>
      <c r="D20" s="7">
        <f>142733.08</f>
        <v>142733.07999999999</v>
      </c>
      <c r="E20" s="7">
        <f>190048.79</f>
        <v>190048.79</v>
      </c>
    </row>
    <row r="21" spans="2:5" x14ac:dyDescent="0.2">
      <c r="B21" s="5" t="s">
        <v>44</v>
      </c>
      <c r="C21" s="7">
        <f>14535</f>
        <v>14535</v>
      </c>
      <c r="D21" s="7">
        <f>0</f>
        <v>0</v>
      </c>
      <c r="E21" s="7">
        <f>4900</f>
        <v>4900</v>
      </c>
    </row>
    <row r="22" spans="2:5" x14ac:dyDescent="0.2">
      <c r="B22" s="5" t="s">
        <v>45</v>
      </c>
      <c r="C22" s="6"/>
      <c r="D22" s="6"/>
      <c r="E22" s="6"/>
    </row>
    <row r="23" spans="2:5" x14ac:dyDescent="0.2">
      <c r="B23" s="5" t="s">
        <v>46</v>
      </c>
      <c r="C23" s="7">
        <f>-19340.7</f>
        <v>-19340.7</v>
      </c>
      <c r="D23" s="7">
        <f>5388.99</f>
        <v>5388.99</v>
      </c>
      <c r="E23" s="7">
        <f>16509.16</f>
        <v>16509.16</v>
      </c>
    </row>
    <row r="24" spans="2:5" x14ac:dyDescent="0.2">
      <c r="B24" s="5" t="s">
        <v>47</v>
      </c>
      <c r="C24" s="7">
        <f>11832.13</f>
        <v>11832.13</v>
      </c>
      <c r="D24" s="7">
        <f>9931.79</f>
        <v>9931.7900000000009</v>
      </c>
      <c r="E24" s="7">
        <f>13875.02</f>
        <v>13875.02</v>
      </c>
    </row>
    <row r="25" spans="2:5" x14ac:dyDescent="0.2">
      <c r="B25" s="5" t="s">
        <v>48</v>
      </c>
      <c r="C25" s="7">
        <f>6811.67</f>
        <v>6811.67</v>
      </c>
      <c r="D25" s="7">
        <f>7874.72</f>
        <v>7874.72</v>
      </c>
      <c r="E25" s="7">
        <f>9837.07</f>
        <v>9837.07</v>
      </c>
    </row>
    <row r="26" spans="2:5" x14ac:dyDescent="0.2">
      <c r="B26" s="5" t="s">
        <v>49</v>
      </c>
      <c r="C26" s="7">
        <f>136.97</f>
        <v>136.97</v>
      </c>
      <c r="D26" s="7">
        <f>162.79</f>
        <v>162.79</v>
      </c>
      <c r="E26" s="7">
        <f>205.26</f>
        <v>205.26</v>
      </c>
    </row>
    <row r="27" spans="2:5" x14ac:dyDescent="0.2">
      <c r="B27" s="15" t="s">
        <v>50</v>
      </c>
      <c r="C27" s="8">
        <f t="shared" ref="C27:E27" si="3">(((((((C19)+(C20))+(C21))+(C22))+(C23))+(C24))+(C25))+(C26)</f>
        <v>161121.89000000001</v>
      </c>
      <c r="D27" s="8">
        <f t="shared" si="3"/>
        <v>166091.37</v>
      </c>
      <c r="E27" s="8">
        <f t="shared" si="3"/>
        <v>235375.30000000002</v>
      </c>
    </row>
    <row r="28" spans="2:5" x14ac:dyDescent="0.2">
      <c r="B28" s="5" t="s">
        <v>51</v>
      </c>
      <c r="C28" s="6"/>
      <c r="D28" s="6"/>
      <c r="E28" s="6"/>
    </row>
    <row r="29" spans="2:5" x14ac:dyDescent="0.2">
      <c r="B29" s="5" t="s">
        <v>52</v>
      </c>
      <c r="C29" s="6"/>
      <c r="D29" s="6"/>
      <c r="E29" s="6"/>
    </row>
    <row r="30" spans="2:5" x14ac:dyDescent="0.2">
      <c r="B30" s="5" t="s">
        <v>53</v>
      </c>
      <c r="C30" s="7">
        <f>6401.37</f>
        <v>6401.37</v>
      </c>
      <c r="D30" s="7">
        <f>8249.95</f>
        <v>8249.9500000000007</v>
      </c>
      <c r="E30" s="7">
        <f>7028.41</f>
        <v>7028.41</v>
      </c>
    </row>
    <row r="31" spans="2:5" x14ac:dyDescent="0.2">
      <c r="B31" s="5" t="s">
        <v>54</v>
      </c>
      <c r="C31" s="7">
        <f>4062.47</f>
        <v>4062.47</v>
      </c>
      <c r="D31" s="7">
        <f>3244.82</f>
        <v>3244.82</v>
      </c>
      <c r="E31" s="7">
        <f>5579.66</f>
        <v>5579.66</v>
      </c>
    </row>
    <row r="32" spans="2:5" x14ac:dyDescent="0.2">
      <c r="B32" s="5" t="s">
        <v>55</v>
      </c>
      <c r="C32" s="7">
        <f>1325.22</f>
        <v>1325.22</v>
      </c>
      <c r="D32" s="7">
        <f>517.72</f>
        <v>517.72</v>
      </c>
      <c r="E32" s="7">
        <f>899.06</f>
        <v>899.06</v>
      </c>
    </row>
    <row r="33" spans="1:5" x14ac:dyDescent="0.2">
      <c r="B33" s="15" t="s">
        <v>56</v>
      </c>
      <c r="C33" s="8">
        <f t="shared" ref="C33:E33" si="4">(((C29)+(C30))+(C31))+(C32)</f>
        <v>11789.06</v>
      </c>
      <c r="D33" s="8">
        <f t="shared" si="4"/>
        <v>12012.49</v>
      </c>
      <c r="E33" s="8">
        <f t="shared" si="4"/>
        <v>13507.13</v>
      </c>
    </row>
    <row r="34" spans="1:5" x14ac:dyDescent="0.2">
      <c r="B34" s="15" t="s">
        <v>57</v>
      </c>
      <c r="C34" s="6"/>
      <c r="D34" s="6"/>
      <c r="E34" s="6"/>
    </row>
    <row r="35" spans="1:5" x14ac:dyDescent="0.2">
      <c r="B35" s="5" t="s">
        <v>58</v>
      </c>
      <c r="C35" s="8">
        <f t="shared" ref="C35:E35" si="5">(((((((C13)+(C14))+(C15))+(C18))+(C27))+(C28))+(C33))+(C34)</f>
        <v>348953.99000000005</v>
      </c>
      <c r="D35" s="8">
        <f t="shared" si="5"/>
        <v>352173.3</v>
      </c>
      <c r="E35" s="8">
        <f t="shared" si="5"/>
        <v>458835.92000000004</v>
      </c>
    </row>
    <row r="36" spans="1:5" x14ac:dyDescent="0.2">
      <c r="A36" s="13" t="s">
        <v>7</v>
      </c>
      <c r="B36" s="16" t="s">
        <v>11</v>
      </c>
      <c r="C36" s="8">
        <f t="shared" ref="C36:E36" si="6">C35</f>
        <v>348953.99000000005</v>
      </c>
      <c r="D36" s="8">
        <f t="shared" si="6"/>
        <v>352173.3</v>
      </c>
      <c r="E36" s="8">
        <f t="shared" si="6"/>
        <v>458835.92000000004</v>
      </c>
    </row>
    <row r="37" spans="1:5" x14ac:dyDescent="0.2">
      <c r="B37" s="5" t="s">
        <v>3</v>
      </c>
      <c r="C37" s="8">
        <f t="shared" ref="C37:E37" si="7">(C11)-(C36)</f>
        <v>1613768.54</v>
      </c>
      <c r="D37" s="8">
        <f t="shared" si="7"/>
        <v>1618248.5</v>
      </c>
      <c r="E37" s="8">
        <f t="shared" si="7"/>
        <v>1631108.8800000004</v>
      </c>
    </row>
    <row r="38" spans="1:5" x14ac:dyDescent="0.2">
      <c r="B38" s="5" t="s">
        <v>2</v>
      </c>
      <c r="C38" s="6"/>
      <c r="D38" s="6"/>
      <c r="E38" s="6"/>
    </row>
    <row r="39" spans="1:5" x14ac:dyDescent="0.2">
      <c r="B39" s="5" t="s">
        <v>59</v>
      </c>
      <c r="C39" s="6"/>
      <c r="D39" s="6"/>
      <c r="E39" s="6"/>
    </row>
    <row r="40" spans="1:5" x14ac:dyDescent="0.2">
      <c r="B40" s="5" t="s">
        <v>60</v>
      </c>
      <c r="C40" s="6"/>
      <c r="D40" s="6"/>
      <c r="E40" s="6"/>
    </row>
    <row r="41" spans="1:5" x14ac:dyDescent="0.2">
      <c r="B41" s="5" t="s">
        <v>61</v>
      </c>
      <c r="C41" s="6"/>
      <c r="D41" s="6"/>
      <c r="E41" s="6"/>
    </row>
    <row r="42" spans="1:5" x14ac:dyDescent="0.2">
      <c r="B42" s="5" t="s">
        <v>62</v>
      </c>
      <c r="C42" s="7">
        <f>369024.96</f>
        <v>369024.96</v>
      </c>
      <c r="D42" s="7">
        <f>373709.59</f>
        <v>373709.59</v>
      </c>
      <c r="E42" s="7">
        <f>438649.83</f>
        <v>438649.83</v>
      </c>
    </row>
    <row r="43" spans="1:5" x14ac:dyDescent="0.2">
      <c r="B43" s="5" t="s">
        <v>63</v>
      </c>
      <c r="C43" s="7">
        <f>17965</f>
        <v>17965</v>
      </c>
      <c r="D43" s="7">
        <f>0</f>
        <v>0</v>
      </c>
      <c r="E43" s="7">
        <f>16681.25</f>
        <v>16681.25</v>
      </c>
    </row>
    <row r="44" spans="1:5" x14ac:dyDescent="0.2">
      <c r="B44" s="5" t="s">
        <v>64</v>
      </c>
      <c r="C44" s="6"/>
      <c r="D44" s="6"/>
      <c r="E44" s="6"/>
    </row>
    <row r="45" spans="1:5" x14ac:dyDescent="0.2">
      <c r="B45" s="5" t="s">
        <v>65</v>
      </c>
      <c r="C45" s="7">
        <f>7271.7</f>
        <v>7271.7</v>
      </c>
      <c r="D45" s="7">
        <f>-3355.78</f>
        <v>-3355.78</v>
      </c>
      <c r="E45" s="7">
        <f>7010.59</f>
        <v>7010.59</v>
      </c>
    </row>
    <row r="46" spans="1:5" x14ac:dyDescent="0.2">
      <c r="B46" s="5" t="s">
        <v>66</v>
      </c>
      <c r="C46" s="6"/>
      <c r="D46" s="6"/>
      <c r="E46" s="6"/>
    </row>
    <row r="47" spans="1:5" x14ac:dyDescent="0.2">
      <c r="B47" s="5" t="s">
        <v>67</v>
      </c>
      <c r="C47" s="6"/>
      <c r="D47" s="6"/>
      <c r="E47" s="6"/>
    </row>
    <row r="48" spans="1:5" x14ac:dyDescent="0.2">
      <c r="B48" s="5" t="s">
        <v>68</v>
      </c>
      <c r="C48" s="8">
        <f t="shared" ref="C48:E48" si="8">((((((C41)+(C42))+(C43))+(C44))+(C45))+(C46))+(C47)</f>
        <v>394261.66000000003</v>
      </c>
      <c r="D48" s="8">
        <f t="shared" si="8"/>
        <v>370353.81</v>
      </c>
      <c r="E48" s="8">
        <f t="shared" si="8"/>
        <v>462341.67000000004</v>
      </c>
    </row>
    <row r="49" spans="2:5" x14ac:dyDescent="0.2">
      <c r="B49" s="5" t="s">
        <v>69</v>
      </c>
      <c r="C49" s="7">
        <f>30455.69</f>
        <v>30455.69</v>
      </c>
      <c r="D49" s="7">
        <f>27629.24</f>
        <v>27629.24</v>
      </c>
      <c r="E49" s="7">
        <f>33958.88</f>
        <v>33958.879999999997</v>
      </c>
    </row>
    <row r="50" spans="2:5" x14ac:dyDescent="0.2">
      <c r="B50" s="5" t="s">
        <v>70</v>
      </c>
      <c r="C50" s="7">
        <f>23170.17</f>
        <v>23170.17</v>
      </c>
      <c r="D50" s="7">
        <f>26401.39</f>
        <v>26401.39</v>
      </c>
      <c r="E50" s="7">
        <f>30035.87</f>
        <v>30035.87</v>
      </c>
    </row>
    <row r="51" spans="2:5" x14ac:dyDescent="0.2">
      <c r="B51" s="5" t="s">
        <v>71</v>
      </c>
      <c r="C51" s="7">
        <f>345.58</f>
        <v>345.58</v>
      </c>
      <c r="D51" s="7">
        <f>419.81</f>
        <v>419.81</v>
      </c>
      <c r="E51" s="7">
        <f>486.45</f>
        <v>486.45</v>
      </c>
    </row>
    <row r="52" spans="2:5" x14ac:dyDescent="0.2">
      <c r="B52" s="5" t="s">
        <v>72</v>
      </c>
      <c r="C52" s="6"/>
      <c r="D52" s="6"/>
      <c r="E52" s="6"/>
    </row>
    <row r="53" spans="2:5" x14ac:dyDescent="0.2">
      <c r="B53" s="5" t="s">
        <v>73</v>
      </c>
      <c r="C53" s="8">
        <f t="shared" ref="C53:E53" si="9">(((((C40)+(C48))+(C49))+(C50))+(C51))+(C52)</f>
        <v>448233.10000000003</v>
      </c>
      <c r="D53" s="8">
        <f t="shared" si="9"/>
        <v>424804.25</v>
      </c>
      <c r="E53" s="8">
        <f t="shared" si="9"/>
        <v>526822.87</v>
      </c>
    </row>
    <row r="54" spans="2:5" x14ac:dyDescent="0.2">
      <c r="B54" s="5" t="s">
        <v>74</v>
      </c>
      <c r="C54" s="7">
        <f>18270.57</f>
        <v>18270.57</v>
      </c>
      <c r="D54" s="7">
        <f>16921.63</f>
        <v>16921.63</v>
      </c>
      <c r="E54" s="7">
        <f>16994.19</f>
        <v>16994.189999999999</v>
      </c>
    </row>
    <row r="55" spans="2:5" x14ac:dyDescent="0.2">
      <c r="B55" s="5" t="s">
        <v>75</v>
      </c>
      <c r="C55" s="6"/>
      <c r="D55" s="6"/>
      <c r="E55" s="6"/>
    </row>
    <row r="56" spans="2:5" x14ac:dyDescent="0.2">
      <c r="B56" s="5" t="s">
        <v>76</v>
      </c>
      <c r="C56" s="7">
        <f>21</f>
        <v>21</v>
      </c>
      <c r="D56" s="6"/>
      <c r="E56" s="7">
        <f>21</f>
        <v>21</v>
      </c>
    </row>
    <row r="57" spans="2:5" x14ac:dyDescent="0.2">
      <c r="B57" s="5" t="s">
        <v>77</v>
      </c>
      <c r="C57" s="6"/>
      <c r="D57" s="6"/>
      <c r="E57" s="7">
        <f>104.78</f>
        <v>104.78</v>
      </c>
    </row>
    <row r="58" spans="2:5" x14ac:dyDescent="0.2">
      <c r="B58" s="5" t="s">
        <v>78</v>
      </c>
      <c r="C58" s="7">
        <f>61.01</f>
        <v>61.01</v>
      </c>
      <c r="D58" s="6"/>
      <c r="E58" s="6"/>
    </row>
    <row r="59" spans="2:5" x14ac:dyDescent="0.2">
      <c r="B59" s="5" t="s">
        <v>79</v>
      </c>
      <c r="C59" s="8">
        <f t="shared" ref="C59:E59" si="10">(((C55)+(C56))+(C57))+(C58)</f>
        <v>82.009999999999991</v>
      </c>
      <c r="D59" s="8">
        <f t="shared" si="10"/>
        <v>0</v>
      </c>
      <c r="E59" s="8">
        <f t="shared" si="10"/>
        <v>125.78</v>
      </c>
    </row>
    <row r="60" spans="2:5" x14ac:dyDescent="0.2">
      <c r="B60" s="5" t="s">
        <v>80</v>
      </c>
      <c r="C60" s="6"/>
      <c r="D60" s="6"/>
      <c r="E60" s="6"/>
    </row>
    <row r="61" spans="2:5" x14ac:dyDescent="0.2">
      <c r="B61" s="5" t="s">
        <v>81</v>
      </c>
      <c r="C61" s="7">
        <f>2359.95</f>
        <v>2359.9499999999998</v>
      </c>
      <c r="D61" s="7">
        <f>1395.31</f>
        <v>1395.31</v>
      </c>
      <c r="E61" s="7">
        <f>1652.37</f>
        <v>1652.37</v>
      </c>
    </row>
    <row r="62" spans="2:5" x14ac:dyDescent="0.2">
      <c r="B62" s="5" t="s">
        <v>82</v>
      </c>
      <c r="C62" s="7">
        <f>3010.9</f>
        <v>3010.9</v>
      </c>
      <c r="D62" s="7">
        <f>4242.67</f>
        <v>4242.67</v>
      </c>
      <c r="E62" s="7">
        <f>2690.53</f>
        <v>2690.53</v>
      </c>
    </row>
    <row r="63" spans="2:5" x14ac:dyDescent="0.2">
      <c r="B63" s="5" t="s">
        <v>83</v>
      </c>
      <c r="C63" s="8">
        <f t="shared" ref="C63:E63" si="11">((C60)+(C61))+(C62)</f>
        <v>5370.85</v>
      </c>
      <c r="D63" s="8">
        <f t="shared" si="11"/>
        <v>5637.98</v>
      </c>
      <c r="E63" s="8">
        <f t="shared" si="11"/>
        <v>4342.8999999999996</v>
      </c>
    </row>
    <row r="64" spans="2:5" x14ac:dyDescent="0.2">
      <c r="B64" s="5" t="s">
        <v>84</v>
      </c>
      <c r="C64" s="7">
        <f>4047.16</f>
        <v>4047.16</v>
      </c>
      <c r="D64" s="7">
        <f>427.81</f>
        <v>427.81</v>
      </c>
      <c r="E64" s="6"/>
    </row>
    <row r="65" spans="1:5" x14ac:dyDescent="0.2">
      <c r="B65" s="5" t="s">
        <v>85</v>
      </c>
      <c r="C65" s="6"/>
      <c r="D65" s="6"/>
      <c r="E65" s="6"/>
    </row>
    <row r="66" spans="1:5" x14ac:dyDescent="0.2">
      <c r="B66" s="5" t="s">
        <v>86</v>
      </c>
      <c r="C66" s="7">
        <f>1667.83</f>
        <v>1667.83</v>
      </c>
      <c r="D66" s="7">
        <f>1709.41</f>
        <v>1709.41</v>
      </c>
      <c r="E66" s="7">
        <f>2029.33</f>
        <v>2029.33</v>
      </c>
    </row>
    <row r="67" spans="1:5" x14ac:dyDescent="0.2">
      <c r="B67" s="5" t="s">
        <v>87</v>
      </c>
      <c r="C67" s="6"/>
      <c r="D67" s="6"/>
      <c r="E67" s="7">
        <f>300</f>
        <v>300</v>
      </c>
    </row>
    <row r="68" spans="1:5" x14ac:dyDescent="0.2">
      <c r="B68" s="5" t="s">
        <v>88</v>
      </c>
      <c r="C68" s="6"/>
      <c r="D68" s="6"/>
      <c r="E68" s="6"/>
    </row>
    <row r="69" spans="1:5" x14ac:dyDescent="0.2">
      <c r="B69" s="5" t="s">
        <v>89</v>
      </c>
      <c r="C69" s="7">
        <f>4620</f>
        <v>4620</v>
      </c>
      <c r="D69" s="7">
        <f>1540</f>
        <v>1540</v>
      </c>
      <c r="E69" s="7">
        <f>1540</f>
        <v>1540</v>
      </c>
    </row>
    <row r="70" spans="1:5" x14ac:dyDescent="0.2">
      <c r="A70" s="13" t="s">
        <v>6</v>
      </c>
      <c r="B70" s="16" t="s">
        <v>90</v>
      </c>
      <c r="C70" s="8">
        <f t="shared" ref="C70:E70" si="12">((((((((((C39)+(C53))+(C54))+(C59))+(C63))+(C64))+(C65))+(C66))+(C67))+(C68))+(C69)</f>
        <v>482291.52</v>
      </c>
      <c r="D70" s="8">
        <f t="shared" si="12"/>
        <v>451041.07999999996</v>
      </c>
      <c r="E70" s="8">
        <f t="shared" si="12"/>
        <v>552155.06999999995</v>
      </c>
    </row>
    <row r="71" spans="1:5" x14ac:dyDescent="0.2">
      <c r="B71" s="5" t="s">
        <v>91</v>
      </c>
      <c r="C71" s="6"/>
      <c r="D71" s="7"/>
      <c r="E71" s="6"/>
    </row>
    <row r="72" spans="1:5" x14ac:dyDescent="0.2">
      <c r="B72" s="5" t="s">
        <v>92</v>
      </c>
      <c r="C72" s="6"/>
      <c r="D72" s="6"/>
      <c r="E72" s="6"/>
    </row>
    <row r="73" spans="1:5" x14ac:dyDescent="0.2">
      <c r="B73" s="5" t="s">
        <v>93</v>
      </c>
      <c r="C73" s="6"/>
      <c r="D73" s="6"/>
      <c r="E73" s="6"/>
    </row>
    <row r="74" spans="1:5" x14ac:dyDescent="0.2">
      <c r="B74" s="5" t="s">
        <v>94</v>
      </c>
      <c r="C74" s="7">
        <f>111049.44</f>
        <v>111049.44</v>
      </c>
      <c r="D74" s="7">
        <f>106631.87</f>
        <v>106631.87</v>
      </c>
      <c r="E74" s="7">
        <f>119826.92</f>
        <v>119826.92</v>
      </c>
    </row>
    <row r="75" spans="1:5" x14ac:dyDescent="0.2">
      <c r="B75" s="5" t="s">
        <v>95</v>
      </c>
      <c r="C75" s="6"/>
      <c r="D75" s="6"/>
      <c r="E75" s="7">
        <f>11775</f>
        <v>11775</v>
      </c>
    </row>
    <row r="76" spans="1:5" x14ac:dyDescent="0.2">
      <c r="B76" s="5" t="s">
        <v>96</v>
      </c>
      <c r="C76" s="6"/>
      <c r="D76" s="6"/>
      <c r="E76" s="6"/>
    </row>
    <row r="77" spans="1:5" x14ac:dyDescent="0.2">
      <c r="B77" s="5" t="s">
        <v>97</v>
      </c>
      <c r="C77" s="7">
        <f>-4719.16</f>
        <v>-4719.16</v>
      </c>
      <c r="D77" s="7">
        <f>4359.16</f>
        <v>4359.16</v>
      </c>
      <c r="E77" s="7">
        <f>7144.89</f>
        <v>7144.89</v>
      </c>
    </row>
    <row r="78" spans="1:5" x14ac:dyDescent="0.2">
      <c r="B78" s="5" t="s">
        <v>98</v>
      </c>
      <c r="C78" s="8">
        <f t="shared" ref="C78:E78" si="13">((((C73)+(C74))+(C75))+(C76))+(C77)</f>
        <v>106330.28</v>
      </c>
      <c r="D78" s="8">
        <f t="shared" si="13"/>
        <v>110991.03</v>
      </c>
      <c r="E78" s="8">
        <f t="shared" si="13"/>
        <v>138746.81</v>
      </c>
    </row>
    <row r="79" spans="1:5" x14ac:dyDescent="0.2">
      <c r="B79" s="5" t="s">
        <v>99</v>
      </c>
      <c r="C79" s="7">
        <f>9703.85</f>
        <v>9703.85</v>
      </c>
      <c r="D79" s="7">
        <f>8369.38</f>
        <v>8369.3799999999992</v>
      </c>
      <c r="E79" s="7">
        <f>10184.48</f>
        <v>10184.48</v>
      </c>
    </row>
    <row r="80" spans="1:5" x14ac:dyDescent="0.2">
      <c r="B80" s="5" t="s">
        <v>100</v>
      </c>
      <c r="C80" s="7">
        <f>6098.7</f>
        <v>6098.7</v>
      </c>
      <c r="D80" s="7">
        <f>8152.23</f>
        <v>8152.23</v>
      </c>
      <c r="E80" s="7">
        <f>9037.04</f>
        <v>9037.0400000000009</v>
      </c>
    </row>
    <row r="81" spans="2:5" x14ac:dyDescent="0.2">
      <c r="B81" s="5" t="s">
        <v>101</v>
      </c>
      <c r="C81" s="7">
        <f>107.77</f>
        <v>107.77</v>
      </c>
      <c r="D81" s="7">
        <f>133.06</f>
        <v>133.06</v>
      </c>
      <c r="E81" s="7">
        <f>147.91</f>
        <v>147.91</v>
      </c>
    </row>
    <row r="82" spans="2:5" x14ac:dyDescent="0.2">
      <c r="B82" s="5" t="s">
        <v>102</v>
      </c>
      <c r="C82" s="8">
        <f t="shared" ref="C82:E82" si="14">((((C72)+(C78))+(C79))+(C80))+(C81)</f>
        <v>122240.6</v>
      </c>
      <c r="D82" s="8">
        <f t="shared" si="14"/>
        <v>127645.7</v>
      </c>
      <c r="E82" s="8">
        <f t="shared" si="14"/>
        <v>158116.24000000002</v>
      </c>
    </row>
    <row r="83" spans="2:5" x14ac:dyDescent="0.2">
      <c r="B83" s="5" t="s">
        <v>103</v>
      </c>
      <c r="C83" s="7">
        <f>1761.71</f>
        <v>1761.71</v>
      </c>
      <c r="D83" s="7">
        <f>300</f>
        <v>300</v>
      </c>
      <c r="E83" s="7">
        <f>46.61</f>
        <v>46.61</v>
      </c>
    </row>
    <row r="84" spans="2:5" x14ac:dyDescent="0.2">
      <c r="B84" s="5" t="s">
        <v>104</v>
      </c>
      <c r="C84" s="7">
        <f>2966.33</f>
        <v>2966.33</v>
      </c>
      <c r="D84" s="7">
        <f>92742.9</f>
        <v>92742.9</v>
      </c>
      <c r="E84" s="7">
        <f>-1984.98</f>
        <v>-1984.98</v>
      </c>
    </row>
    <row r="85" spans="2:5" x14ac:dyDescent="0.2">
      <c r="B85" s="5" t="s">
        <v>105</v>
      </c>
      <c r="C85" s="6"/>
      <c r="D85" s="6"/>
      <c r="E85" s="6"/>
    </row>
    <row r="86" spans="2:5" x14ac:dyDescent="0.2">
      <c r="B86" s="5" t="s">
        <v>106</v>
      </c>
      <c r="C86" s="6"/>
      <c r="D86" s="6"/>
      <c r="E86" s="6"/>
    </row>
    <row r="87" spans="2:5" x14ac:dyDescent="0.2">
      <c r="B87" s="5" t="s">
        <v>107</v>
      </c>
      <c r="C87" s="8">
        <f t="shared" ref="C87:E87" si="15">((C84)+(C85))+(C86)</f>
        <v>2966.33</v>
      </c>
      <c r="D87" s="8">
        <f t="shared" si="15"/>
        <v>92742.9</v>
      </c>
      <c r="E87" s="8">
        <f t="shared" si="15"/>
        <v>-1984.98</v>
      </c>
    </row>
    <row r="88" spans="2:5" x14ac:dyDescent="0.2">
      <c r="B88" s="5" t="s">
        <v>108</v>
      </c>
      <c r="C88" s="7">
        <f>1525</f>
        <v>1525</v>
      </c>
      <c r="D88" s="7">
        <f>1541.44</f>
        <v>1541.44</v>
      </c>
      <c r="E88" s="7">
        <f>2441.01</f>
        <v>2441.0100000000002</v>
      </c>
    </row>
    <row r="89" spans="2:5" x14ac:dyDescent="0.2">
      <c r="B89" s="5" t="s">
        <v>109</v>
      </c>
      <c r="C89" s="7">
        <f>7050.62</f>
        <v>7050.62</v>
      </c>
      <c r="D89" s="7">
        <f>351220.3</f>
        <v>351220.3</v>
      </c>
      <c r="E89" s="7">
        <f>8000</f>
        <v>8000</v>
      </c>
    </row>
    <row r="90" spans="2:5" x14ac:dyDescent="0.2">
      <c r="B90" s="5" t="s">
        <v>110</v>
      </c>
      <c r="C90" s="7">
        <f>-29500</f>
        <v>-29500</v>
      </c>
      <c r="D90" s="6"/>
      <c r="E90" s="6"/>
    </row>
    <row r="91" spans="2:5" x14ac:dyDescent="0.2">
      <c r="B91" s="5" t="s">
        <v>111</v>
      </c>
      <c r="C91" s="6"/>
      <c r="D91" s="6"/>
      <c r="E91" s="7">
        <f>5710.62</f>
        <v>5710.62</v>
      </c>
    </row>
    <row r="92" spans="2:5" x14ac:dyDescent="0.2">
      <c r="B92" s="5" t="s">
        <v>112</v>
      </c>
      <c r="C92" s="7">
        <f>4485.31</f>
        <v>4485.3100000000004</v>
      </c>
      <c r="D92" s="7">
        <f>21349.41</f>
        <v>21349.41</v>
      </c>
      <c r="E92" s="7">
        <f>38909.73</f>
        <v>38909.730000000003</v>
      </c>
    </row>
    <row r="93" spans="2:5" x14ac:dyDescent="0.2">
      <c r="B93" s="5" t="s">
        <v>113</v>
      </c>
      <c r="C93" s="6"/>
      <c r="D93" s="6"/>
      <c r="E93" s="6"/>
    </row>
    <row r="94" spans="2:5" x14ac:dyDescent="0.2">
      <c r="B94" s="5" t="s">
        <v>114</v>
      </c>
      <c r="C94" s="7">
        <f>40412.87</f>
        <v>40412.870000000003</v>
      </c>
      <c r="D94" s="7">
        <f>10254.5</f>
        <v>10254.5</v>
      </c>
      <c r="E94" s="7">
        <f>16198.95</f>
        <v>16198.95</v>
      </c>
    </row>
    <row r="95" spans="2:5" x14ac:dyDescent="0.2">
      <c r="B95" s="5" t="s">
        <v>115</v>
      </c>
      <c r="C95" s="7">
        <f>16260.83</f>
        <v>16260.83</v>
      </c>
      <c r="D95" s="7">
        <f>14491.53</f>
        <v>14491.53</v>
      </c>
      <c r="E95" s="7">
        <f>35135.13</f>
        <v>35135.129999999997</v>
      </c>
    </row>
    <row r="96" spans="2:5" x14ac:dyDescent="0.2">
      <c r="B96" s="5" t="s">
        <v>116</v>
      </c>
      <c r="C96" s="6"/>
      <c r="D96" s="6"/>
      <c r="E96" s="6"/>
    </row>
    <row r="97" spans="1:5" x14ac:dyDescent="0.2">
      <c r="B97" s="5" t="s">
        <v>117</v>
      </c>
      <c r="C97" s="7">
        <f>1020</f>
        <v>1020</v>
      </c>
      <c r="D97" s="7">
        <f>21694.5</f>
        <v>21694.5</v>
      </c>
      <c r="E97" s="7">
        <f>4020</f>
        <v>4020</v>
      </c>
    </row>
    <row r="98" spans="1:5" x14ac:dyDescent="0.2">
      <c r="B98" s="5" t="s">
        <v>118</v>
      </c>
      <c r="C98" s="8">
        <f t="shared" ref="C98:E98" si="16">((((C93)+(C94))+(C95))+(C96))+(C97)</f>
        <v>57693.700000000004</v>
      </c>
      <c r="D98" s="8">
        <f t="shared" si="16"/>
        <v>46440.53</v>
      </c>
      <c r="E98" s="8">
        <f t="shared" si="16"/>
        <v>55354.080000000002</v>
      </c>
    </row>
    <row r="99" spans="1:5" x14ac:dyDescent="0.2">
      <c r="B99" s="5" t="s">
        <v>119</v>
      </c>
      <c r="C99" s="7">
        <f>26275</f>
        <v>26275</v>
      </c>
      <c r="D99" s="7">
        <f>30895</f>
        <v>30895</v>
      </c>
      <c r="E99" s="7">
        <f>59682.02</f>
        <v>59682.02</v>
      </c>
    </row>
    <row r="100" spans="1:5" x14ac:dyDescent="0.2">
      <c r="B100" s="5" t="s">
        <v>120</v>
      </c>
      <c r="C100" s="7">
        <f>13978.27</f>
        <v>13978.27</v>
      </c>
      <c r="D100" s="7">
        <f>7480.39</f>
        <v>7480.39</v>
      </c>
      <c r="E100" s="7">
        <f>1035.77</f>
        <v>1035.77</v>
      </c>
    </row>
    <row r="101" spans="1:5" x14ac:dyDescent="0.2">
      <c r="B101" s="5" t="s">
        <v>121</v>
      </c>
      <c r="C101" s="7">
        <f>14985</f>
        <v>14985</v>
      </c>
      <c r="D101" s="7">
        <f>14985</f>
        <v>14985</v>
      </c>
      <c r="E101" s="7">
        <f>14985</f>
        <v>14985</v>
      </c>
    </row>
    <row r="102" spans="1:5" x14ac:dyDescent="0.2">
      <c r="B102" s="5" t="s">
        <v>122</v>
      </c>
      <c r="C102" s="6"/>
      <c r="D102" s="6"/>
      <c r="E102" s="6"/>
    </row>
    <row r="103" spans="1:5" x14ac:dyDescent="0.2">
      <c r="B103" s="5" t="s">
        <v>123</v>
      </c>
      <c r="C103" s="7">
        <f>8988.48</f>
        <v>8988.48</v>
      </c>
      <c r="D103" s="7">
        <f>41631.18</f>
        <v>41631.18</v>
      </c>
      <c r="E103" s="7">
        <f>6240.6</f>
        <v>6240.6</v>
      </c>
    </row>
    <row r="104" spans="1:5" x14ac:dyDescent="0.2">
      <c r="B104" s="5" t="s">
        <v>124</v>
      </c>
      <c r="C104" s="7">
        <f>3915.32</f>
        <v>3915.32</v>
      </c>
      <c r="D104" s="7">
        <f>19076.57</f>
        <v>19076.57</v>
      </c>
      <c r="E104" s="7">
        <f>2537.39</f>
        <v>2537.39</v>
      </c>
    </row>
    <row r="105" spans="1:5" x14ac:dyDescent="0.2">
      <c r="B105" s="5" t="s">
        <v>125</v>
      </c>
      <c r="C105" s="7">
        <f>359.09</f>
        <v>359.09</v>
      </c>
      <c r="D105" s="7">
        <f>4631.87</f>
        <v>4631.87</v>
      </c>
      <c r="E105" s="7">
        <f>1224.12</f>
        <v>1224.1199999999999</v>
      </c>
    </row>
    <row r="106" spans="1:5" x14ac:dyDescent="0.2">
      <c r="B106" s="5" t="s">
        <v>126</v>
      </c>
      <c r="C106" s="6"/>
      <c r="D106" s="7">
        <f>5043.18</f>
        <v>5043.18</v>
      </c>
      <c r="E106" s="6"/>
    </row>
    <row r="107" spans="1:5" x14ac:dyDescent="0.2">
      <c r="B107" s="5" t="s">
        <v>127</v>
      </c>
      <c r="C107" s="8">
        <f t="shared" ref="C107:E107" si="17">((((C102)+(C103))+(C104))+(C105))+(C106)</f>
        <v>13262.89</v>
      </c>
      <c r="D107" s="8">
        <f t="shared" si="17"/>
        <v>70382.8</v>
      </c>
      <c r="E107" s="8">
        <f t="shared" si="17"/>
        <v>10002.11</v>
      </c>
    </row>
    <row r="108" spans="1:5" x14ac:dyDescent="0.2">
      <c r="B108" s="5" t="s">
        <v>128</v>
      </c>
      <c r="C108" s="7">
        <f>2595</f>
        <v>2595</v>
      </c>
      <c r="D108" s="6"/>
      <c r="E108" s="6"/>
    </row>
    <row r="109" spans="1:5" x14ac:dyDescent="0.2">
      <c r="B109" s="5" t="s">
        <v>129</v>
      </c>
      <c r="C109" s="7">
        <f>6845.62</f>
        <v>6845.62</v>
      </c>
      <c r="D109" s="7">
        <f>6134.65</f>
        <v>6134.65</v>
      </c>
      <c r="E109" s="7">
        <f>6390.75</f>
        <v>6390.75</v>
      </c>
    </row>
    <row r="110" spans="1:5" x14ac:dyDescent="0.2">
      <c r="B110" s="5" t="s">
        <v>130</v>
      </c>
      <c r="C110" s="7">
        <f>68.02</f>
        <v>68.02</v>
      </c>
      <c r="D110" s="7">
        <f>100</f>
        <v>100</v>
      </c>
      <c r="E110" s="7">
        <f>130</f>
        <v>130</v>
      </c>
    </row>
    <row r="111" spans="1:5" x14ac:dyDescent="0.2">
      <c r="B111" s="5" t="s">
        <v>131</v>
      </c>
      <c r="C111" s="7">
        <f>572.11</f>
        <v>572.11</v>
      </c>
      <c r="D111" s="7">
        <f>61147.92</f>
        <v>61147.92</v>
      </c>
      <c r="E111" s="7">
        <f>661.64</f>
        <v>661.64</v>
      </c>
    </row>
    <row r="112" spans="1:5" x14ac:dyDescent="0.2">
      <c r="A112" s="13" t="s">
        <v>8</v>
      </c>
      <c r="B112" s="16" t="s">
        <v>132</v>
      </c>
      <c r="C112" s="8">
        <f t="shared" ref="C112:E112" si="18">(((((((((((((((((C71)+(C82))+(C83))+(C87))+(C88))+(C89))+(C90))+(C91))+(C92))+(C98))+(C99))+(C100))+(C101))+(C107))+(C108))+(C109))+(C110))+(C111)</f>
        <v>246805.17999999996</v>
      </c>
      <c r="D112" s="8">
        <f t="shared" si="18"/>
        <v>832366.04000000015</v>
      </c>
      <c r="E112" s="8">
        <f t="shared" si="18"/>
        <v>359480.60000000003</v>
      </c>
    </row>
    <row r="113" spans="2:5" x14ac:dyDescent="0.2">
      <c r="B113" s="5" t="s">
        <v>133</v>
      </c>
      <c r="C113" s="6"/>
      <c r="D113" s="6"/>
      <c r="E113" s="6"/>
    </row>
    <row r="114" spans="2:5" x14ac:dyDescent="0.2">
      <c r="B114" s="5" t="s">
        <v>134</v>
      </c>
      <c r="C114" s="6"/>
      <c r="D114" s="6"/>
      <c r="E114" s="6"/>
    </row>
    <row r="115" spans="2:5" x14ac:dyDescent="0.2">
      <c r="B115" s="5" t="s">
        <v>135</v>
      </c>
      <c r="C115" s="6"/>
      <c r="D115" s="6"/>
      <c r="E115" s="6"/>
    </row>
    <row r="116" spans="2:5" x14ac:dyDescent="0.2">
      <c r="B116" s="5" t="s">
        <v>136</v>
      </c>
      <c r="C116" s="7">
        <f>511200.83</f>
        <v>511200.83</v>
      </c>
      <c r="D116" s="7">
        <f>515318.86</f>
        <v>515318.86</v>
      </c>
      <c r="E116" s="7">
        <f>611645.95</f>
        <v>611645.94999999995</v>
      </c>
    </row>
    <row r="117" spans="2:5" x14ac:dyDescent="0.2">
      <c r="B117" s="5" t="s">
        <v>137</v>
      </c>
      <c r="C117" s="6"/>
      <c r="D117" s="7">
        <f>16607.63</f>
        <v>16607.63</v>
      </c>
      <c r="E117" s="7">
        <f>95726.06</f>
        <v>95726.06</v>
      </c>
    </row>
    <row r="118" spans="2:5" x14ac:dyDescent="0.2">
      <c r="B118" s="5" t="s">
        <v>138</v>
      </c>
      <c r="C118" s="6"/>
      <c r="D118" s="6"/>
      <c r="E118" s="6"/>
    </row>
    <row r="119" spans="2:5" x14ac:dyDescent="0.2">
      <c r="B119" s="5" t="s">
        <v>139</v>
      </c>
      <c r="C119" s="7">
        <f>14026.04</f>
        <v>14026.04</v>
      </c>
      <c r="D119" s="7">
        <f>7152.86</f>
        <v>7152.86</v>
      </c>
      <c r="E119" s="7">
        <f>12977.56</f>
        <v>12977.56</v>
      </c>
    </row>
    <row r="120" spans="2:5" x14ac:dyDescent="0.2">
      <c r="B120" s="5" t="s">
        <v>140</v>
      </c>
      <c r="C120" s="8">
        <f t="shared" ref="C120:E120" si="19">((((C115)+(C116))+(C117))+(C118))+(C119)</f>
        <v>525226.87</v>
      </c>
      <c r="D120" s="8">
        <f t="shared" si="19"/>
        <v>539079.35</v>
      </c>
      <c r="E120" s="8">
        <f t="shared" si="19"/>
        <v>720349.57000000007</v>
      </c>
    </row>
    <row r="121" spans="2:5" x14ac:dyDescent="0.2">
      <c r="B121" s="5" t="s">
        <v>141</v>
      </c>
      <c r="C121" s="7">
        <f>46756.72</f>
        <v>46756.72</v>
      </c>
      <c r="D121" s="7">
        <f>43366.08</f>
        <v>43366.080000000002</v>
      </c>
      <c r="E121" s="7">
        <f>58066.02</f>
        <v>58066.02</v>
      </c>
    </row>
    <row r="122" spans="2:5" x14ac:dyDescent="0.2">
      <c r="B122" s="5" t="s">
        <v>142</v>
      </c>
      <c r="C122" s="7">
        <f>41125.92</f>
        <v>41125.919999999998</v>
      </c>
      <c r="D122" s="7">
        <f>41156.51</f>
        <v>41156.51</v>
      </c>
      <c r="E122" s="7">
        <f>48999.88</f>
        <v>48999.88</v>
      </c>
    </row>
    <row r="123" spans="2:5" x14ac:dyDescent="0.2">
      <c r="B123" s="5" t="s">
        <v>143</v>
      </c>
      <c r="C123" s="7">
        <f>535.37</f>
        <v>535.37</v>
      </c>
      <c r="D123" s="7">
        <f>605.68</f>
        <v>605.67999999999995</v>
      </c>
      <c r="E123" s="7">
        <f>730.42</f>
        <v>730.42</v>
      </c>
    </row>
    <row r="124" spans="2:5" x14ac:dyDescent="0.2">
      <c r="B124" s="5" t="s">
        <v>144</v>
      </c>
      <c r="C124" s="8">
        <f t="shared" ref="C124:E124" si="20">((((C114)+(C120))+(C121))+(C122))+(C123)</f>
        <v>613644.88</v>
      </c>
      <c r="D124" s="8">
        <f t="shared" si="20"/>
        <v>624207.62</v>
      </c>
      <c r="E124" s="8">
        <f t="shared" si="20"/>
        <v>828145.89000000013</v>
      </c>
    </row>
    <row r="125" spans="2:5" x14ac:dyDescent="0.2">
      <c r="B125" s="5" t="s">
        <v>145</v>
      </c>
      <c r="C125" s="7">
        <f>205734.13</f>
        <v>205734.13</v>
      </c>
      <c r="D125" s="7">
        <f>198132.87</f>
        <v>198132.87</v>
      </c>
      <c r="E125" s="7">
        <f>168582.48</f>
        <v>168582.48</v>
      </c>
    </row>
    <row r="126" spans="2:5" x14ac:dyDescent="0.2">
      <c r="B126" s="5" t="s">
        <v>146</v>
      </c>
      <c r="C126" s="6"/>
      <c r="D126" s="6"/>
      <c r="E126" s="7">
        <f>2700</f>
        <v>2700</v>
      </c>
    </row>
    <row r="127" spans="2:5" x14ac:dyDescent="0.2">
      <c r="B127" s="5" t="s">
        <v>147</v>
      </c>
      <c r="C127" s="6"/>
      <c r="D127" s="6"/>
      <c r="E127" s="6"/>
    </row>
    <row r="128" spans="2:5" x14ac:dyDescent="0.2">
      <c r="B128" s="5" t="s">
        <v>148</v>
      </c>
      <c r="C128" s="7">
        <f>447.45</f>
        <v>447.45</v>
      </c>
      <c r="D128" s="6"/>
      <c r="E128" s="7">
        <f>650.64</f>
        <v>650.64</v>
      </c>
    </row>
    <row r="129" spans="2:5" x14ac:dyDescent="0.2">
      <c r="B129" s="5" t="s">
        <v>149</v>
      </c>
      <c r="C129" s="7">
        <f>79.25</f>
        <v>79.25</v>
      </c>
      <c r="D129" s="7">
        <f>208.08</f>
        <v>208.08</v>
      </c>
      <c r="E129" s="7">
        <f>152.47</f>
        <v>152.47</v>
      </c>
    </row>
    <row r="130" spans="2:5" x14ac:dyDescent="0.2">
      <c r="B130" s="5" t="s">
        <v>150</v>
      </c>
      <c r="C130" s="7">
        <f>277</f>
        <v>277</v>
      </c>
      <c r="D130" s="7">
        <f>2181.65</f>
        <v>2181.65</v>
      </c>
      <c r="E130" s="7">
        <f>156.32</f>
        <v>156.32</v>
      </c>
    </row>
    <row r="131" spans="2:5" x14ac:dyDescent="0.2">
      <c r="B131" s="5" t="s">
        <v>151</v>
      </c>
      <c r="C131" s="6"/>
      <c r="D131" s="6"/>
      <c r="E131" s="6"/>
    </row>
    <row r="132" spans="2:5" x14ac:dyDescent="0.2">
      <c r="B132" s="5" t="s">
        <v>152</v>
      </c>
      <c r="C132" s="7">
        <f>15509.73</f>
        <v>15509.73</v>
      </c>
      <c r="D132" s="7">
        <f>8626.83</f>
        <v>8626.83</v>
      </c>
      <c r="E132" s="7">
        <f>74883.33</f>
        <v>74883.33</v>
      </c>
    </row>
    <row r="133" spans="2:5" x14ac:dyDescent="0.2">
      <c r="B133" s="5" t="s">
        <v>153</v>
      </c>
      <c r="C133" s="6"/>
      <c r="D133" s="6"/>
      <c r="E133" s="6"/>
    </row>
    <row r="134" spans="2:5" x14ac:dyDescent="0.2">
      <c r="B134" s="5" t="s">
        <v>154</v>
      </c>
      <c r="C134" s="7">
        <f>34913.04</f>
        <v>34913.040000000001</v>
      </c>
      <c r="D134" s="7">
        <f>53782.53</f>
        <v>53782.53</v>
      </c>
      <c r="E134" s="7">
        <f>29354.69</f>
        <v>29354.69</v>
      </c>
    </row>
    <row r="135" spans="2:5" x14ac:dyDescent="0.2">
      <c r="B135" s="5" t="s">
        <v>155</v>
      </c>
      <c r="C135" s="7">
        <f>14323.09</f>
        <v>14323.09</v>
      </c>
      <c r="D135" s="7">
        <f>23500.87</f>
        <v>23500.87</v>
      </c>
      <c r="E135" s="7">
        <f>11629.37</f>
        <v>11629.37</v>
      </c>
    </row>
    <row r="136" spans="2:5" x14ac:dyDescent="0.2">
      <c r="B136" s="5" t="s">
        <v>156</v>
      </c>
      <c r="C136" s="7">
        <f>4102.35</f>
        <v>4102.3500000000004</v>
      </c>
      <c r="D136" s="7">
        <f>6482.65</f>
        <v>6482.65</v>
      </c>
      <c r="E136" s="7">
        <f>4613.02</f>
        <v>4613.0200000000004</v>
      </c>
    </row>
    <row r="137" spans="2:5" x14ac:dyDescent="0.2">
      <c r="B137" s="5" t="s">
        <v>157</v>
      </c>
      <c r="C137" s="8">
        <f t="shared" ref="C137:E137" si="21">(((C133)+(C134))+(C135))+(C136)</f>
        <v>53338.48</v>
      </c>
      <c r="D137" s="8">
        <f t="shared" si="21"/>
        <v>83766.049999999988</v>
      </c>
      <c r="E137" s="8">
        <f t="shared" si="21"/>
        <v>45597.08</v>
      </c>
    </row>
    <row r="138" spans="2:5" x14ac:dyDescent="0.2">
      <c r="B138" s="5" t="s">
        <v>158</v>
      </c>
      <c r="C138" s="7">
        <f>9312.27</f>
        <v>9312.27</v>
      </c>
      <c r="D138" s="7">
        <f>12411.18</f>
        <v>12411.18</v>
      </c>
      <c r="E138" s="7">
        <f>5452.93</f>
        <v>5452.93</v>
      </c>
    </row>
    <row r="139" spans="2:5" x14ac:dyDescent="0.2">
      <c r="B139" s="5" t="s">
        <v>159</v>
      </c>
      <c r="C139" s="6"/>
      <c r="D139" s="7">
        <f>362.4</f>
        <v>362.4</v>
      </c>
      <c r="E139" s="6"/>
    </row>
    <row r="140" spans="2:5" x14ac:dyDescent="0.2">
      <c r="B140" s="5" t="s">
        <v>160</v>
      </c>
      <c r="C140" s="7">
        <f>401.01</f>
        <v>401.01</v>
      </c>
      <c r="D140" s="7">
        <f>3557</f>
        <v>3557</v>
      </c>
      <c r="E140" s="7">
        <f>15</f>
        <v>15</v>
      </c>
    </row>
    <row r="141" spans="2:5" x14ac:dyDescent="0.2">
      <c r="B141" s="5" t="s">
        <v>161</v>
      </c>
      <c r="C141" s="7">
        <f>22980.78</f>
        <v>22980.78</v>
      </c>
      <c r="D141" s="7">
        <f>16318.03</f>
        <v>16318.03</v>
      </c>
      <c r="E141" s="7">
        <f>27190.61</f>
        <v>27190.61</v>
      </c>
    </row>
    <row r="142" spans="2:5" x14ac:dyDescent="0.2">
      <c r="B142" s="5" t="s">
        <v>162</v>
      </c>
      <c r="C142" s="6"/>
      <c r="D142" s="6"/>
      <c r="E142" s="6"/>
    </row>
    <row r="143" spans="2:5" x14ac:dyDescent="0.2">
      <c r="B143" s="5" t="s">
        <v>163</v>
      </c>
      <c r="C143" s="7">
        <f>1965</f>
        <v>1965</v>
      </c>
      <c r="D143" s="7">
        <f>1894.12</f>
        <v>1894.12</v>
      </c>
      <c r="E143" s="7">
        <f>2062.67</f>
        <v>2062.67</v>
      </c>
    </row>
    <row r="144" spans="2:5" x14ac:dyDescent="0.2">
      <c r="B144" s="5" t="s">
        <v>164</v>
      </c>
      <c r="C144" s="7">
        <f>921.64</f>
        <v>921.64</v>
      </c>
      <c r="D144" s="7">
        <f>12375.86</f>
        <v>12375.86</v>
      </c>
      <c r="E144" s="7">
        <f>2706.4</f>
        <v>2706.4</v>
      </c>
    </row>
    <row r="145" spans="1:5" x14ac:dyDescent="0.2">
      <c r="A145" s="13" t="s">
        <v>8</v>
      </c>
      <c r="B145" s="16" t="s">
        <v>165</v>
      </c>
      <c r="C145" s="8">
        <f t="shared" ref="C145:E145" si="22">(((((((((((((((((C113)+(C124))+(C125))+(C126))+(C127))+(C128))+(C129))+(C130))+(C131))+(C132))+(C137))+(C138))+(C139))+(C140))+(C141))+(C142))+(C143))+(C144)</f>
        <v>924611.62</v>
      </c>
      <c r="D145" s="8">
        <f t="shared" si="22"/>
        <v>964041.69</v>
      </c>
      <c r="E145" s="8">
        <f t="shared" si="22"/>
        <v>1158295.82</v>
      </c>
    </row>
    <row r="146" spans="1:5" x14ac:dyDescent="0.2">
      <c r="B146" s="5" t="s">
        <v>166</v>
      </c>
      <c r="C146" s="6"/>
      <c r="D146" s="6"/>
      <c r="E146" s="6"/>
    </row>
    <row r="147" spans="1:5" x14ac:dyDescent="0.2">
      <c r="B147" s="5" t="s">
        <v>167</v>
      </c>
      <c r="C147" s="6"/>
      <c r="D147" s="6"/>
      <c r="E147" s="6"/>
    </row>
    <row r="148" spans="1:5" x14ac:dyDescent="0.2">
      <c r="B148" s="5" t="s">
        <v>168</v>
      </c>
      <c r="C148" s="6"/>
      <c r="D148" s="6"/>
      <c r="E148" s="6"/>
    </row>
    <row r="149" spans="1:5" x14ac:dyDescent="0.2">
      <c r="B149" s="5" t="s">
        <v>169</v>
      </c>
      <c r="C149" s="6"/>
      <c r="D149" s="6"/>
      <c r="E149" s="6"/>
    </row>
    <row r="150" spans="1:5" x14ac:dyDescent="0.2">
      <c r="B150" s="5" t="s">
        <v>170</v>
      </c>
      <c r="C150" s="7">
        <f>203545.03</f>
        <v>203545.03</v>
      </c>
      <c r="D150" s="7">
        <f>196480.87</f>
        <v>196480.87</v>
      </c>
      <c r="E150" s="7">
        <f>216880.17</f>
        <v>216880.17</v>
      </c>
    </row>
    <row r="151" spans="1:5" x14ac:dyDescent="0.2">
      <c r="B151" s="5" t="s">
        <v>171</v>
      </c>
      <c r="C151" s="6"/>
      <c r="D151" s="6"/>
      <c r="E151" s="7">
        <f>19562.5</f>
        <v>19562.5</v>
      </c>
    </row>
    <row r="152" spans="1:5" x14ac:dyDescent="0.2">
      <c r="B152" s="5" t="s">
        <v>172</v>
      </c>
      <c r="C152" s="6"/>
      <c r="D152" s="6"/>
      <c r="E152" s="6"/>
    </row>
    <row r="153" spans="1:5" x14ac:dyDescent="0.2">
      <c r="B153" s="5" t="s">
        <v>173</v>
      </c>
      <c r="C153" s="7">
        <f>8480.37</f>
        <v>8480.3700000000008</v>
      </c>
      <c r="D153" s="7">
        <f>4695.26</f>
        <v>4695.26</v>
      </c>
      <c r="E153" s="7">
        <f>8541.19</f>
        <v>8541.19</v>
      </c>
    </row>
    <row r="154" spans="1:5" x14ac:dyDescent="0.2">
      <c r="B154" s="5" t="s">
        <v>174</v>
      </c>
      <c r="C154" s="8">
        <f t="shared" ref="C154:E154" si="23">((((C149)+(C150))+(C151))+(C152))+(C153)</f>
        <v>212025.4</v>
      </c>
      <c r="D154" s="8">
        <f t="shared" si="23"/>
        <v>201176.13</v>
      </c>
      <c r="E154" s="8">
        <f t="shared" si="23"/>
        <v>244983.86000000002</v>
      </c>
    </row>
    <row r="155" spans="1:5" x14ac:dyDescent="0.2">
      <c r="B155" s="5" t="s">
        <v>175</v>
      </c>
      <c r="C155" s="7">
        <f>17855.28</f>
        <v>17855.28</v>
      </c>
      <c r="D155" s="7">
        <f>15103.35</f>
        <v>15103.35</v>
      </c>
      <c r="E155" s="7">
        <f>18034.81</f>
        <v>18034.810000000001</v>
      </c>
    </row>
    <row r="156" spans="1:5" x14ac:dyDescent="0.2">
      <c r="B156" s="5" t="s">
        <v>176</v>
      </c>
      <c r="C156" s="7">
        <f>15706.51</f>
        <v>15706.51</v>
      </c>
      <c r="D156" s="7">
        <f>17990.02</f>
        <v>17990.02</v>
      </c>
      <c r="E156" s="7">
        <f>19741.65</f>
        <v>19741.650000000001</v>
      </c>
    </row>
    <row r="157" spans="1:5" x14ac:dyDescent="0.2">
      <c r="B157" s="5" t="s">
        <v>177</v>
      </c>
      <c r="C157" s="6"/>
      <c r="D157" s="6"/>
      <c r="E157" s="6"/>
    </row>
    <row r="158" spans="1:5" x14ac:dyDescent="0.2">
      <c r="B158" s="5" t="s">
        <v>178</v>
      </c>
      <c r="C158" s="7">
        <f>206.37</f>
        <v>206.37</v>
      </c>
      <c r="D158" s="7">
        <f>240.63</f>
        <v>240.63</v>
      </c>
      <c r="E158" s="7">
        <f>269.13</f>
        <v>269.13</v>
      </c>
    </row>
    <row r="159" spans="1:5" x14ac:dyDescent="0.2">
      <c r="B159" s="5" t="s">
        <v>179</v>
      </c>
      <c r="C159" s="6"/>
      <c r="D159" s="6"/>
      <c r="E159" s="6"/>
    </row>
    <row r="160" spans="1:5" x14ac:dyDescent="0.2">
      <c r="B160" s="5" t="s">
        <v>180</v>
      </c>
      <c r="C160" s="6"/>
      <c r="D160" s="7">
        <f>4947</f>
        <v>4947</v>
      </c>
      <c r="E160" s="6"/>
    </row>
    <row r="161" spans="2:5" x14ac:dyDescent="0.2">
      <c r="B161" s="5" t="s">
        <v>181</v>
      </c>
      <c r="C161" s="8">
        <f t="shared" ref="C161:E161" si="24">(((((((C148)+(C154))+(C155))+(C156))+(C157))+(C158))+(C159))+(C160)</f>
        <v>245793.56</v>
      </c>
      <c r="D161" s="8">
        <f t="shared" si="24"/>
        <v>239457.13</v>
      </c>
      <c r="E161" s="8">
        <f t="shared" si="24"/>
        <v>283029.45000000007</v>
      </c>
    </row>
    <row r="162" spans="2:5" x14ac:dyDescent="0.2">
      <c r="B162" s="5" t="s">
        <v>182</v>
      </c>
      <c r="C162" s="7">
        <f>4111.25</f>
        <v>4111.25</v>
      </c>
      <c r="D162" s="6"/>
      <c r="E162" s="7">
        <f>391.4</f>
        <v>391.4</v>
      </c>
    </row>
    <row r="163" spans="2:5" x14ac:dyDescent="0.2">
      <c r="B163" s="5" t="s">
        <v>183</v>
      </c>
      <c r="C163" s="6"/>
      <c r="D163" s="6"/>
      <c r="E163" s="6"/>
    </row>
    <row r="164" spans="2:5" x14ac:dyDescent="0.2">
      <c r="B164" s="5" t="s">
        <v>184</v>
      </c>
      <c r="C164" s="7">
        <f>1516.16</f>
        <v>1516.16</v>
      </c>
      <c r="D164" s="7">
        <f>3112.19</f>
        <v>3112.19</v>
      </c>
      <c r="E164" s="7">
        <f>4428.62</f>
        <v>4428.62</v>
      </c>
    </row>
    <row r="165" spans="2:5" x14ac:dyDescent="0.2">
      <c r="B165" s="5" t="s">
        <v>185</v>
      </c>
      <c r="C165" s="7">
        <f>852.75</f>
        <v>852.75</v>
      </c>
      <c r="D165" s="7">
        <f>852.75</f>
        <v>852.75</v>
      </c>
      <c r="E165" s="7">
        <f>852.75</f>
        <v>852.75</v>
      </c>
    </row>
    <row r="166" spans="2:5" x14ac:dyDescent="0.2">
      <c r="B166" s="5" t="s">
        <v>186</v>
      </c>
      <c r="C166" s="6"/>
      <c r="D166" s="7">
        <f>93.51</f>
        <v>93.51</v>
      </c>
      <c r="E166" s="7">
        <f>262.63</f>
        <v>262.63</v>
      </c>
    </row>
    <row r="167" spans="2:5" x14ac:dyDescent="0.2">
      <c r="B167" s="5" t="s">
        <v>187</v>
      </c>
      <c r="C167" s="8">
        <f t="shared" ref="C167:E167" si="25">(((C163)+(C164))+(C165))+(C166)</f>
        <v>2368.91</v>
      </c>
      <c r="D167" s="8">
        <f t="shared" si="25"/>
        <v>4058.4500000000003</v>
      </c>
      <c r="E167" s="8">
        <f t="shared" si="25"/>
        <v>5544</v>
      </c>
    </row>
    <row r="168" spans="2:5" x14ac:dyDescent="0.2">
      <c r="B168" s="5" t="s">
        <v>188</v>
      </c>
      <c r="C168" s="7">
        <f>58420.54</f>
        <v>58420.54</v>
      </c>
      <c r="D168" s="7">
        <f>268.04</f>
        <v>268.04000000000002</v>
      </c>
      <c r="E168" s="6"/>
    </row>
    <row r="169" spans="2:5" x14ac:dyDescent="0.2">
      <c r="B169" s="5" t="s">
        <v>189</v>
      </c>
      <c r="C169" s="6"/>
      <c r="D169" s="6"/>
      <c r="E169" s="6"/>
    </row>
    <row r="170" spans="2:5" x14ac:dyDescent="0.2">
      <c r="B170" s="5" t="s">
        <v>190</v>
      </c>
      <c r="C170" s="7">
        <f>49804.81</f>
        <v>49804.81</v>
      </c>
      <c r="D170" s="7">
        <f>5732.78</f>
        <v>5732.78</v>
      </c>
      <c r="E170" s="7">
        <f>2959.18</f>
        <v>2959.18</v>
      </c>
    </row>
    <row r="171" spans="2:5" x14ac:dyDescent="0.2">
      <c r="B171" s="5" t="s">
        <v>191</v>
      </c>
      <c r="C171" s="7">
        <f>42603.93</f>
        <v>42603.93</v>
      </c>
      <c r="D171" s="7">
        <f>600.52</f>
        <v>600.52</v>
      </c>
      <c r="E171" s="7">
        <f>3258.28</f>
        <v>3258.28</v>
      </c>
    </row>
    <row r="172" spans="2:5" x14ac:dyDescent="0.2">
      <c r="B172" s="5" t="s">
        <v>192</v>
      </c>
      <c r="C172" s="7">
        <f>35821.06</f>
        <v>35821.06</v>
      </c>
      <c r="D172" s="7">
        <f>749.29</f>
        <v>749.29</v>
      </c>
      <c r="E172" s="7">
        <f>1437.24</f>
        <v>1437.24</v>
      </c>
    </row>
    <row r="173" spans="2:5" x14ac:dyDescent="0.2">
      <c r="B173" s="5" t="s">
        <v>193</v>
      </c>
      <c r="C173" s="8">
        <f t="shared" ref="C173:E173" si="26">(((C169)+(C170))+(C171))+(C172)</f>
        <v>128229.79999999999</v>
      </c>
      <c r="D173" s="8">
        <f t="shared" si="26"/>
        <v>7082.5899999999992</v>
      </c>
      <c r="E173" s="8">
        <f t="shared" si="26"/>
        <v>7654.7</v>
      </c>
    </row>
    <row r="174" spans="2:5" x14ac:dyDescent="0.2">
      <c r="B174" s="5" t="s">
        <v>194</v>
      </c>
      <c r="C174" s="7">
        <f>35415.92</f>
        <v>35415.919999999998</v>
      </c>
      <c r="D174" s="7">
        <f>2111.34</f>
        <v>2111.34</v>
      </c>
      <c r="E174" s="7">
        <f>2205.39</f>
        <v>2205.39</v>
      </c>
    </row>
    <row r="175" spans="2:5" x14ac:dyDescent="0.2">
      <c r="B175" s="5" t="s">
        <v>195</v>
      </c>
      <c r="C175" s="6"/>
      <c r="D175" s="6"/>
      <c r="E175" s="6"/>
    </row>
    <row r="176" spans="2:5" x14ac:dyDescent="0.2">
      <c r="B176" s="5" t="s">
        <v>196</v>
      </c>
      <c r="C176" s="7">
        <f>492.36</f>
        <v>492.36</v>
      </c>
      <c r="D176" s="7">
        <f>265.9</f>
        <v>265.89999999999998</v>
      </c>
      <c r="E176" s="7">
        <f>143.48</f>
        <v>143.47999999999999</v>
      </c>
    </row>
    <row r="177" spans="2:5" x14ac:dyDescent="0.2">
      <c r="B177" s="5" t="s">
        <v>197</v>
      </c>
      <c r="C177" s="7">
        <f>6874.22</f>
        <v>6874.22</v>
      </c>
      <c r="D177" s="7">
        <f>7550.85</f>
        <v>7550.85</v>
      </c>
      <c r="E177" s="7">
        <f>6754.27</f>
        <v>6754.27</v>
      </c>
    </row>
    <row r="178" spans="2:5" x14ac:dyDescent="0.2">
      <c r="B178" s="5" t="s">
        <v>198</v>
      </c>
      <c r="C178" s="7">
        <f>808</f>
        <v>808</v>
      </c>
      <c r="D178" s="7">
        <f>880</f>
        <v>880</v>
      </c>
      <c r="E178" s="7">
        <f>896</f>
        <v>896</v>
      </c>
    </row>
    <row r="179" spans="2:5" x14ac:dyDescent="0.2">
      <c r="B179" s="5" t="s">
        <v>199</v>
      </c>
      <c r="C179" s="7">
        <f>1503</f>
        <v>1503</v>
      </c>
      <c r="D179" s="7">
        <f>1467</f>
        <v>1467</v>
      </c>
      <c r="E179" s="7">
        <f>1463</f>
        <v>1463</v>
      </c>
    </row>
    <row r="180" spans="2:5" x14ac:dyDescent="0.2">
      <c r="B180" s="5" t="s">
        <v>200</v>
      </c>
      <c r="C180" s="8">
        <f t="shared" ref="C180:E180" si="27">((((C175)+(C176))+(C177))+(C178))+(C179)</f>
        <v>9677.58</v>
      </c>
      <c r="D180" s="8">
        <f t="shared" si="27"/>
        <v>10163.75</v>
      </c>
      <c r="E180" s="8">
        <f t="shared" si="27"/>
        <v>9256.75</v>
      </c>
    </row>
    <row r="181" spans="2:5" x14ac:dyDescent="0.2">
      <c r="B181" s="5" t="s">
        <v>201</v>
      </c>
      <c r="C181" s="7">
        <f>2167.5</f>
        <v>2167.5</v>
      </c>
      <c r="D181" s="6"/>
      <c r="E181" s="6"/>
    </row>
    <row r="182" spans="2:5" x14ac:dyDescent="0.2">
      <c r="B182" s="5" t="s">
        <v>202</v>
      </c>
      <c r="C182" s="7">
        <f>71.6</f>
        <v>71.599999999999994</v>
      </c>
      <c r="D182" s="6"/>
      <c r="E182" s="7">
        <f>2000</f>
        <v>2000</v>
      </c>
    </row>
    <row r="183" spans="2:5" x14ac:dyDescent="0.2">
      <c r="B183" s="5" t="s">
        <v>203</v>
      </c>
      <c r="C183" s="7">
        <f>235.18</f>
        <v>235.18</v>
      </c>
      <c r="D183" s="7">
        <f>907.84</f>
        <v>907.84</v>
      </c>
      <c r="E183" s="7">
        <f>473</f>
        <v>473</v>
      </c>
    </row>
    <row r="184" spans="2:5" x14ac:dyDescent="0.2">
      <c r="B184" s="5" t="s">
        <v>204</v>
      </c>
      <c r="C184" s="7">
        <f>759.09</f>
        <v>759.09</v>
      </c>
      <c r="D184" s="7">
        <f>4200</f>
        <v>4200</v>
      </c>
      <c r="E184" s="7">
        <f>380</f>
        <v>380</v>
      </c>
    </row>
    <row r="185" spans="2:5" x14ac:dyDescent="0.2">
      <c r="B185" s="5" t="s">
        <v>205</v>
      </c>
      <c r="C185" s="7">
        <f>509.43</f>
        <v>509.43</v>
      </c>
      <c r="D185" s="6"/>
      <c r="E185" s="7">
        <f>700</f>
        <v>700</v>
      </c>
    </row>
    <row r="186" spans="2:5" x14ac:dyDescent="0.2">
      <c r="B186" s="5" t="s">
        <v>206</v>
      </c>
      <c r="C186" s="7">
        <f>10438.26</f>
        <v>10438.26</v>
      </c>
      <c r="D186" s="7">
        <f>6585.03</f>
        <v>6585.03</v>
      </c>
      <c r="E186" s="7">
        <f>6820.94</f>
        <v>6820.94</v>
      </c>
    </row>
    <row r="187" spans="2:5" x14ac:dyDescent="0.2">
      <c r="B187" s="5" t="s">
        <v>207</v>
      </c>
      <c r="C187" s="8">
        <f t="shared" ref="C187:E187" si="28">(C185)+(C186)</f>
        <v>10947.69</v>
      </c>
      <c r="D187" s="8">
        <f t="shared" si="28"/>
        <v>6585.03</v>
      </c>
      <c r="E187" s="8">
        <f t="shared" si="28"/>
        <v>7520.94</v>
      </c>
    </row>
    <row r="188" spans="2:5" x14ac:dyDescent="0.2">
      <c r="B188" s="5" t="s">
        <v>208</v>
      </c>
      <c r="C188" s="7">
        <f>1821.24</f>
        <v>1821.24</v>
      </c>
      <c r="D188" s="7">
        <f>630</f>
        <v>630</v>
      </c>
      <c r="E188" s="7">
        <f>1124.26</f>
        <v>1124.26</v>
      </c>
    </row>
    <row r="189" spans="2:5" x14ac:dyDescent="0.2">
      <c r="B189" s="5" t="s">
        <v>209</v>
      </c>
      <c r="C189" s="6"/>
      <c r="D189" s="6"/>
      <c r="E189" s="6"/>
    </row>
    <row r="190" spans="2:5" x14ac:dyDescent="0.2">
      <c r="B190" s="5" t="s">
        <v>210</v>
      </c>
      <c r="C190" s="7">
        <f>4200</f>
        <v>4200</v>
      </c>
      <c r="D190" s="6"/>
      <c r="E190" s="6"/>
    </row>
    <row r="191" spans="2:5" x14ac:dyDescent="0.2">
      <c r="B191" s="5" t="s">
        <v>211</v>
      </c>
      <c r="C191" s="7">
        <f>4250</f>
        <v>4250</v>
      </c>
      <c r="D191" s="7">
        <f>4250</f>
        <v>4250</v>
      </c>
      <c r="E191" s="7">
        <f>1999.99</f>
        <v>1999.99</v>
      </c>
    </row>
    <row r="192" spans="2:5" x14ac:dyDescent="0.2">
      <c r="B192" s="5" t="s">
        <v>212</v>
      </c>
      <c r="C192" s="6"/>
      <c r="D192" s="7">
        <f>337.5</f>
        <v>337.5</v>
      </c>
      <c r="E192" s="7">
        <f>1500</f>
        <v>1500</v>
      </c>
    </row>
    <row r="193" spans="2:5" x14ac:dyDescent="0.2">
      <c r="B193" s="5" t="s">
        <v>213</v>
      </c>
      <c r="C193" s="6"/>
      <c r="D193" s="7">
        <f>14115</f>
        <v>14115</v>
      </c>
      <c r="E193" s="6"/>
    </row>
    <row r="194" spans="2:5" x14ac:dyDescent="0.2">
      <c r="B194" s="5" t="s">
        <v>214</v>
      </c>
      <c r="C194" s="7">
        <f>1208.33</f>
        <v>1208.33</v>
      </c>
      <c r="D194" s="7">
        <f>16346.58</f>
        <v>16346.58</v>
      </c>
      <c r="E194" s="7">
        <f>3055.83</f>
        <v>3055.83</v>
      </c>
    </row>
    <row r="195" spans="2:5" x14ac:dyDescent="0.2">
      <c r="B195" s="5" t="s">
        <v>215</v>
      </c>
      <c r="C195" s="8">
        <f t="shared" ref="C195:E195" si="29">(((((C189)+(C190))+(C191))+(C192))+(C193))+(C194)</f>
        <v>9658.33</v>
      </c>
      <c r="D195" s="8">
        <f t="shared" si="29"/>
        <v>35049.08</v>
      </c>
      <c r="E195" s="8">
        <f t="shared" si="29"/>
        <v>6555.82</v>
      </c>
    </row>
    <row r="196" spans="2:5" x14ac:dyDescent="0.2">
      <c r="B196" s="5" t="s">
        <v>216</v>
      </c>
      <c r="C196" s="6"/>
      <c r="D196" s="6"/>
      <c r="E196" s="6"/>
    </row>
    <row r="197" spans="2:5" x14ac:dyDescent="0.2">
      <c r="B197" s="5" t="s">
        <v>217</v>
      </c>
      <c r="C197" s="6"/>
      <c r="D197" s="6"/>
      <c r="E197" s="7">
        <f>71.69</f>
        <v>71.69</v>
      </c>
    </row>
    <row r="198" spans="2:5" x14ac:dyDescent="0.2">
      <c r="B198" s="5" t="s">
        <v>218</v>
      </c>
      <c r="C198" s="7">
        <f>135</f>
        <v>135</v>
      </c>
      <c r="D198" s="7">
        <f>182</f>
        <v>182</v>
      </c>
      <c r="E198" s="7">
        <f>97.72</f>
        <v>97.72</v>
      </c>
    </row>
    <row r="199" spans="2:5" x14ac:dyDescent="0.2">
      <c r="B199" s="5" t="s">
        <v>219</v>
      </c>
      <c r="C199" s="7">
        <f>2471.28</f>
        <v>2471.2800000000002</v>
      </c>
      <c r="D199" s="7">
        <f>1812.31</f>
        <v>1812.31</v>
      </c>
      <c r="E199" s="7">
        <f>612.98</f>
        <v>612.98</v>
      </c>
    </row>
    <row r="200" spans="2:5" x14ac:dyDescent="0.2">
      <c r="B200" s="5" t="s">
        <v>220</v>
      </c>
      <c r="C200" s="7">
        <f>1273.83</f>
        <v>1273.83</v>
      </c>
      <c r="D200" s="7">
        <f>1968.89</f>
        <v>1968.89</v>
      </c>
      <c r="E200" s="7">
        <f>4219.06</f>
        <v>4219.0600000000004</v>
      </c>
    </row>
    <row r="201" spans="2:5" x14ac:dyDescent="0.2">
      <c r="B201" s="5" t="s">
        <v>221</v>
      </c>
      <c r="C201" s="6"/>
      <c r="D201" s="6"/>
      <c r="E201" s="6"/>
    </row>
    <row r="202" spans="2:5" x14ac:dyDescent="0.2">
      <c r="B202" s="5" t="s">
        <v>222</v>
      </c>
      <c r="C202" s="8">
        <f t="shared" ref="C202:E202" si="30">((((C197)+(C198))+(C199))+(C200))+(C201)</f>
        <v>3880.11</v>
      </c>
      <c r="D202" s="8">
        <f t="shared" si="30"/>
        <v>3963.2</v>
      </c>
      <c r="E202" s="8">
        <f t="shared" si="30"/>
        <v>5001.4500000000007</v>
      </c>
    </row>
    <row r="203" spans="2:5" x14ac:dyDescent="0.2">
      <c r="B203" s="5" t="s">
        <v>223</v>
      </c>
      <c r="C203" s="7">
        <f>600</f>
        <v>600</v>
      </c>
      <c r="D203" s="7">
        <f>200</f>
        <v>200</v>
      </c>
      <c r="E203" s="7">
        <f>300</f>
        <v>300</v>
      </c>
    </row>
    <row r="204" spans="2:5" x14ac:dyDescent="0.2">
      <c r="B204" s="5" t="s">
        <v>224</v>
      </c>
      <c r="C204" s="7">
        <f>729.08</f>
        <v>729.08</v>
      </c>
      <c r="D204" s="7">
        <f>341.99</f>
        <v>341.99</v>
      </c>
      <c r="E204" s="7">
        <f>85.92</f>
        <v>85.92</v>
      </c>
    </row>
    <row r="205" spans="2:5" x14ac:dyDescent="0.2">
      <c r="B205" s="5" t="s">
        <v>225</v>
      </c>
      <c r="C205" s="7">
        <f>74.75</f>
        <v>74.75</v>
      </c>
      <c r="D205" s="7">
        <f>883.38</f>
        <v>883.38</v>
      </c>
      <c r="E205" s="7">
        <f>237.07</f>
        <v>237.07</v>
      </c>
    </row>
    <row r="206" spans="2:5" x14ac:dyDescent="0.2">
      <c r="B206" s="5" t="s">
        <v>226</v>
      </c>
      <c r="C206" s="7">
        <f>189.73</f>
        <v>189.73</v>
      </c>
      <c r="D206" s="7">
        <f>492.89</f>
        <v>492.89</v>
      </c>
      <c r="E206" s="6"/>
    </row>
    <row r="207" spans="2:5" x14ac:dyDescent="0.2">
      <c r="B207" s="5" t="s">
        <v>227</v>
      </c>
      <c r="C207" s="7">
        <f>41149.71</f>
        <v>41149.71</v>
      </c>
      <c r="D207" s="7">
        <f>42341.66</f>
        <v>42341.66</v>
      </c>
      <c r="E207" s="7">
        <f>38786.11</f>
        <v>38786.11</v>
      </c>
    </row>
    <row r="208" spans="2:5" x14ac:dyDescent="0.2">
      <c r="B208" s="5" t="s">
        <v>228</v>
      </c>
      <c r="C208" s="7">
        <f>212</f>
        <v>212</v>
      </c>
      <c r="D208" s="7">
        <f>175</f>
        <v>175</v>
      </c>
      <c r="E208" s="7">
        <f>102</f>
        <v>102</v>
      </c>
    </row>
    <row r="209" spans="1:5" x14ac:dyDescent="0.2">
      <c r="B209" s="5" t="s">
        <v>229</v>
      </c>
      <c r="C209" s="8">
        <f t="shared" ref="C209:E209" si="31">(C207)+(C208)</f>
        <v>41361.71</v>
      </c>
      <c r="D209" s="8">
        <f t="shared" si="31"/>
        <v>42516.66</v>
      </c>
      <c r="E209" s="8">
        <f t="shared" si="31"/>
        <v>38888.11</v>
      </c>
    </row>
    <row r="210" spans="1:5" x14ac:dyDescent="0.2">
      <c r="B210" s="5" t="s">
        <v>230</v>
      </c>
      <c r="C210" s="6"/>
      <c r="D210" s="7">
        <f>7424.24</f>
        <v>7424.24</v>
      </c>
      <c r="E210" s="6"/>
    </row>
    <row r="211" spans="1:5" x14ac:dyDescent="0.2">
      <c r="B211" s="5" t="s">
        <v>231</v>
      </c>
      <c r="C211" s="6"/>
      <c r="D211" s="6"/>
      <c r="E211" s="6"/>
    </row>
    <row r="212" spans="1:5" x14ac:dyDescent="0.2">
      <c r="B212" s="5" t="s">
        <v>232</v>
      </c>
      <c r="C212" s="7">
        <f>1510.57</f>
        <v>1510.57</v>
      </c>
      <c r="D212" s="7">
        <f>1509.56</f>
        <v>1509.56</v>
      </c>
      <c r="E212" s="7">
        <f>635.64</f>
        <v>635.64</v>
      </c>
    </row>
    <row r="213" spans="1:5" x14ac:dyDescent="0.2">
      <c r="B213" s="5" t="s">
        <v>233</v>
      </c>
      <c r="C213" s="7">
        <f>154.32</f>
        <v>154.32</v>
      </c>
      <c r="D213" s="7">
        <f>165.8</f>
        <v>165.8</v>
      </c>
      <c r="E213" s="7">
        <f>196.5</f>
        <v>196.5</v>
      </c>
    </row>
    <row r="214" spans="1:5" x14ac:dyDescent="0.2">
      <c r="B214" s="5" t="s">
        <v>234</v>
      </c>
      <c r="C214" s="8">
        <f t="shared" ref="C214:E214" si="32">((C211)+(C212))+(C213)</f>
        <v>1664.8899999999999</v>
      </c>
      <c r="D214" s="8">
        <f t="shared" si="32"/>
        <v>1675.36</v>
      </c>
      <c r="E214" s="8">
        <f t="shared" si="32"/>
        <v>832.14</v>
      </c>
    </row>
    <row r="215" spans="1:5" x14ac:dyDescent="0.2">
      <c r="B215" s="5" t="s">
        <v>235</v>
      </c>
      <c r="C215" s="7">
        <f>-2164.71</f>
        <v>-2164.71</v>
      </c>
      <c r="D215" s="6"/>
      <c r="E215" s="6"/>
    </row>
    <row r="216" spans="1:5" x14ac:dyDescent="0.2">
      <c r="A216" s="13" t="s">
        <v>4</v>
      </c>
      <c r="B216" s="16" t="s">
        <v>236</v>
      </c>
      <c r="C216" s="8">
        <f t="shared" ref="C216:E216" si="33">(((((((((((((((((((((((((C146)+(C147))+(C161))+(C162))+(C167))+(C168))+(C173))+(C174))+(C180))+(C181))+(C182))+(C183))+(C184))+(C187))+(C188))+(C195))+(C196))+(C202))+(C203))+(C204))+(C205))+(C206))+(C209))+(C210))+(C214))+(C215)</f>
        <v>556013.75</v>
      </c>
      <c r="D216" s="8">
        <f t="shared" si="33"/>
        <v>368010.97000000009</v>
      </c>
      <c r="E216" s="8">
        <f t="shared" si="33"/>
        <v>371480.40000000014</v>
      </c>
    </row>
    <row r="217" spans="1:5" x14ac:dyDescent="0.2">
      <c r="A217" s="13" t="s">
        <v>367</v>
      </c>
      <c r="B217" s="16" t="s">
        <v>237</v>
      </c>
      <c r="C217" s="6"/>
      <c r="D217" s="6"/>
      <c r="E217" s="6"/>
    </row>
    <row r="218" spans="1:5" x14ac:dyDescent="0.2">
      <c r="A218" s="13" t="s">
        <v>17</v>
      </c>
      <c r="B218" s="16" t="s">
        <v>238</v>
      </c>
      <c r="C218" s="6"/>
      <c r="D218" s="6"/>
      <c r="E218" s="6"/>
    </row>
    <row r="219" spans="1:5" x14ac:dyDescent="0.2">
      <c r="A219" s="13" t="s">
        <v>366</v>
      </c>
      <c r="B219" s="16" t="s">
        <v>239</v>
      </c>
      <c r="C219" s="6"/>
      <c r="D219" s="6"/>
      <c r="E219" s="6"/>
    </row>
    <row r="220" spans="1:5" x14ac:dyDescent="0.2">
      <c r="B220" s="5" t="s">
        <v>10</v>
      </c>
      <c r="C220" s="8">
        <f t="shared" ref="C220:E220" si="34">((((((C70)+(C112))+(C145))+(C216))+(C217))+(C218))+(C219)</f>
        <v>2209722.0699999998</v>
      </c>
      <c r="D220" s="8">
        <f t="shared" si="34"/>
        <v>2615459.7800000003</v>
      </c>
      <c r="E220" s="8">
        <f t="shared" si="34"/>
        <v>2441411.89</v>
      </c>
    </row>
    <row r="221" spans="1:5" x14ac:dyDescent="0.2">
      <c r="B221" s="5" t="s">
        <v>9</v>
      </c>
      <c r="C221" s="8">
        <f t="shared" ref="C221:E221" si="35">(C37)-(C220)</f>
        <v>-595953.5299999998</v>
      </c>
      <c r="D221" s="8">
        <f t="shared" si="35"/>
        <v>-997211.28000000026</v>
      </c>
      <c r="E221" s="8">
        <f t="shared" si="35"/>
        <v>-810303.00999999978</v>
      </c>
    </row>
    <row r="222" spans="1:5" x14ac:dyDescent="0.2">
      <c r="B222" s="5" t="s">
        <v>240</v>
      </c>
      <c r="C222" s="6"/>
      <c r="D222" s="6"/>
      <c r="E222" s="6"/>
    </row>
    <row r="223" spans="1:5" x14ac:dyDescent="0.2">
      <c r="B223" s="5" t="s">
        <v>241</v>
      </c>
      <c r="C223" s="6"/>
      <c r="D223" s="6"/>
      <c r="E223" s="6"/>
    </row>
    <row r="224" spans="1:5" x14ac:dyDescent="0.2">
      <c r="B224" s="5" t="s">
        <v>242</v>
      </c>
      <c r="C224" s="7">
        <f>0.5</f>
        <v>0.5</v>
      </c>
      <c r="D224" s="6"/>
      <c r="E224" s="7">
        <f>20</f>
        <v>20</v>
      </c>
    </row>
    <row r="225" spans="1:5" x14ac:dyDescent="0.2">
      <c r="B225" s="17" t="s">
        <v>243</v>
      </c>
      <c r="C225" s="8">
        <f t="shared" ref="C225:E225" si="36">(C223)+(C224)</f>
        <v>0.5</v>
      </c>
      <c r="D225" s="8">
        <f t="shared" si="36"/>
        <v>0</v>
      </c>
      <c r="E225" s="8">
        <f t="shared" si="36"/>
        <v>20</v>
      </c>
    </row>
    <row r="226" spans="1:5" x14ac:dyDescent="0.2">
      <c r="B226" s="17" t="s">
        <v>244</v>
      </c>
      <c r="C226" s="6"/>
      <c r="D226" s="6"/>
      <c r="E226" s="6"/>
    </row>
    <row r="227" spans="1:5" x14ac:dyDescent="0.2">
      <c r="B227" s="17" t="s">
        <v>245</v>
      </c>
      <c r="C227" s="6"/>
      <c r="D227" s="7">
        <f>3.31</f>
        <v>3.31</v>
      </c>
      <c r="E227" s="6"/>
    </row>
    <row r="228" spans="1:5" x14ac:dyDescent="0.2">
      <c r="B228" s="17" t="s">
        <v>246</v>
      </c>
      <c r="C228" s="6"/>
      <c r="D228" s="6"/>
      <c r="E228" s="6"/>
    </row>
    <row r="229" spans="1:5" x14ac:dyDescent="0.2">
      <c r="B229" s="17" t="s">
        <v>247</v>
      </c>
      <c r="C229" s="6"/>
      <c r="D229" s="6"/>
      <c r="E229" s="7">
        <f>1397.29</f>
        <v>1397.29</v>
      </c>
    </row>
    <row r="230" spans="1:5" x14ac:dyDescent="0.2">
      <c r="B230" s="17" t="s">
        <v>248</v>
      </c>
      <c r="C230" s="8">
        <f t="shared" ref="C230:E230" si="37">((C227)+(C228))+(C229)</f>
        <v>0</v>
      </c>
      <c r="D230" s="8">
        <f t="shared" si="37"/>
        <v>3.31</v>
      </c>
      <c r="E230" s="8">
        <f t="shared" si="37"/>
        <v>1397.29</v>
      </c>
    </row>
    <row r="231" spans="1:5" x14ac:dyDescent="0.2">
      <c r="A231" s="13" t="str">
        <f>+B231</f>
        <v>Net Other Income</v>
      </c>
      <c r="B231" s="16" t="s">
        <v>249</v>
      </c>
      <c r="C231" s="8">
        <f t="shared" ref="C231:E231" si="38">(C225)-(C230)</f>
        <v>0.5</v>
      </c>
      <c r="D231" s="8">
        <f t="shared" si="38"/>
        <v>-3.31</v>
      </c>
      <c r="E231" s="8">
        <f t="shared" si="38"/>
        <v>-1377.29</v>
      </c>
    </row>
    <row r="232" spans="1:5" x14ac:dyDescent="0.2">
      <c r="B232" s="5" t="s">
        <v>5</v>
      </c>
      <c r="C232" s="8">
        <f t="shared" ref="C232:E232" si="39">(C221)+(C231)</f>
        <v>-595953.0299999998</v>
      </c>
      <c r="D232" s="8">
        <f t="shared" si="39"/>
        <v>-997214.59000000032</v>
      </c>
      <c r="E232" s="8">
        <f t="shared" si="39"/>
        <v>-811680.29999999981</v>
      </c>
    </row>
    <row r="233" spans="1:5" x14ac:dyDescent="0.2">
      <c r="A233" s="11" t="s">
        <v>0</v>
      </c>
      <c r="B233" s="5"/>
      <c r="C233" s="6"/>
      <c r="D233" s="6"/>
      <c r="E233" s="6"/>
    </row>
    <row r="236" spans="1:5" x14ac:dyDescent="0.2">
      <c r="B236" s="14" t="s">
        <v>250</v>
      </c>
      <c r="C236" s="2"/>
      <c r="D236" s="2"/>
      <c r="E23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6F6A-986E-4D60-BC8B-720D86D1ADF1}">
  <dimension ref="A1:N21"/>
  <sheetViews>
    <sheetView tabSelected="1"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A18" sqref="A18"/>
    </sheetView>
  </sheetViews>
  <sheetFormatPr baseColWidth="10" defaultColWidth="8.83203125" defaultRowHeight="15" x14ac:dyDescent="0.2"/>
  <cols>
    <col min="1" max="1" width="19.5" customWidth="1"/>
    <col min="2" max="2" width="33.5" bestFit="1" customWidth="1"/>
  </cols>
  <sheetData>
    <row r="1" spans="1:14" x14ac:dyDescent="0.2">
      <c r="A1" t="s">
        <v>394</v>
      </c>
      <c r="B1" s="19"/>
      <c r="C1" s="31">
        <v>42736</v>
      </c>
      <c r="D1" s="31">
        <v>42767</v>
      </c>
      <c r="E1" s="31">
        <v>42795</v>
      </c>
      <c r="F1" s="31">
        <v>42826</v>
      </c>
      <c r="G1" s="31">
        <v>42856</v>
      </c>
      <c r="H1" s="31">
        <v>42887</v>
      </c>
      <c r="I1" s="31">
        <v>42917</v>
      </c>
      <c r="J1" s="31">
        <v>42948</v>
      </c>
      <c r="K1" s="31">
        <v>42979</v>
      </c>
      <c r="L1" s="31">
        <v>43009</v>
      </c>
      <c r="M1" s="31">
        <v>43040</v>
      </c>
      <c r="N1" s="31">
        <v>43070</v>
      </c>
    </row>
    <row r="2" spans="1:14" x14ac:dyDescent="0.2">
      <c r="A2" s="30" t="str">
        <f>+B2</f>
        <v>Net Income</v>
      </c>
      <c r="B2" s="28" t="s">
        <v>5</v>
      </c>
      <c r="C2" s="21">
        <v>-47</v>
      </c>
      <c r="D2" s="12">
        <v>119</v>
      </c>
      <c r="E2" s="12">
        <v>-177</v>
      </c>
      <c r="F2" s="12">
        <v>-19</v>
      </c>
      <c r="G2" s="12">
        <v>-32</v>
      </c>
      <c r="H2" s="12">
        <v>31</v>
      </c>
      <c r="I2" s="12">
        <v>4</v>
      </c>
      <c r="J2" s="12">
        <v>-9</v>
      </c>
      <c r="K2" s="12">
        <v>-273</v>
      </c>
      <c r="L2" s="12">
        <v>7</v>
      </c>
      <c r="M2" s="12">
        <v>-25</v>
      </c>
      <c r="N2" s="12">
        <v>185</v>
      </c>
    </row>
    <row r="3" spans="1:14" x14ac:dyDescent="0.2">
      <c r="B3" s="2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">
      <c r="A4" s="30" t="str">
        <f t="shared" ref="A4:A8" si="0">+B4</f>
        <v>Depreciation &amp; Amortization</v>
      </c>
      <c r="B4" s="28" t="s">
        <v>380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142</v>
      </c>
    </row>
    <row r="5" spans="1:14" x14ac:dyDescent="0.2">
      <c r="A5" s="30" t="str">
        <f t="shared" si="0"/>
        <v>Change in AR</v>
      </c>
      <c r="B5" s="28" t="s">
        <v>381</v>
      </c>
      <c r="C5" s="12">
        <v>-2679</v>
      </c>
      <c r="D5" s="12">
        <v>-293</v>
      </c>
      <c r="E5" s="12">
        <v>2638</v>
      </c>
      <c r="F5" s="12">
        <v>347</v>
      </c>
      <c r="G5" s="12">
        <v>40</v>
      </c>
      <c r="H5" s="12">
        <v>-45</v>
      </c>
      <c r="I5" s="12">
        <v>-2097</v>
      </c>
      <c r="J5" s="12">
        <v>42</v>
      </c>
      <c r="K5" s="12">
        <v>1752</v>
      </c>
      <c r="L5" s="12">
        <v>-61</v>
      </c>
      <c r="M5" s="12">
        <v>-284</v>
      </c>
      <c r="N5" s="12">
        <v>625</v>
      </c>
    </row>
    <row r="6" spans="1:14" x14ac:dyDescent="0.2">
      <c r="A6" s="30" t="str">
        <f t="shared" si="0"/>
        <v>Change in Current Assets</v>
      </c>
      <c r="B6" s="28" t="s">
        <v>382</v>
      </c>
      <c r="C6" s="12">
        <v>-12</v>
      </c>
      <c r="D6" s="12">
        <v>0</v>
      </c>
      <c r="E6" s="12">
        <v>-59</v>
      </c>
      <c r="F6" s="12">
        <v>5</v>
      </c>
      <c r="G6" s="12">
        <v>2</v>
      </c>
      <c r="H6" s="12">
        <v>6</v>
      </c>
      <c r="I6" s="12">
        <v>6</v>
      </c>
      <c r="J6" s="12">
        <v>6</v>
      </c>
      <c r="K6" s="12">
        <v>6</v>
      </c>
      <c r="L6" s="12">
        <v>6</v>
      </c>
      <c r="M6" s="12">
        <v>6</v>
      </c>
      <c r="N6" s="12">
        <v>-97</v>
      </c>
    </row>
    <row r="7" spans="1:14" x14ac:dyDescent="0.2">
      <c r="A7" s="30" t="str">
        <f t="shared" si="0"/>
        <v>Change in Deferred Revenue</v>
      </c>
      <c r="B7" s="28" t="s">
        <v>383</v>
      </c>
      <c r="C7" s="12">
        <v>2517</v>
      </c>
      <c r="D7" s="12">
        <v>130</v>
      </c>
      <c r="E7" s="12">
        <v>-162</v>
      </c>
      <c r="F7" s="12">
        <v>-189</v>
      </c>
      <c r="G7" s="12">
        <v>-206</v>
      </c>
      <c r="H7" s="12">
        <v>-157</v>
      </c>
      <c r="I7" s="12">
        <v>1896</v>
      </c>
      <c r="J7" s="12">
        <v>-130</v>
      </c>
      <c r="K7" s="12">
        <v>99</v>
      </c>
      <c r="L7" s="12">
        <v>-152</v>
      </c>
      <c r="M7" s="12">
        <v>153</v>
      </c>
      <c r="N7" s="12">
        <v>-203</v>
      </c>
    </row>
    <row r="8" spans="1:14" x14ac:dyDescent="0.2">
      <c r="A8" s="30" t="str">
        <f t="shared" si="0"/>
        <v>Change in Current Liabilities</v>
      </c>
      <c r="B8" s="28" t="s">
        <v>384</v>
      </c>
      <c r="C8" s="12">
        <v>-5</v>
      </c>
      <c r="D8" s="12">
        <v>11</v>
      </c>
      <c r="E8" s="12">
        <v>-1</v>
      </c>
      <c r="F8" s="12">
        <v>3</v>
      </c>
      <c r="G8" s="12">
        <v>0</v>
      </c>
      <c r="H8" s="12">
        <v>0</v>
      </c>
      <c r="I8" s="12">
        <v>-15</v>
      </c>
      <c r="J8" s="12">
        <v>12</v>
      </c>
      <c r="K8" s="12">
        <v>22</v>
      </c>
      <c r="L8" s="12">
        <v>-18</v>
      </c>
      <c r="M8" s="12">
        <v>0</v>
      </c>
      <c r="N8" s="12">
        <v>403</v>
      </c>
    </row>
    <row r="9" spans="1:14" x14ac:dyDescent="0.2">
      <c r="A9" s="48" t="s">
        <v>395</v>
      </c>
      <c r="B9" s="28" t="s">
        <v>385</v>
      </c>
      <c r="C9" s="22">
        <v>-226</v>
      </c>
      <c r="D9" s="22">
        <v>-33</v>
      </c>
      <c r="E9" s="22">
        <v>2239</v>
      </c>
      <c r="F9" s="22">
        <v>147</v>
      </c>
      <c r="G9" s="22">
        <v>-196</v>
      </c>
      <c r="H9" s="22">
        <v>-165</v>
      </c>
      <c r="I9" s="22">
        <v>-206</v>
      </c>
      <c r="J9" s="22">
        <v>-79</v>
      </c>
      <c r="K9" s="22">
        <v>1606</v>
      </c>
      <c r="L9" s="22">
        <v>-218</v>
      </c>
      <c r="M9" s="22">
        <v>-150</v>
      </c>
      <c r="N9" s="22">
        <v>1055</v>
      </c>
    </row>
    <row r="10" spans="1:14" x14ac:dyDescent="0.2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</row>
    <row r="11" spans="1:14" x14ac:dyDescent="0.2">
      <c r="A11" s="30" t="str">
        <f t="shared" ref="A11:A13" si="1">+B11</f>
        <v>Capital Expenditures</v>
      </c>
      <c r="B11" s="28" t="s">
        <v>386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-1</v>
      </c>
      <c r="M11" s="12">
        <v>0</v>
      </c>
      <c r="N11" s="12">
        <v>-805</v>
      </c>
    </row>
    <row r="12" spans="1:14" x14ac:dyDescent="0.2">
      <c r="A12" s="30" t="str">
        <f t="shared" si="1"/>
        <v>Security Deposits</v>
      </c>
      <c r="B12" s="28" t="s">
        <v>387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</row>
    <row r="13" spans="1:14" x14ac:dyDescent="0.2">
      <c r="A13" s="30" t="str">
        <f t="shared" si="1"/>
        <v>Investments/Advances to Subsidiaries</v>
      </c>
      <c r="B13" s="28" t="s">
        <v>388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</row>
    <row r="14" spans="1:14" x14ac:dyDescent="0.2">
      <c r="A14" s="48" t="s">
        <v>396</v>
      </c>
      <c r="B14" s="28" t="s">
        <v>389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-1</v>
      </c>
      <c r="M14" s="22">
        <v>0</v>
      </c>
      <c r="N14" s="22">
        <v>-805</v>
      </c>
    </row>
    <row r="15" spans="1:14" x14ac:dyDescent="0.2">
      <c r="B15" s="28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2">
      <c r="A16" s="30" t="str">
        <f t="shared" ref="A16:A17" si="2">+B16</f>
        <v>Debt Raise/Payments</v>
      </c>
      <c r="B16" s="28" t="s">
        <v>390</v>
      </c>
      <c r="C16" s="12">
        <v>0</v>
      </c>
      <c r="D16" s="12">
        <v>0</v>
      </c>
      <c r="E16" s="12">
        <v>-650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92</v>
      </c>
    </row>
    <row r="17" spans="1:14" x14ac:dyDescent="0.2">
      <c r="A17" s="30" t="str">
        <f t="shared" si="2"/>
        <v>Equity Raise, Stock Option Exercise and Buyback</v>
      </c>
      <c r="B17" s="28" t="s">
        <v>391</v>
      </c>
      <c r="C17" s="12">
        <v>0</v>
      </c>
      <c r="D17" s="12">
        <v>0</v>
      </c>
      <c r="E17" s="12">
        <v>0</v>
      </c>
      <c r="F17" s="12">
        <v>-204</v>
      </c>
      <c r="G17" s="12">
        <v>-1</v>
      </c>
      <c r="H17" s="12">
        <v>0</v>
      </c>
      <c r="I17" s="12">
        <v>0</v>
      </c>
      <c r="J17" s="12">
        <v>1000</v>
      </c>
      <c r="K17" s="12">
        <v>0</v>
      </c>
      <c r="L17" s="12">
        <v>0</v>
      </c>
      <c r="M17" s="12">
        <v>0</v>
      </c>
      <c r="N17" s="12">
        <v>-56</v>
      </c>
    </row>
    <row r="18" spans="1:14" x14ac:dyDescent="0.2">
      <c r="A18" s="48" t="s">
        <v>397</v>
      </c>
      <c r="B18" s="28" t="s">
        <v>392</v>
      </c>
      <c r="C18" s="22">
        <v>0</v>
      </c>
      <c r="D18" s="22">
        <v>0</v>
      </c>
      <c r="E18" s="22">
        <v>-650</v>
      </c>
      <c r="F18" s="22">
        <v>-204</v>
      </c>
      <c r="G18" s="22">
        <v>-1</v>
      </c>
      <c r="H18" s="22">
        <v>0</v>
      </c>
      <c r="I18" s="22">
        <v>0</v>
      </c>
      <c r="J18" s="22">
        <v>1000</v>
      </c>
      <c r="K18" s="22">
        <v>0</v>
      </c>
      <c r="L18" s="22">
        <v>0</v>
      </c>
      <c r="M18" s="22">
        <v>0</v>
      </c>
      <c r="N18" s="22">
        <v>36</v>
      </c>
    </row>
    <row r="19" spans="1:14" x14ac:dyDescent="0.2">
      <c r="B19" s="2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ht="16" thickBot="1" x14ac:dyDescent="0.25">
      <c r="B20" s="28" t="s">
        <v>393</v>
      </c>
      <c r="C20" s="25">
        <v>-226</v>
      </c>
      <c r="D20" s="25">
        <v>-33</v>
      </c>
      <c r="E20" s="25">
        <v>1589</v>
      </c>
      <c r="F20" s="25">
        <v>-57</v>
      </c>
      <c r="G20" s="25">
        <v>-197</v>
      </c>
      <c r="H20" s="25">
        <v>-165</v>
      </c>
      <c r="I20" s="25">
        <v>-206</v>
      </c>
      <c r="J20" s="25">
        <v>921</v>
      </c>
      <c r="K20" s="25">
        <v>1606</v>
      </c>
      <c r="L20" s="25">
        <v>-219</v>
      </c>
      <c r="M20" s="25">
        <v>-150</v>
      </c>
      <c r="N20" s="25">
        <v>286</v>
      </c>
    </row>
    <row r="21" spans="1:14" ht="16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055D-234D-D449-8B94-0840A886B4D5}">
  <dimension ref="A1:N21"/>
  <sheetViews>
    <sheetView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C1" sqref="C1:N1"/>
    </sheetView>
  </sheetViews>
  <sheetFormatPr baseColWidth="10" defaultColWidth="8.83203125" defaultRowHeight="15" x14ac:dyDescent="0.2"/>
  <cols>
    <col min="1" max="1" width="19.5" customWidth="1"/>
    <col min="2" max="2" width="33.5" bestFit="1" customWidth="1"/>
  </cols>
  <sheetData>
    <row r="1" spans="1:14" x14ac:dyDescent="0.2">
      <c r="A1" t="s">
        <v>394</v>
      </c>
      <c r="B1" s="19"/>
      <c r="C1" s="31">
        <v>43101</v>
      </c>
      <c r="D1" s="31">
        <v>43132</v>
      </c>
      <c r="E1" s="31">
        <v>43160</v>
      </c>
      <c r="F1" s="31">
        <v>43191</v>
      </c>
      <c r="G1" s="31">
        <v>43221</v>
      </c>
      <c r="H1" s="31">
        <v>43252</v>
      </c>
      <c r="I1" s="31">
        <v>43282</v>
      </c>
      <c r="J1" s="31">
        <v>43313</v>
      </c>
      <c r="K1" s="31">
        <v>43344</v>
      </c>
      <c r="L1" s="31">
        <v>43374</v>
      </c>
      <c r="M1" s="31">
        <v>43405</v>
      </c>
      <c r="N1" s="31">
        <v>43435</v>
      </c>
    </row>
    <row r="2" spans="1:14" x14ac:dyDescent="0.2">
      <c r="A2" s="30" t="str">
        <f>+B2</f>
        <v>Net Income</v>
      </c>
      <c r="B2" s="28" t="s">
        <v>5</v>
      </c>
      <c r="C2" s="12">
        <v>-3</v>
      </c>
      <c r="D2" s="12">
        <v>-222</v>
      </c>
      <c r="E2" s="12">
        <v>-309</v>
      </c>
      <c r="F2" s="12">
        <v>-193</v>
      </c>
      <c r="G2" s="12">
        <v>-481</v>
      </c>
      <c r="H2" s="12">
        <v>-282</v>
      </c>
      <c r="I2" s="12">
        <v>-158</v>
      </c>
      <c r="J2" s="12">
        <v>-172</v>
      </c>
      <c r="K2" s="12">
        <v>-285</v>
      </c>
      <c r="L2" s="12">
        <v>-432</v>
      </c>
      <c r="M2" s="12">
        <v>-635</v>
      </c>
      <c r="N2" s="12">
        <v>-1444</v>
      </c>
    </row>
    <row r="3" spans="1:14" x14ac:dyDescent="0.2">
      <c r="B3" s="2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">
      <c r="A4" s="30" t="str">
        <f t="shared" ref="A4:A8" si="0">+B4</f>
        <v>Depreciation &amp; Amortization</v>
      </c>
      <c r="B4" s="28" t="s">
        <v>380</v>
      </c>
      <c r="C4" s="12">
        <v>-136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213</v>
      </c>
    </row>
    <row r="5" spans="1:14" x14ac:dyDescent="0.2">
      <c r="A5" s="30" t="str">
        <f t="shared" si="0"/>
        <v>Change in AR</v>
      </c>
      <c r="B5" s="28" t="s">
        <v>381</v>
      </c>
      <c r="C5" s="12">
        <v>-352</v>
      </c>
      <c r="D5" s="12">
        <v>-47</v>
      </c>
      <c r="E5" s="12">
        <v>-276</v>
      </c>
      <c r="F5" s="12">
        <v>-50</v>
      </c>
      <c r="G5" s="12">
        <v>186</v>
      </c>
      <c r="H5" s="12">
        <v>225</v>
      </c>
      <c r="I5" s="12">
        <v>-442</v>
      </c>
      <c r="J5" s="12">
        <v>83</v>
      </c>
      <c r="K5" s="12">
        <v>-587</v>
      </c>
      <c r="L5" s="12">
        <v>-301</v>
      </c>
      <c r="M5" s="12">
        <v>271</v>
      </c>
      <c r="N5" s="12">
        <v>-403</v>
      </c>
    </row>
    <row r="6" spans="1:14" x14ac:dyDescent="0.2">
      <c r="A6" s="30" t="str">
        <f t="shared" si="0"/>
        <v>Change in Current Assets</v>
      </c>
      <c r="B6" s="28" t="s">
        <v>382</v>
      </c>
      <c r="C6" s="12">
        <v>0</v>
      </c>
      <c r="D6" s="12">
        <v>-60</v>
      </c>
      <c r="E6" s="12">
        <v>-12</v>
      </c>
      <c r="F6" s="12">
        <v>11</v>
      </c>
      <c r="G6" s="12">
        <v>17</v>
      </c>
      <c r="H6" s="12">
        <v>-33</v>
      </c>
      <c r="I6" s="12">
        <v>3</v>
      </c>
      <c r="J6" s="12">
        <v>11</v>
      </c>
      <c r="K6" s="12">
        <v>1</v>
      </c>
      <c r="L6" s="12">
        <v>21</v>
      </c>
      <c r="M6" s="12">
        <v>12</v>
      </c>
      <c r="N6" s="12">
        <v>-222</v>
      </c>
    </row>
    <row r="7" spans="1:14" x14ac:dyDescent="0.2">
      <c r="A7" s="30" t="str">
        <f t="shared" si="0"/>
        <v>Change in Deferred Revenue</v>
      </c>
      <c r="B7" s="28" t="s">
        <v>383</v>
      </c>
      <c r="C7" s="12">
        <v>80</v>
      </c>
      <c r="D7" s="12">
        <v>33</v>
      </c>
      <c r="E7" s="12">
        <v>360</v>
      </c>
      <c r="F7" s="12">
        <v>171</v>
      </c>
      <c r="G7" s="12">
        <v>-291</v>
      </c>
      <c r="H7" s="12">
        <v>-95</v>
      </c>
      <c r="I7" s="12">
        <v>192</v>
      </c>
      <c r="J7" s="12">
        <v>-359</v>
      </c>
      <c r="K7" s="12">
        <v>450</v>
      </c>
      <c r="L7" s="12">
        <v>467</v>
      </c>
      <c r="M7" s="12">
        <v>-383</v>
      </c>
      <c r="N7" s="12">
        <v>981</v>
      </c>
    </row>
    <row r="8" spans="1:14" x14ac:dyDescent="0.2">
      <c r="A8" s="30" t="str">
        <f t="shared" si="0"/>
        <v>Change in Current Liabilities</v>
      </c>
      <c r="B8" s="28" t="s">
        <v>384</v>
      </c>
      <c r="C8" s="12">
        <v>-295</v>
      </c>
      <c r="D8" s="12">
        <v>7</v>
      </c>
      <c r="E8" s="12">
        <v>22</v>
      </c>
      <c r="F8" s="12">
        <v>-27</v>
      </c>
      <c r="G8" s="12">
        <v>19</v>
      </c>
      <c r="H8" s="12">
        <v>-12</v>
      </c>
      <c r="I8" s="12">
        <v>-19</v>
      </c>
      <c r="J8" s="12">
        <v>6</v>
      </c>
      <c r="K8" s="12">
        <v>54</v>
      </c>
      <c r="L8" s="12">
        <v>-4</v>
      </c>
      <c r="M8" s="12">
        <v>7</v>
      </c>
      <c r="N8" s="12">
        <v>895</v>
      </c>
    </row>
    <row r="9" spans="1:14" x14ac:dyDescent="0.2">
      <c r="B9" s="28" t="s">
        <v>385</v>
      </c>
      <c r="C9" s="22">
        <v>-706</v>
      </c>
      <c r="D9" s="22">
        <v>-289</v>
      </c>
      <c r="E9" s="22">
        <v>-215</v>
      </c>
      <c r="F9" s="22">
        <v>-88</v>
      </c>
      <c r="G9" s="22">
        <v>-550</v>
      </c>
      <c r="H9" s="22">
        <v>-197</v>
      </c>
      <c r="I9" s="22">
        <v>-424</v>
      </c>
      <c r="J9" s="22">
        <v>-431</v>
      </c>
      <c r="K9" s="22">
        <v>-367</v>
      </c>
      <c r="L9" s="22">
        <v>-249</v>
      </c>
      <c r="M9" s="22">
        <v>-728</v>
      </c>
      <c r="N9" s="22">
        <v>20</v>
      </c>
    </row>
    <row r="10" spans="1:14" x14ac:dyDescent="0.2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</row>
    <row r="11" spans="1:14" x14ac:dyDescent="0.2">
      <c r="A11" s="30" t="str">
        <f t="shared" ref="A11:A13" si="1">+B11</f>
        <v>Capital Expenditures</v>
      </c>
      <c r="B11" s="28" t="s">
        <v>386</v>
      </c>
      <c r="C11" s="12">
        <v>204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-94</v>
      </c>
    </row>
    <row r="12" spans="1:14" x14ac:dyDescent="0.2">
      <c r="A12" s="30" t="str">
        <f t="shared" si="1"/>
        <v>Security Deposits</v>
      </c>
      <c r="B12" s="28" t="s">
        <v>387</v>
      </c>
      <c r="C12" s="12">
        <v>-2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-10</v>
      </c>
      <c r="M12" s="12">
        <v>0</v>
      </c>
      <c r="N12" s="12">
        <v>0</v>
      </c>
    </row>
    <row r="13" spans="1:14" x14ac:dyDescent="0.2">
      <c r="A13" s="30" t="str">
        <f t="shared" si="1"/>
        <v>Investments/Advances to Subsidiaries</v>
      </c>
      <c r="B13" s="28" t="s">
        <v>388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</row>
    <row r="14" spans="1:14" x14ac:dyDescent="0.2">
      <c r="B14" s="28" t="s">
        <v>389</v>
      </c>
      <c r="C14" s="22">
        <v>202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-10</v>
      </c>
      <c r="M14" s="22">
        <v>0</v>
      </c>
      <c r="N14" s="22">
        <v>-94</v>
      </c>
    </row>
    <row r="15" spans="1:14" x14ac:dyDescent="0.2">
      <c r="B15" s="28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2">
      <c r="A16" s="30" t="str">
        <f t="shared" ref="A16:A17" si="2">+B16</f>
        <v>Debt Raise/Payments</v>
      </c>
      <c r="B16" s="28" t="s">
        <v>390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-92</v>
      </c>
    </row>
    <row r="17" spans="1:14" x14ac:dyDescent="0.2">
      <c r="A17" s="30" t="str">
        <f t="shared" si="2"/>
        <v>Equity Raise, Stock Option Exercise and Buyback</v>
      </c>
      <c r="B17" s="28" t="s">
        <v>391</v>
      </c>
      <c r="C17" s="12">
        <v>0</v>
      </c>
      <c r="D17" s="12">
        <v>0</v>
      </c>
      <c r="E17" s="12">
        <v>34</v>
      </c>
      <c r="F17" s="12">
        <v>-10</v>
      </c>
      <c r="G17" s="12">
        <v>10</v>
      </c>
      <c r="H17" s="12">
        <v>0</v>
      </c>
      <c r="I17" s="12">
        <v>0</v>
      </c>
      <c r="J17" s="12">
        <v>8</v>
      </c>
      <c r="K17" s="12">
        <v>24310</v>
      </c>
      <c r="L17" s="12">
        <v>0</v>
      </c>
      <c r="M17" s="12">
        <v>77</v>
      </c>
      <c r="N17" s="12">
        <v>18</v>
      </c>
    </row>
    <row r="18" spans="1:14" x14ac:dyDescent="0.2">
      <c r="B18" s="28" t="s">
        <v>392</v>
      </c>
      <c r="C18" s="22">
        <v>0</v>
      </c>
      <c r="D18" s="22">
        <v>0</v>
      </c>
      <c r="E18" s="22">
        <v>34</v>
      </c>
      <c r="F18" s="22">
        <v>-10</v>
      </c>
      <c r="G18" s="22">
        <v>10</v>
      </c>
      <c r="H18" s="22">
        <v>0</v>
      </c>
      <c r="I18" s="22">
        <v>0</v>
      </c>
      <c r="J18" s="22">
        <v>8</v>
      </c>
      <c r="K18" s="22">
        <v>24310</v>
      </c>
      <c r="L18" s="22">
        <v>0</v>
      </c>
      <c r="M18" s="22">
        <v>77</v>
      </c>
      <c r="N18" s="22">
        <v>-74</v>
      </c>
    </row>
    <row r="19" spans="1:14" x14ac:dyDescent="0.2">
      <c r="B19" s="2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ht="16" thickBot="1" x14ac:dyDescent="0.25">
      <c r="B20" s="28" t="s">
        <v>393</v>
      </c>
      <c r="C20" s="25">
        <v>-504</v>
      </c>
      <c r="D20" s="25">
        <v>-289</v>
      </c>
      <c r="E20" s="25">
        <v>-181</v>
      </c>
      <c r="F20" s="25">
        <v>-98</v>
      </c>
      <c r="G20" s="25">
        <v>-540</v>
      </c>
      <c r="H20" s="25">
        <v>-197</v>
      </c>
      <c r="I20" s="25">
        <v>-424</v>
      </c>
      <c r="J20" s="25">
        <v>-423</v>
      </c>
      <c r="K20" s="25">
        <v>23943</v>
      </c>
      <c r="L20" s="25">
        <v>-259</v>
      </c>
      <c r="M20" s="25">
        <v>-651</v>
      </c>
      <c r="N20" s="25">
        <v>-148</v>
      </c>
    </row>
    <row r="21" spans="1:14" ht="16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B12EF-D96D-C642-AC34-ABCA25CCB59D}">
  <dimension ref="A1:N21"/>
  <sheetViews>
    <sheetView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J7" sqref="J7"/>
    </sheetView>
  </sheetViews>
  <sheetFormatPr baseColWidth="10" defaultColWidth="8.83203125" defaultRowHeight="15" x14ac:dyDescent="0.2"/>
  <cols>
    <col min="1" max="1" width="19.5" customWidth="1"/>
    <col min="2" max="2" width="33.5" bestFit="1" customWidth="1"/>
  </cols>
  <sheetData>
    <row r="1" spans="1:14" x14ac:dyDescent="0.2">
      <c r="A1" t="s">
        <v>394</v>
      </c>
      <c r="B1" s="19"/>
      <c r="C1" s="31">
        <v>43466</v>
      </c>
      <c r="D1" s="31">
        <v>43497</v>
      </c>
      <c r="E1" s="31">
        <v>43525</v>
      </c>
      <c r="F1" s="31">
        <v>43556</v>
      </c>
      <c r="G1" s="31">
        <v>43586</v>
      </c>
      <c r="H1" s="31">
        <v>43617</v>
      </c>
      <c r="I1" s="31">
        <v>43647</v>
      </c>
      <c r="J1" s="31">
        <v>43678</v>
      </c>
      <c r="K1" s="31">
        <v>43709</v>
      </c>
      <c r="L1" s="31">
        <v>43739</v>
      </c>
      <c r="M1" s="31">
        <v>43770</v>
      </c>
      <c r="N1" s="31">
        <v>43800</v>
      </c>
    </row>
    <row r="2" spans="1:14" x14ac:dyDescent="0.2">
      <c r="A2" s="30" t="str">
        <f>+B2</f>
        <v>Net Income</v>
      </c>
      <c r="B2" s="28" t="s">
        <v>5</v>
      </c>
      <c r="C2" s="12">
        <v>-146</v>
      </c>
      <c r="D2" s="12">
        <v>-439</v>
      </c>
      <c r="E2" s="12">
        <v>-635</v>
      </c>
      <c r="F2" s="12">
        <v>-973</v>
      </c>
      <c r="G2" s="12">
        <v>-527</v>
      </c>
      <c r="H2" s="12">
        <v>-681</v>
      </c>
      <c r="I2" s="12">
        <v>-803</v>
      </c>
      <c r="J2" s="12">
        <v>-701</v>
      </c>
      <c r="K2" s="12">
        <v>-402</v>
      </c>
      <c r="L2" s="12">
        <v>-1560</v>
      </c>
      <c r="M2" s="12">
        <v>-525</v>
      </c>
      <c r="N2" s="12">
        <v>-2932</v>
      </c>
    </row>
    <row r="3" spans="1:14" x14ac:dyDescent="0.2">
      <c r="B3" s="2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">
      <c r="A4" s="30" t="str">
        <f t="shared" ref="A4:A8" si="0">+B4</f>
        <v>Depreciation &amp; Amortization</v>
      </c>
      <c r="B4" s="28" t="s">
        <v>380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</row>
    <row r="5" spans="1:14" x14ac:dyDescent="0.2">
      <c r="A5" s="30" t="str">
        <f t="shared" si="0"/>
        <v>Change in AR</v>
      </c>
      <c r="B5" s="28" t="s">
        <v>381</v>
      </c>
      <c r="C5" s="12">
        <v>303</v>
      </c>
      <c r="D5" s="12">
        <v>-2</v>
      </c>
      <c r="E5" s="12">
        <v>-2846</v>
      </c>
      <c r="F5" s="12">
        <v>-462</v>
      </c>
      <c r="G5" s="12">
        <v>2443</v>
      </c>
      <c r="H5" s="12">
        <v>-303</v>
      </c>
      <c r="I5" s="12">
        <v>19</v>
      </c>
      <c r="J5" s="12">
        <v>-103</v>
      </c>
      <c r="K5" s="12">
        <v>-1042</v>
      </c>
      <c r="L5" s="12">
        <v>148</v>
      </c>
      <c r="M5" s="12">
        <v>1258</v>
      </c>
      <c r="N5" s="12">
        <v>-1986</v>
      </c>
    </row>
    <row r="6" spans="1:14" x14ac:dyDescent="0.2">
      <c r="A6" s="30" t="str">
        <f t="shared" si="0"/>
        <v>Change in Current Assets</v>
      </c>
      <c r="B6" s="28" t="s">
        <v>382</v>
      </c>
      <c r="C6" s="12">
        <v>-284</v>
      </c>
      <c r="D6" s="12">
        <v>-2</v>
      </c>
      <c r="E6" s="12">
        <v>159</v>
      </c>
      <c r="F6" s="12">
        <v>21</v>
      </c>
      <c r="G6" s="12">
        <v>46</v>
      </c>
      <c r="H6" s="12">
        <v>82</v>
      </c>
      <c r="I6" s="12">
        <v>-132</v>
      </c>
      <c r="J6" s="12">
        <v>-40</v>
      </c>
      <c r="K6" s="12">
        <v>81</v>
      </c>
      <c r="L6" s="12">
        <v>70</v>
      </c>
      <c r="M6" s="12">
        <v>71</v>
      </c>
      <c r="N6" s="12">
        <v>-25</v>
      </c>
    </row>
    <row r="7" spans="1:14" x14ac:dyDescent="0.2">
      <c r="A7" s="30" t="str">
        <f t="shared" si="0"/>
        <v>Change in Deferred Revenue</v>
      </c>
      <c r="B7" s="28" t="s">
        <v>383</v>
      </c>
      <c r="C7" s="12">
        <v>-93</v>
      </c>
      <c r="D7" s="12">
        <v>-203</v>
      </c>
      <c r="E7" s="12">
        <v>1988</v>
      </c>
      <c r="F7" s="12">
        <v>147</v>
      </c>
      <c r="G7" s="12">
        <v>-610</v>
      </c>
      <c r="H7" s="12">
        <v>249</v>
      </c>
      <c r="I7" s="12">
        <v>-171</v>
      </c>
      <c r="J7" s="12">
        <v>-93</v>
      </c>
      <c r="K7" s="12">
        <v>1235</v>
      </c>
      <c r="L7" s="12">
        <v>436</v>
      </c>
      <c r="M7" s="12">
        <v>-961</v>
      </c>
      <c r="N7" s="12">
        <v>1521</v>
      </c>
    </row>
    <row r="8" spans="1:14" x14ac:dyDescent="0.2">
      <c r="A8" s="30" t="str">
        <f t="shared" si="0"/>
        <v>Change in Current Liabilities</v>
      </c>
      <c r="B8" s="28" t="s">
        <v>384</v>
      </c>
      <c r="C8" s="12">
        <v>-441</v>
      </c>
      <c r="D8" s="12">
        <v>12</v>
      </c>
      <c r="E8" s="12">
        <v>106</v>
      </c>
      <c r="F8" s="12">
        <v>68</v>
      </c>
      <c r="G8" s="12">
        <v>-190</v>
      </c>
      <c r="H8" s="12">
        <v>221</v>
      </c>
      <c r="I8" s="12">
        <v>16</v>
      </c>
      <c r="J8" s="12">
        <v>98</v>
      </c>
      <c r="K8" s="12">
        <v>-353</v>
      </c>
      <c r="L8" s="12">
        <v>318</v>
      </c>
      <c r="M8" s="12">
        <v>93</v>
      </c>
      <c r="N8" s="12">
        <v>2707</v>
      </c>
    </row>
    <row r="9" spans="1:14" x14ac:dyDescent="0.2">
      <c r="B9" s="28" t="s">
        <v>385</v>
      </c>
      <c r="C9" s="22">
        <v>-661</v>
      </c>
      <c r="D9" s="22">
        <v>-634</v>
      </c>
      <c r="E9" s="22">
        <v>-1228</v>
      </c>
      <c r="F9" s="22">
        <v>-1199</v>
      </c>
      <c r="G9" s="22">
        <v>1162</v>
      </c>
      <c r="H9" s="22">
        <v>-432</v>
      </c>
      <c r="I9" s="22">
        <v>-1071</v>
      </c>
      <c r="J9" s="22">
        <v>-839</v>
      </c>
      <c r="K9" s="22">
        <v>-481</v>
      </c>
      <c r="L9" s="22">
        <v>-588</v>
      </c>
      <c r="M9" s="22">
        <v>-64</v>
      </c>
      <c r="N9" s="22">
        <v>-715</v>
      </c>
    </row>
    <row r="10" spans="1:14" x14ac:dyDescent="0.2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</row>
    <row r="11" spans="1:14" x14ac:dyDescent="0.2">
      <c r="A11" s="30" t="str">
        <f t="shared" ref="A11:A13" si="1">+B11</f>
        <v>Capital Expenditures</v>
      </c>
      <c r="B11" s="28" t="s">
        <v>386</v>
      </c>
      <c r="C11" s="12">
        <v>-18</v>
      </c>
      <c r="D11" s="12">
        <v>-12</v>
      </c>
      <c r="E11" s="12">
        <v>-26</v>
      </c>
      <c r="F11" s="12">
        <v>-11</v>
      </c>
      <c r="G11" s="12">
        <v>-17</v>
      </c>
      <c r="H11" s="12">
        <v>-24</v>
      </c>
      <c r="I11" s="12">
        <v>-8</v>
      </c>
      <c r="J11" s="12">
        <v>-12</v>
      </c>
      <c r="K11" s="12">
        <v>-78</v>
      </c>
      <c r="L11" s="12">
        <v>-58</v>
      </c>
      <c r="M11" s="12">
        <v>-20</v>
      </c>
      <c r="N11" s="12">
        <v>-293</v>
      </c>
    </row>
    <row r="12" spans="1:14" x14ac:dyDescent="0.2">
      <c r="A12" s="30" t="str">
        <f t="shared" si="1"/>
        <v>Security Deposits</v>
      </c>
      <c r="B12" s="28" t="s">
        <v>387</v>
      </c>
      <c r="C12" s="12">
        <v>0</v>
      </c>
      <c r="D12" s="12">
        <v>-2</v>
      </c>
      <c r="E12" s="12">
        <v>-20</v>
      </c>
      <c r="F12" s="12">
        <v>-2</v>
      </c>
      <c r="G12" s="12">
        <v>0</v>
      </c>
      <c r="H12" s="12">
        <v>-19</v>
      </c>
      <c r="I12" s="12">
        <v>0</v>
      </c>
      <c r="J12" s="12">
        <v>-67</v>
      </c>
      <c r="K12" s="12">
        <v>-8</v>
      </c>
      <c r="L12" s="12">
        <v>8</v>
      </c>
      <c r="M12" s="12">
        <v>-10</v>
      </c>
      <c r="N12" s="12">
        <v>0</v>
      </c>
    </row>
    <row r="13" spans="1:14" x14ac:dyDescent="0.2">
      <c r="A13" s="30" t="str">
        <f t="shared" si="1"/>
        <v>Investments/Advances to Subsidiaries</v>
      </c>
      <c r="B13" s="28" t="s">
        <v>388</v>
      </c>
      <c r="C13" s="12">
        <v>0</v>
      </c>
      <c r="D13" s="12">
        <v>-14</v>
      </c>
      <c r="E13" s="12">
        <v>-20</v>
      </c>
      <c r="F13" s="12">
        <v>-21</v>
      </c>
      <c r="G13" s="12">
        <v>-26</v>
      </c>
      <c r="H13" s="12">
        <v>-38</v>
      </c>
      <c r="I13" s="12">
        <v>-39</v>
      </c>
      <c r="J13" s="12">
        <v>-80</v>
      </c>
      <c r="K13" s="12">
        <v>-1</v>
      </c>
      <c r="L13" s="12">
        <v>-92</v>
      </c>
      <c r="M13" s="12">
        <v>-73</v>
      </c>
      <c r="N13" s="12">
        <v>-53</v>
      </c>
    </row>
    <row r="14" spans="1:14" x14ac:dyDescent="0.2">
      <c r="B14" s="28" t="s">
        <v>389</v>
      </c>
      <c r="C14" s="22">
        <v>-18</v>
      </c>
      <c r="D14" s="22">
        <v>-28</v>
      </c>
      <c r="E14" s="22">
        <v>-66</v>
      </c>
      <c r="F14" s="22">
        <v>-34</v>
      </c>
      <c r="G14" s="22">
        <v>-43</v>
      </c>
      <c r="H14" s="22">
        <v>-81</v>
      </c>
      <c r="I14" s="22">
        <v>-47</v>
      </c>
      <c r="J14" s="22">
        <v>-159</v>
      </c>
      <c r="K14" s="22">
        <v>-87</v>
      </c>
      <c r="L14" s="22">
        <v>-142</v>
      </c>
      <c r="M14" s="22">
        <v>-103</v>
      </c>
      <c r="N14" s="22">
        <v>-346</v>
      </c>
    </row>
    <row r="15" spans="1:14" x14ac:dyDescent="0.2">
      <c r="B15" s="28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2">
      <c r="A16" s="30" t="str">
        <f t="shared" ref="A16:A17" si="2">+B16</f>
        <v>Debt Raise/Payments</v>
      </c>
      <c r="B16" s="28" t="s">
        <v>390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</row>
    <row r="17" spans="1:14" x14ac:dyDescent="0.2">
      <c r="A17" s="30" t="str">
        <f t="shared" si="2"/>
        <v>Equity Raise, Stock Option Exercise and Buyback</v>
      </c>
      <c r="B17" s="28" t="s">
        <v>391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-6</v>
      </c>
      <c r="I17" s="12">
        <v>0</v>
      </c>
      <c r="J17" s="12">
        <v>0</v>
      </c>
      <c r="K17" s="12">
        <v>-2</v>
      </c>
      <c r="L17" s="12">
        <v>0</v>
      </c>
      <c r="M17" s="12">
        <v>0</v>
      </c>
      <c r="N17" s="12">
        <v>0</v>
      </c>
    </row>
    <row r="18" spans="1:14" x14ac:dyDescent="0.2">
      <c r="B18" s="28" t="s">
        <v>392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-6</v>
      </c>
      <c r="I18" s="22">
        <v>0</v>
      </c>
      <c r="J18" s="22">
        <v>0</v>
      </c>
      <c r="K18" s="22">
        <v>-2</v>
      </c>
      <c r="L18" s="22">
        <v>0</v>
      </c>
      <c r="M18" s="22">
        <v>0</v>
      </c>
      <c r="N18" s="22">
        <v>0</v>
      </c>
    </row>
    <row r="19" spans="1:14" x14ac:dyDescent="0.2">
      <c r="B19" s="2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ht="16" thickBot="1" x14ac:dyDescent="0.25">
      <c r="B20" s="28" t="s">
        <v>393</v>
      </c>
      <c r="C20" s="25">
        <v>-679</v>
      </c>
      <c r="D20" s="25">
        <v>-662</v>
      </c>
      <c r="E20" s="25">
        <v>-1294</v>
      </c>
      <c r="F20" s="25">
        <v>-1233</v>
      </c>
      <c r="G20" s="25">
        <v>1119</v>
      </c>
      <c r="H20" s="25">
        <v>-519</v>
      </c>
      <c r="I20" s="25">
        <v>-1118</v>
      </c>
      <c r="J20" s="25">
        <v>-998</v>
      </c>
      <c r="K20" s="25">
        <v>-570</v>
      </c>
      <c r="L20" s="25">
        <v>-730</v>
      </c>
      <c r="M20" s="25">
        <v>-167</v>
      </c>
      <c r="N20" s="25">
        <v>-1061</v>
      </c>
    </row>
    <row r="21" spans="1:14" ht="16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EED9-F1D7-C149-95FF-5776AF04F845}">
  <dimension ref="A1:E21"/>
  <sheetViews>
    <sheetView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I34" sqref="I34"/>
    </sheetView>
  </sheetViews>
  <sheetFormatPr baseColWidth="10" defaultColWidth="8.83203125" defaultRowHeight="15" x14ac:dyDescent="0.2"/>
  <cols>
    <col min="1" max="1" width="19.5" customWidth="1"/>
    <col min="2" max="2" width="33.5" bestFit="1" customWidth="1"/>
  </cols>
  <sheetData>
    <row r="1" spans="1:5" x14ac:dyDescent="0.2">
      <c r="A1" t="s">
        <v>394</v>
      </c>
      <c r="B1" s="19"/>
      <c r="C1" s="31">
        <v>43831</v>
      </c>
      <c r="D1" s="31">
        <v>43862</v>
      </c>
      <c r="E1" s="31">
        <v>43891</v>
      </c>
    </row>
    <row r="2" spans="1:5" x14ac:dyDescent="0.2">
      <c r="A2" s="30" t="str">
        <f>+B2</f>
        <v>Net Income</v>
      </c>
      <c r="B2" s="28" t="s">
        <v>5</v>
      </c>
      <c r="C2" s="12">
        <v>-1096</v>
      </c>
      <c r="D2" s="12">
        <v>-997</v>
      </c>
      <c r="E2" s="12">
        <v>-812</v>
      </c>
    </row>
    <row r="3" spans="1:5" x14ac:dyDescent="0.2">
      <c r="B3" s="28"/>
      <c r="C3" s="12"/>
      <c r="D3" s="12"/>
      <c r="E3" s="12"/>
    </row>
    <row r="4" spans="1:5" x14ac:dyDescent="0.2">
      <c r="A4" s="30" t="str">
        <f t="shared" ref="A4:A8" si="0">+B4</f>
        <v>Depreciation &amp; Amortization</v>
      </c>
      <c r="B4" s="28" t="s">
        <v>380</v>
      </c>
      <c r="C4" s="12">
        <v>0</v>
      </c>
      <c r="D4" s="12">
        <v>0</v>
      </c>
      <c r="E4" s="12">
        <v>0</v>
      </c>
    </row>
    <row r="5" spans="1:5" x14ac:dyDescent="0.2">
      <c r="A5" s="30" t="str">
        <f t="shared" si="0"/>
        <v>Change in AR</v>
      </c>
      <c r="B5" s="28" t="s">
        <v>381</v>
      </c>
      <c r="C5" s="12">
        <v>-7783</v>
      </c>
      <c r="D5" s="12">
        <v>672</v>
      </c>
      <c r="E5" s="12">
        <v>5655</v>
      </c>
    </row>
    <row r="6" spans="1:5" x14ac:dyDescent="0.2">
      <c r="A6" s="30" t="str">
        <f t="shared" si="0"/>
        <v>Change in Current Assets</v>
      </c>
      <c r="B6" s="28" t="s">
        <v>382</v>
      </c>
      <c r="C6" s="12">
        <v>-457</v>
      </c>
      <c r="D6" s="12">
        <v>-156</v>
      </c>
      <c r="E6" s="12">
        <v>-105</v>
      </c>
    </row>
    <row r="7" spans="1:5" x14ac:dyDescent="0.2">
      <c r="A7" s="30" t="str">
        <f t="shared" si="0"/>
        <v>Change in Deferred Revenue</v>
      </c>
      <c r="B7" s="28" t="s">
        <v>383</v>
      </c>
      <c r="C7" s="12">
        <v>8303</v>
      </c>
      <c r="D7" s="12">
        <v>-712</v>
      </c>
      <c r="E7" s="12">
        <v>2248</v>
      </c>
    </row>
    <row r="8" spans="1:5" x14ac:dyDescent="0.2">
      <c r="A8" s="30" t="str">
        <f t="shared" si="0"/>
        <v>Change in Current Liabilities</v>
      </c>
      <c r="B8" s="28" t="s">
        <v>384</v>
      </c>
      <c r="C8" s="12">
        <v>-1378</v>
      </c>
      <c r="D8" s="12">
        <v>-560</v>
      </c>
      <c r="E8" s="12">
        <v>416</v>
      </c>
    </row>
    <row r="9" spans="1:5" x14ac:dyDescent="0.2">
      <c r="B9" s="28" t="s">
        <v>385</v>
      </c>
      <c r="C9" s="22">
        <v>-2411</v>
      </c>
      <c r="D9" s="22">
        <v>-1753</v>
      </c>
      <c r="E9" s="22">
        <v>7402</v>
      </c>
    </row>
    <row r="10" spans="1:5" x14ac:dyDescent="0.2">
      <c r="B10" s="28"/>
      <c r="C10" s="29"/>
      <c r="D10" s="29"/>
      <c r="E10" s="29"/>
    </row>
    <row r="11" spans="1:5" x14ac:dyDescent="0.2">
      <c r="A11" s="30" t="str">
        <f t="shared" ref="A11:A13" si="1">+B11</f>
        <v>Capital Expenditures</v>
      </c>
      <c r="B11" s="28" t="s">
        <v>386</v>
      </c>
      <c r="C11" s="12">
        <v>-24</v>
      </c>
      <c r="D11" s="12">
        <v>-151</v>
      </c>
      <c r="E11" s="12">
        <v>-23</v>
      </c>
    </row>
    <row r="12" spans="1:5" x14ac:dyDescent="0.2">
      <c r="A12" s="30" t="str">
        <f t="shared" si="1"/>
        <v>Security Deposits</v>
      </c>
      <c r="B12" s="28" t="s">
        <v>387</v>
      </c>
      <c r="C12" s="12">
        <v>-1</v>
      </c>
      <c r="D12" s="12">
        <v>0</v>
      </c>
      <c r="E12" s="12">
        <v>12</v>
      </c>
    </row>
    <row r="13" spans="1:5" x14ac:dyDescent="0.2">
      <c r="A13" s="30" t="str">
        <f t="shared" si="1"/>
        <v>Investments/Advances to Subsidiaries</v>
      </c>
      <c r="B13" s="28" t="s">
        <v>388</v>
      </c>
      <c r="C13" s="12">
        <v>-339</v>
      </c>
      <c r="D13" s="12">
        <v>-157</v>
      </c>
      <c r="E13" s="12">
        <v>-71</v>
      </c>
    </row>
    <row r="14" spans="1:5" x14ac:dyDescent="0.2">
      <c r="B14" s="28" t="s">
        <v>389</v>
      </c>
      <c r="C14" s="22">
        <v>-364</v>
      </c>
      <c r="D14" s="22">
        <v>-308</v>
      </c>
      <c r="E14" s="22">
        <v>-82</v>
      </c>
    </row>
    <row r="15" spans="1:5" x14ac:dyDescent="0.2">
      <c r="B15" s="28"/>
      <c r="C15" s="12"/>
      <c r="D15" s="12"/>
      <c r="E15" s="12"/>
    </row>
    <row r="16" spans="1:5" x14ac:dyDescent="0.2">
      <c r="A16" s="30" t="str">
        <f t="shared" ref="A16:A17" si="2">+B16</f>
        <v>Debt Raise/Payments</v>
      </c>
      <c r="B16" s="28" t="s">
        <v>390</v>
      </c>
      <c r="C16" s="12">
        <v>0</v>
      </c>
      <c r="D16" s="12">
        <v>0</v>
      </c>
      <c r="E16" s="12">
        <v>0</v>
      </c>
    </row>
    <row r="17" spans="1:5" x14ac:dyDescent="0.2">
      <c r="A17" s="30" t="str">
        <f t="shared" si="2"/>
        <v>Equity Raise, Stock Option Exercise and Buyback</v>
      </c>
      <c r="B17" s="28" t="s">
        <v>391</v>
      </c>
      <c r="C17" s="12">
        <v>319</v>
      </c>
      <c r="D17" s="12">
        <v>346</v>
      </c>
      <c r="E17" s="12">
        <v>0</v>
      </c>
    </row>
    <row r="18" spans="1:5" x14ac:dyDescent="0.2">
      <c r="B18" s="28" t="s">
        <v>392</v>
      </c>
      <c r="C18" s="22">
        <v>319</v>
      </c>
      <c r="D18" s="22">
        <v>346</v>
      </c>
      <c r="E18" s="22">
        <v>0</v>
      </c>
    </row>
    <row r="19" spans="1:5" x14ac:dyDescent="0.2">
      <c r="B19" s="28"/>
      <c r="C19" s="12"/>
      <c r="D19" s="12"/>
      <c r="E19" s="12"/>
    </row>
    <row r="20" spans="1:5" ht="16" thickBot="1" x14ac:dyDescent="0.25">
      <c r="B20" s="28" t="s">
        <v>393</v>
      </c>
      <c r="C20" s="25">
        <v>-2456</v>
      </c>
      <c r="D20" s="25">
        <v>-1715</v>
      </c>
      <c r="E20" s="25">
        <v>7320</v>
      </c>
    </row>
    <row r="21" spans="1:5" ht="16" thickTop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FB3D-0DED-4D40-930A-E0C335F3E3B3}">
  <dimension ref="A1:N22"/>
  <sheetViews>
    <sheetView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D10" sqref="D10"/>
    </sheetView>
  </sheetViews>
  <sheetFormatPr baseColWidth="10" defaultColWidth="8.83203125" defaultRowHeight="15" x14ac:dyDescent="0.2"/>
  <cols>
    <col min="1" max="1" width="19.1640625" customWidth="1"/>
    <col min="2" max="2" width="28.5" bestFit="1" customWidth="1"/>
  </cols>
  <sheetData>
    <row r="1" spans="1:14" s="18" customFormat="1" ht="12" x14ac:dyDescent="0.15">
      <c r="A1" s="18" t="s">
        <v>394</v>
      </c>
      <c r="B1" s="19"/>
      <c r="C1" s="31">
        <v>42736</v>
      </c>
      <c r="D1" s="31">
        <v>42767</v>
      </c>
      <c r="E1" s="31">
        <v>42795</v>
      </c>
      <c r="F1" s="31">
        <v>42826</v>
      </c>
      <c r="G1" s="31">
        <v>42856</v>
      </c>
      <c r="H1" s="31">
        <v>42887</v>
      </c>
      <c r="I1" s="31">
        <v>42917</v>
      </c>
      <c r="J1" s="31">
        <v>42948</v>
      </c>
      <c r="K1" s="31">
        <v>42979</v>
      </c>
      <c r="L1" s="31">
        <v>43009</v>
      </c>
      <c r="M1" s="31">
        <v>43040</v>
      </c>
      <c r="N1" s="31">
        <v>43070</v>
      </c>
    </row>
    <row r="2" spans="1:14" s="18" customFormat="1" ht="11" x14ac:dyDescent="0.15">
      <c r="B2" s="20" t="s">
        <v>368</v>
      </c>
    </row>
    <row r="3" spans="1:14" s="18" customFormat="1" ht="11" x14ac:dyDescent="0.15">
      <c r="A3" s="30" t="s">
        <v>18</v>
      </c>
      <c r="B3" s="20" t="s">
        <v>369</v>
      </c>
      <c r="C3" s="21">
        <v>228</v>
      </c>
      <c r="D3" s="21">
        <v>196</v>
      </c>
      <c r="E3" s="21">
        <v>1784</v>
      </c>
      <c r="F3" s="21">
        <v>1727</v>
      </c>
      <c r="G3" s="21">
        <v>1532</v>
      </c>
      <c r="H3" s="21">
        <v>1367</v>
      </c>
      <c r="I3" s="21">
        <v>1160</v>
      </c>
      <c r="J3" s="21">
        <v>2081</v>
      </c>
      <c r="K3" s="21">
        <v>3686</v>
      </c>
      <c r="L3" s="21">
        <v>3467</v>
      </c>
      <c r="M3" s="21">
        <v>3316</v>
      </c>
      <c r="N3" s="21">
        <v>3603</v>
      </c>
    </row>
    <row r="4" spans="1:14" s="18" customFormat="1" ht="11" x14ac:dyDescent="0.15">
      <c r="A4" s="30" t="s">
        <v>24</v>
      </c>
      <c r="B4" s="20" t="s">
        <v>370</v>
      </c>
      <c r="C4" s="12">
        <v>2770</v>
      </c>
      <c r="D4" s="12">
        <v>3062</v>
      </c>
      <c r="E4" s="12">
        <v>424</v>
      </c>
      <c r="F4" s="12">
        <v>77</v>
      </c>
      <c r="G4" s="12">
        <v>38</v>
      </c>
      <c r="H4" s="12">
        <v>83</v>
      </c>
      <c r="I4" s="12">
        <v>2180</v>
      </c>
      <c r="J4" s="12">
        <v>2138</v>
      </c>
      <c r="K4" s="12">
        <v>386</v>
      </c>
      <c r="L4" s="12">
        <v>447</v>
      </c>
      <c r="M4" s="12">
        <v>731</v>
      </c>
      <c r="N4" s="12">
        <v>105</v>
      </c>
    </row>
    <row r="5" spans="1:14" s="18" customFormat="1" ht="11" x14ac:dyDescent="0.15">
      <c r="A5" s="30" t="s">
        <v>19</v>
      </c>
      <c r="B5" s="20" t="s">
        <v>371</v>
      </c>
      <c r="C5" s="12">
        <v>12</v>
      </c>
      <c r="D5" s="12">
        <v>12</v>
      </c>
      <c r="E5" s="12">
        <v>71</v>
      </c>
      <c r="F5" s="12">
        <v>66</v>
      </c>
      <c r="G5" s="12">
        <v>62</v>
      </c>
      <c r="H5" s="12">
        <v>57</v>
      </c>
      <c r="I5" s="12">
        <v>52</v>
      </c>
      <c r="J5" s="12">
        <v>46</v>
      </c>
      <c r="K5" s="12">
        <v>41</v>
      </c>
      <c r="L5" s="12">
        <v>35</v>
      </c>
      <c r="M5" s="12">
        <v>29</v>
      </c>
      <c r="N5" s="12">
        <v>127</v>
      </c>
    </row>
    <row r="6" spans="1:14" s="18" customFormat="1" ht="11" x14ac:dyDescent="0.15">
      <c r="B6" s="20" t="s">
        <v>20</v>
      </c>
      <c r="C6" s="22">
        <v>3010</v>
      </c>
      <c r="D6" s="22">
        <v>3270</v>
      </c>
      <c r="E6" s="22">
        <v>2279</v>
      </c>
      <c r="F6" s="22">
        <v>1870</v>
      </c>
      <c r="G6" s="22">
        <v>1632</v>
      </c>
      <c r="H6" s="22">
        <v>1507</v>
      </c>
      <c r="I6" s="22">
        <v>3392</v>
      </c>
      <c r="J6" s="22">
        <v>4265</v>
      </c>
      <c r="K6" s="22">
        <v>4113</v>
      </c>
      <c r="L6" s="22">
        <v>3949</v>
      </c>
      <c r="M6" s="22">
        <v>4076</v>
      </c>
      <c r="N6" s="22">
        <v>3835</v>
      </c>
    </row>
    <row r="7" spans="1:14" s="18" customFormat="1" ht="11" x14ac:dyDescent="0.15">
      <c r="B7" s="20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s="18" customFormat="1" ht="11" x14ac:dyDescent="0.15">
      <c r="A8" s="30" t="s">
        <v>26</v>
      </c>
      <c r="B8" s="20" t="s">
        <v>372</v>
      </c>
      <c r="C8" s="12">
        <v>4</v>
      </c>
      <c r="D8" s="12">
        <v>4</v>
      </c>
      <c r="E8" s="12">
        <v>4</v>
      </c>
      <c r="F8" s="12">
        <v>4</v>
      </c>
      <c r="G8" s="12">
        <v>4</v>
      </c>
      <c r="H8" s="12">
        <v>4</v>
      </c>
      <c r="I8" s="12">
        <v>4</v>
      </c>
      <c r="J8" s="12">
        <v>4</v>
      </c>
      <c r="K8" s="12">
        <v>4</v>
      </c>
      <c r="L8" s="12">
        <v>5</v>
      </c>
      <c r="M8" s="12">
        <v>5</v>
      </c>
      <c r="N8" s="12">
        <v>667</v>
      </c>
    </row>
    <row r="9" spans="1:14" s="18" customFormat="1" ht="11" x14ac:dyDescent="0.15">
      <c r="A9" s="30" t="s">
        <v>27</v>
      </c>
      <c r="B9" s="20" t="s">
        <v>373</v>
      </c>
      <c r="C9" s="12">
        <v>-1</v>
      </c>
      <c r="D9" s="12">
        <v>-1</v>
      </c>
      <c r="E9" s="12">
        <v>0</v>
      </c>
      <c r="F9" s="12">
        <v>0</v>
      </c>
      <c r="G9" s="12">
        <v>0</v>
      </c>
      <c r="H9" s="12">
        <v>0</v>
      </c>
      <c r="I9" s="12">
        <v>-1</v>
      </c>
      <c r="J9" s="12">
        <v>-1</v>
      </c>
      <c r="K9" s="12">
        <v>-1</v>
      </c>
      <c r="L9" s="12">
        <v>0</v>
      </c>
      <c r="M9" s="12">
        <v>0</v>
      </c>
      <c r="N9" s="12">
        <v>0</v>
      </c>
    </row>
    <row r="10" spans="1:14" s="18" customFormat="1" ht="12" thickBot="1" x14ac:dyDescent="0.2">
      <c r="B10" s="20" t="s">
        <v>374</v>
      </c>
      <c r="C10" s="23">
        <v>3013</v>
      </c>
      <c r="D10" s="23">
        <v>3273</v>
      </c>
      <c r="E10" s="23">
        <v>2283</v>
      </c>
      <c r="F10" s="23">
        <v>1874</v>
      </c>
      <c r="G10" s="23">
        <v>1636</v>
      </c>
      <c r="H10" s="23">
        <v>1511</v>
      </c>
      <c r="I10" s="23">
        <v>3395</v>
      </c>
      <c r="J10" s="23">
        <v>4268</v>
      </c>
      <c r="K10" s="23">
        <v>4116</v>
      </c>
      <c r="L10" s="23">
        <v>3954</v>
      </c>
      <c r="M10" s="23">
        <v>4081</v>
      </c>
      <c r="N10" s="23">
        <v>4502</v>
      </c>
    </row>
    <row r="11" spans="1:14" s="18" customFormat="1" ht="12" thickTop="1" x14ac:dyDescent="0.15">
      <c r="B11" s="20"/>
    </row>
    <row r="12" spans="1:14" s="18" customFormat="1" ht="11" x14ac:dyDescent="0.15">
      <c r="A12" s="30" t="s">
        <v>25</v>
      </c>
      <c r="B12" s="20" t="s">
        <v>375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83</v>
      </c>
    </row>
    <row r="13" spans="1:14" s="18" customFormat="1" ht="11" x14ac:dyDescent="0.15">
      <c r="A13" s="30" t="s">
        <v>376</v>
      </c>
      <c r="B13" s="20" t="s">
        <v>376</v>
      </c>
      <c r="C13" s="12">
        <v>3353</v>
      </c>
      <c r="D13" s="12">
        <v>3483</v>
      </c>
      <c r="E13" s="12">
        <v>3321</v>
      </c>
      <c r="F13" s="12">
        <v>3132</v>
      </c>
      <c r="G13" s="12">
        <v>2926</v>
      </c>
      <c r="H13" s="12">
        <v>2770</v>
      </c>
      <c r="I13" s="12">
        <v>4666</v>
      </c>
      <c r="J13" s="12">
        <v>4535</v>
      </c>
      <c r="K13" s="12">
        <v>4634</v>
      </c>
      <c r="L13" s="12">
        <v>4483</v>
      </c>
      <c r="M13" s="12">
        <v>4635</v>
      </c>
      <c r="N13" s="12">
        <v>4433</v>
      </c>
    </row>
    <row r="14" spans="1:14" s="18" customFormat="1" ht="11" x14ac:dyDescent="0.15">
      <c r="A14" s="30" t="s">
        <v>21</v>
      </c>
      <c r="B14" s="20" t="s">
        <v>21</v>
      </c>
      <c r="C14" s="12">
        <v>5</v>
      </c>
      <c r="D14" s="12">
        <v>16</v>
      </c>
      <c r="E14" s="12">
        <v>16</v>
      </c>
      <c r="F14" s="12">
        <v>19</v>
      </c>
      <c r="G14" s="12">
        <v>19</v>
      </c>
      <c r="H14" s="12">
        <v>19</v>
      </c>
      <c r="I14" s="12">
        <v>3</v>
      </c>
      <c r="J14" s="12">
        <v>16</v>
      </c>
      <c r="K14" s="12">
        <v>38</v>
      </c>
      <c r="L14" s="12">
        <v>20</v>
      </c>
      <c r="M14" s="12">
        <v>21</v>
      </c>
      <c r="N14" s="12">
        <v>340</v>
      </c>
    </row>
    <row r="15" spans="1:14" s="18" customFormat="1" ht="11" x14ac:dyDescent="0.15">
      <c r="B15" s="20" t="s">
        <v>22</v>
      </c>
      <c r="C15" s="22">
        <v>3358</v>
      </c>
      <c r="D15" s="22">
        <v>3499</v>
      </c>
      <c r="E15" s="22">
        <v>3337</v>
      </c>
      <c r="F15" s="22">
        <v>3151</v>
      </c>
      <c r="G15" s="22">
        <v>2945</v>
      </c>
      <c r="H15" s="22">
        <v>2789</v>
      </c>
      <c r="I15" s="22">
        <v>4669</v>
      </c>
      <c r="J15" s="22">
        <v>4551</v>
      </c>
      <c r="K15" s="22">
        <v>4672</v>
      </c>
      <c r="L15" s="22">
        <v>4503</v>
      </c>
      <c r="M15" s="22">
        <v>4656</v>
      </c>
      <c r="N15" s="22">
        <v>4856</v>
      </c>
    </row>
    <row r="16" spans="1:14" s="18" customFormat="1" ht="11" x14ac:dyDescent="0.15">
      <c r="B16" s="20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s="18" customFormat="1" ht="11" x14ac:dyDescent="0.15">
      <c r="A17" s="30" t="str">
        <f>+B17</f>
        <v>Loans Payable</v>
      </c>
      <c r="B17" s="20" t="s">
        <v>377</v>
      </c>
      <c r="C17" s="12">
        <v>650</v>
      </c>
      <c r="D17" s="12">
        <v>650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92</v>
      </c>
    </row>
    <row r="18" spans="1:14" s="18" customFormat="1" ht="11" x14ac:dyDescent="0.15">
      <c r="B18" s="20" t="s">
        <v>378</v>
      </c>
      <c r="C18" s="22">
        <v>4008</v>
      </c>
      <c r="D18" s="22">
        <v>4149</v>
      </c>
      <c r="E18" s="22">
        <v>3337</v>
      </c>
      <c r="F18" s="22">
        <v>3151</v>
      </c>
      <c r="G18" s="22">
        <v>2945</v>
      </c>
      <c r="H18" s="22">
        <v>2789</v>
      </c>
      <c r="I18" s="22">
        <v>4669</v>
      </c>
      <c r="J18" s="22">
        <v>4551</v>
      </c>
      <c r="K18" s="22">
        <v>4672</v>
      </c>
      <c r="L18" s="22">
        <v>4503</v>
      </c>
      <c r="M18" s="22">
        <v>4656</v>
      </c>
      <c r="N18" s="22">
        <v>4948</v>
      </c>
    </row>
    <row r="19" spans="1:14" s="18" customFormat="1" ht="11" x14ac:dyDescent="0.15">
      <c r="B19" s="20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s="18" customFormat="1" ht="11" x14ac:dyDescent="0.15">
      <c r="A20" s="30" t="str">
        <f>+B20</f>
        <v>Total Equity</v>
      </c>
      <c r="B20" s="20" t="s">
        <v>23</v>
      </c>
      <c r="C20" s="12">
        <v>-995</v>
      </c>
      <c r="D20" s="12">
        <v>-876</v>
      </c>
      <c r="E20" s="12">
        <v>-1054</v>
      </c>
      <c r="F20" s="12">
        <v>-1277</v>
      </c>
      <c r="G20" s="12">
        <v>-1309</v>
      </c>
      <c r="H20" s="12">
        <v>-1278</v>
      </c>
      <c r="I20" s="12">
        <v>-1274</v>
      </c>
      <c r="J20" s="12">
        <v>-283</v>
      </c>
      <c r="K20" s="12">
        <v>-556</v>
      </c>
      <c r="L20" s="12">
        <v>-549</v>
      </c>
      <c r="M20" s="12">
        <v>-575</v>
      </c>
      <c r="N20" s="12">
        <v>-446</v>
      </c>
    </row>
    <row r="21" spans="1:14" s="18" customFormat="1" ht="12" thickBot="1" x14ac:dyDescent="0.2">
      <c r="B21" s="20" t="s">
        <v>379</v>
      </c>
      <c r="C21" s="25">
        <v>3013</v>
      </c>
      <c r="D21" s="25">
        <v>3273</v>
      </c>
      <c r="E21" s="25">
        <v>2283</v>
      </c>
      <c r="F21" s="25">
        <v>1874</v>
      </c>
      <c r="G21" s="25">
        <v>1636</v>
      </c>
      <c r="H21" s="25">
        <v>1511</v>
      </c>
      <c r="I21" s="25">
        <v>3395</v>
      </c>
      <c r="J21" s="25">
        <v>4268</v>
      </c>
      <c r="K21" s="25">
        <v>4116</v>
      </c>
      <c r="L21" s="25">
        <v>3954</v>
      </c>
      <c r="M21" s="25">
        <v>4081</v>
      </c>
      <c r="N21" s="25">
        <v>4502</v>
      </c>
    </row>
    <row r="22" spans="1:14" s="18" customFormat="1" ht="12" thickTop="1" x14ac:dyDescent="0.15">
      <c r="B22" s="26"/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IS (2017)</vt:lpstr>
      <vt:lpstr>IS (2018)</vt:lpstr>
      <vt:lpstr>IS (2019)</vt:lpstr>
      <vt:lpstr>IS (2020)</vt:lpstr>
      <vt:lpstr>CF (2017)</vt:lpstr>
      <vt:lpstr>CF (2018)</vt:lpstr>
      <vt:lpstr>CF (2019)</vt:lpstr>
      <vt:lpstr>CF (2020)</vt:lpstr>
      <vt:lpstr>BS (2017)</vt:lpstr>
      <vt:lpstr>BS (2018)</vt:lpstr>
      <vt:lpstr>BS (2019)</vt:lpstr>
      <vt:lpstr>BS (2020)</vt:lpstr>
      <vt:lpstr>ARR by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dylanpearce;massimo@greycroft.com</dc:creator>
  <cp:lastModifiedBy>Microsoft Office User</cp:lastModifiedBy>
  <dcterms:created xsi:type="dcterms:W3CDTF">2015-10-26T00:40:21Z</dcterms:created>
  <dcterms:modified xsi:type="dcterms:W3CDTF">2020-12-09T10:54:05Z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Color">
    <vt:lpwstr>False</vt:lpwstr>
  </property>
</Properties>
</file>